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lvhsfs02.cma.gov.uk\Users$\ruth.smyth\Desktop\"/>
    </mc:Choice>
  </mc:AlternateContent>
  <bookViews>
    <workbookView xWindow="0" yWindow="0" windowWidth="14805" windowHeight="6195" tabRatio="913" firstSheet="5" activeTab="14"/>
  </bookViews>
  <sheets>
    <sheet name="Cover" sheetId="186" r:id="rId1"/>
    <sheet name="UserInterface" sheetId="7" r:id="rId2"/>
    <sheet name="TaxTrigger" sheetId="187" r:id="rId3"/>
    <sheet name="MOD" sheetId="267" r:id="rId4"/>
    <sheet name="Input" sheetId="189" r:id="rId5"/>
    <sheet name="Totex" sheetId="183" r:id="rId6"/>
    <sheet name="TIM" sheetId="197" r:id="rId7"/>
    <sheet name="DARTs" sheetId="194" r:id="rId8"/>
    <sheet name="Depn" sheetId="283" r:id="rId9"/>
    <sheet name="Return&amp;RAV" sheetId="15" r:id="rId10"/>
    <sheet name="TaxPools" sheetId="195" r:id="rId11"/>
    <sheet name="Finance&amp;Tax" sheetId="161" r:id="rId12"/>
    <sheet name="Revenue" sheetId="9" r:id="rId13"/>
    <sheet name="LiveResults" sheetId="23" r:id="rId14"/>
    <sheet name="SavedResults" sheetId="157" r:id="rId15"/>
    <sheet name="ENWL" sheetId="204" r:id="rId16"/>
    <sheet name="NPgN" sheetId="205" r:id="rId17"/>
    <sheet name="NPgY" sheetId="212" r:id="rId18"/>
    <sheet name="WMID" sheetId="213" r:id="rId19"/>
    <sheet name="EMID" sheetId="214" r:id="rId20"/>
    <sheet name="SWALES" sheetId="215" r:id="rId21"/>
    <sheet name="SWEST" sheetId="216" r:id="rId22"/>
    <sheet name="LPN" sheetId="217" r:id="rId23"/>
    <sheet name="SPN" sheetId="277" r:id="rId24"/>
    <sheet name="EPN" sheetId="278" r:id="rId25"/>
    <sheet name="SPD" sheetId="279" r:id="rId26"/>
    <sheet name="SPMW" sheetId="280" r:id="rId27"/>
    <sheet name="SSEH" sheetId="281" r:id="rId28"/>
    <sheet name="SSES" sheetId="282" r:id="rId29"/>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localSheetId="8" hidden="1">0</definedName>
    <definedName name="_AtRisk_SimSetting_StdRecalcBehavior" hidden="1">1</definedName>
    <definedName name="_AtRisk_SimSetting_StdRecalcWithoutRiskStatic" hidden="1">0</definedName>
    <definedName name="_AtRisk_SimSetting_StdRecalcWithoutRiskStaticPercentile" hidden="1">0.5</definedName>
    <definedName name="_Order1" hidden="1">255</definedName>
    <definedName name="_Order2" hidden="1">0</definedName>
    <definedName name="ActDebt_Copy">#REF!</definedName>
    <definedName name="ActDebt_Offset">#REF!</definedName>
    <definedName name="ActDebt_Paste">#REF!</definedName>
    <definedName name="ActDebt_RangeE">#REF!</definedName>
    <definedName name="ActDebt_RangeS">#REF!</definedName>
    <definedName name="ActDebt_Scnr_Chosen">#REF!</definedName>
    <definedName name="ActDebtScnr">#REF!</definedName>
    <definedName name="ChecksArray">#REF!</definedName>
    <definedName name="ChecksArray_Full">#REF!</definedName>
    <definedName name="IncentiveStrength">TIM!$I$13</definedName>
    <definedName name="IterationInput">#REF!</definedName>
    <definedName name="m_calculated_tax">TaxTrigger!$AJ$59:$AQ$59</definedName>
    <definedName name="m_identity">UserInterface!$E$57</definedName>
    <definedName name="m_live_results">LiveResults!$C$15</definedName>
    <definedName name="m_live_results_end">LiveResults!$C$92</definedName>
    <definedName name="m_PCFM_year_t">UserInterface!$E$69</definedName>
    <definedName name="m_results_01">SavedResults!$C$19</definedName>
    <definedName name="m_results_02">SavedResults!$C$96</definedName>
    <definedName name="m_results_03">SavedResults!$C$173</definedName>
    <definedName name="m_results_04">SavedResults!$C$250</definedName>
    <definedName name="m_results_05">SavedResults!$C$327</definedName>
    <definedName name="m_results_06">SavedResults!$C$404</definedName>
    <definedName name="m_results_07">SavedResults!$C$481</definedName>
    <definedName name="m_results_08">SavedResults!$C$558</definedName>
    <definedName name="m_results_09">SavedResults!$C$635</definedName>
    <definedName name="m_results_10">SavedResults!$C$712</definedName>
    <definedName name="m_results_11">SavedResults!$C$789</definedName>
    <definedName name="m_results_12">SavedResults!$C$866</definedName>
    <definedName name="m_results_13">SavedResults!$C$943</definedName>
    <definedName name="m_results_14">SavedResults!$C$1020</definedName>
    <definedName name="m_saved_original_test">TaxTrigger!$AJ$65:$AQ$65</definedName>
    <definedName name="m_tax_trigger_results">TaxTrigger!$AJ$65:$AQ$65</definedName>
    <definedName name="m_tax_trigger_state">TaxTrigger!$E$32</definedName>
    <definedName name="m_tracked">UserInterface!$G$45</definedName>
    <definedName name="NewMatrix1">#REF!</definedName>
    <definedName name="NewMatrix2">#REF!</definedName>
    <definedName name="NumberofOperators">UserInterface!$E$43:$E$56</definedName>
    <definedName name="_xlnm.Print_Area" localSheetId="0">Cover!$A$1:$L$48</definedName>
    <definedName name="_xlnm.Print_Area" localSheetId="7">DARTs!$A$1:$AR$66</definedName>
    <definedName name="_xlnm.Print_Area" localSheetId="8">Depn!$1:$220</definedName>
    <definedName name="_xlnm.Print_Area" localSheetId="19">EMID!$A$1:$AR$465</definedName>
    <definedName name="_xlnm.Print_Area" localSheetId="15">ENWL!$A$1:$AR$465</definedName>
    <definedName name="_xlnm.Print_Area" localSheetId="24">EPN!$A$1:$AR$465</definedName>
    <definedName name="_xlnm.Print_Area" localSheetId="11">'Finance&amp;Tax'!$A$1:$AR$231</definedName>
    <definedName name="_xlnm.Print_Area" localSheetId="4">Input!$A$1:$AR$465</definedName>
    <definedName name="_xlnm.Print_Area" localSheetId="13">LiveResults!$A$1:$S$92</definedName>
    <definedName name="_xlnm.Print_Area" localSheetId="22">LPN!$A$1:$AR$465</definedName>
    <definedName name="_xlnm.Print_Area" localSheetId="3">MOD!$A$1:$AR$74</definedName>
    <definedName name="_xlnm.Print_Area" localSheetId="16">NPgN!$A$1:$AR$465</definedName>
    <definedName name="_xlnm.Print_Area" localSheetId="17">NPgY!$A$1:$AR$465</definedName>
    <definedName name="_xlnm.Print_Area" localSheetId="9">'Return&amp;RAV'!$A$1:$AR$82</definedName>
    <definedName name="_xlnm.Print_Area" localSheetId="12">Revenue!$A$1:$AR$73</definedName>
    <definedName name="_xlnm.Print_Area" localSheetId="25">SPD!$A$1:$AR$465</definedName>
    <definedName name="_xlnm.Print_Area" localSheetId="26">SPMW!$A$1:$AR$465</definedName>
    <definedName name="_xlnm.Print_Area" localSheetId="23">SPN!$A$1:$AR$465</definedName>
    <definedName name="_xlnm.Print_Area" localSheetId="27">SSEH!$A$1:$AR$465</definedName>
    <definedName name="_xlnm.Print_Area" localSheetId="28">SSES!$A$1:$AR$465</definedName>
    <definedName name="_xlnm.Print_Area" localSheetId="20">SWALES!$A$1:$AR$465</definedName>
    <definedName name="_xlnm.Print_Area" localSheetId="21">SWEST!$A$1:$AR$465</definedName>
    <definedName name="_xlnm.Print_Area" localSheetId="10">TaxPools!$A$1:$AR$129</definedName>
    <definedName name="_xlnm.Print_Area" localSheetId="2">TaxTrigger!$A$1:$AR$137</definedName>
    <definedName name="_xlnm.Print_Area" localSheetId="6">TIM!$A$1:$AR$88</definedName>
    <definedName name="_xlnm.Print_Area" localSheetId="5">Totex!$A$1:$AR$92</definedName>
    <definedName name="_xlnm.Print_Area" localSheetId="1">UserInterface!$A$1:$H$74</definedName>
    <definedName name="_xlnm.Print_Area" localSheetId="18">WMID!$A$1:$AR$465</definedName>
    <definedName name="_xlnm.Print_Titles" localSheetId="0">Cover!$1:$4</definedName>
    <definedName name="_xlnm.Print_Titles" localSheetId="7">DARTs!$1:$7</definedName>
    <definedName name="_xlnm.Print_Titles" localSheetId="8">Depn!$1:$7</definedName>
    <definedName name="_xlnm.Print_Titles" localSheetId="19">EMID!$1:$7</definedName>
    <definedName name="_xlnm.Print_Titles" localSheetId="15">ENWL!$1:$7</definedName>
    <definedName name="_xlnm.Print_Titles" localSheetId="24">EPN!$1:$7</definedName>
    <definedName name="_xlnm.Print_Titles" localSheetId="11">'Finance&amp;Tax'!$1:$7</definedName>
    <definedName name="_xlnm.Print_Titles" localSheetId="4">Input!$1:$7</definedName>
    <definedName name="_xlnm.Print_Titles" localSheetId="13">LiveResults!$1:$1</definedName>
    <definedName name="_xlnm.Print_Titles" localSheetId="22">LPN!$1:$7</definedName>
    <definedName name="_xlnm.Print_Titles" localSheetId="3">MOD!$1:$7</definedName>
    <definedName name="_xlnm.Print_Titles" localSheetId="16">NPgN!$1:$7</definedName>
    <definedName name="_xlnm.Print_Titles" localSheetId="17">NPgY!$1:$7</definedName>
    <definedName name="_xlnm.Print_Titles" localSheetId="9">'Return&amp;RAV'!$1:$7</definedName>
    <definedName name="_xlnm.Print_Titles" localSheetId="12">Revenue!$1:$7</definedName>
    <definedName name="_xlnm.Print_Titles" localSheetId="14">SavedResults!$1:$1</definedName>
    <definedName name="_xlnm.Print_Titles" localSheetId="25">SPD!$1:$7</definedName>
    <definedName name="_xlnm.Print_Titles" localSheetId="26">SPMW!$1:$7</definedName>
    <definedName name="_xlnm.Print_Titles" localSheetId="23">SPN!$1:$7</definedName>
    <definedName name="_xlnm.Print_Titles" localSheetId="27">SSEH!$1:$7</definedName>
    <definedName name="_xlnm.Print_Titles" localSheetId="28">SSES!$1:$7</definedName>
    <definedName name="_xlnm.Print_Titles" localSheetId="20">SWALES!$1:$7</definedName>
    <definedName name="_xlnm.Print_Titles" localSheetId="21">SWEST!$1:$7</definedName>
    <definedName name="_xlnm.Print_Titles" localSheetId="10">TaxPools!$1:$7</definedName>
    <definedName name="_xlnm.Print_Titles" localSheetId="2">TaxTrigger!$1:$8</definedName>
    <definedName name="_xlnm.Print_Titles" localSheetId="6">TIM!$1:$7</definedName>
    <definedName name="_xlnm.Print_Titles" localSheetId="5">Totex!$1:$7</definedName>
    <definedName name="_xlnm.Print_Titles" localSheetId="1">UserInterface!$1:$1</definedName>
    <definedName name="_xlnm.Print_Titles" localSheetId="18">WMID!$1:$7</definedName>
    <definedName name="RevProfileCheckb">#REF!</definedName>
    <definedName name="RiskAfterRecalcMacro" hidden="1">"Simulation"</definedName>
    <definedName name="RiskAfterSimMacro" localSheetId="8" hidden="1">""</definedName>
    <definedName name="RiskAfterSimMacro" hidden="1">"Reset"</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localSheetId="8" hidden="1">100</definedName>
    <definedName name="RiskNumIterations" hidden="1">1000</definedName>
    <definedName name="RiskNumSimulations" hidden="1">1</definedName>
    <definedName name="RiskPauseOnError" hidden="1">FALSE</definedName>
    <definedName name="RiskRunAfterRecalcMacro" hidden="1">TRUE</definedName>
    <definedName name="RiskRunAfterSimMacro" localSheetId="8" hidden="1">FALSE</definedName>
    <definedName name="RiskRunAfterSimMacro" hidden="1">TRUE</definedName>
    <definedName name="RiskRunBeforeRecalcMacro" hidden="1">FALSE</definedName>
    <definedName name="RiskRunBeforeSimMacro" hidden="1">FALSE</definedName>
    <definedName name="RiskSamplingType" hidden="1">3</definedName>
    <definedName name="RiskStandardRecalc" localSheetId="8" hidden="1">1</definedName>
    <definedName name="RiskStandardRecalc" hidden="1">2</definedName>
    <definedName name="RiskUpdateDisplay" hidden="1">FALSE</definedName>
    <definedName name="RiskUseDifferentSeedForEachSim" hidden="1">FALSE</definedName>
    <definedName name="RiskUseFixedSeed" localSheetId="8" hidden="1">FALSE</definedName>
    <definedName name="RiskUseFixedSeed" hidden="1">TRUE</definedName>
    <definedName name="RiskUseMultipleCPUs" hidden="1">FALSE</definedName>
    <definedName name="RP_Adjs">#REF!</definedName>
    <definedName name="RP_Adjs_Pasted">#REF!</definedName>
    <definedName name="RP_Closing">#REF!</definedName>
    <definedName name="RP_Flow">#REF!</definedName>
    <definedName name="RP_Flowb">#REF!</definedName>
    <definedName name="RP_Iter_Yr1">#REF!</definedName>
    <definedName name="RP_matrix">#REF!</definedName>
    <definedName name="RP_matrix_Top">#REF!</definedName>
    <definedName name="RP_Perc_Check">#REF!</definedName>
    <definedName name="RP_Revised_Adj">#REF!</definedName>
    <definedName name="RP_Revised_Iter">#REF!</definedName>
    <definedName name="RP_Revised_Perc">#REF!</definedName>
    <definedName name="RP_Scalar">#REF!</definedName>
    <definedName name="RPb_Adjs">#REF!</definedName>
    <definedName name="RPb_Adjs_Pasted">#REF!</definedName>
    <definedName name="RPb_Closing">#REF!</definedName>
    <definedName name="RPb_Iter_Yr1">#REF!</definedName>
    <definedName name="RPb_matrix">#REF!</definedName>
    <definedName name="RPb_matrix_Top">#REF!</definedName>
    <definedName name="RPb_Perc_Check">#REF!</definedName>
    <definedName name="RPb_Revised_Adj">#REF!</definedName>
    <definedName name="RPb_Revised_Iter">#REF!</definedName>
    <definedName name="RPb_Revised_Perc">#REF!</definedName>
    <definedName name="RPb_Scalar">#REF!</definedName>
    <definedName name="SAPBEXhrIndnt" hidden="1">"Wide"</definedName>
    <definedName name="SAPsysID" hidden="1">"708C5W7SBKP804JT78WJ0JNKI"</definedName>
    <definedName name="SAPwbID" hidden="1">"ARS"</definedName>
    <definedName name="TVMcheckb">#REF!</definedName>
    <definedName name="TVMcopyb">#REF!</definedName>
    <definedName name="Use_FixedYear_RP">#REF!</definedName>
    <definedName name="Use_FlexYear_RP">#REF!</definedName>
    <definedName name="view">UserInterface!$E$77</definedName>
    <definedName name="Yr1_Adj">#REF!</definedName>
    <definedName name="Yr1_Diff">#REF!</definedName>
  </definedNames>
  <calcPr calcId="152511"/>
</workbook>
</file>

<file path=xl/calcChain.xml><?xml version="1.0" encoding="utf-8"?>
<calcChain xmlns="http://schemas.openxmlformats.org/spreadsheetml/2006/main">
  <c r="AM206" i="281" l="1"/>
  <c r="AQ206" i="281"/>
  <c r="AQ215" i="281"/>
  <c r="AP215" i="281"/>
  <c r="AO215" i="281"/>
  <c r="AN215" i="281"/>
  <c r="AM215" i="281"/>
  <c r="AL215" i="281"/>
  <c r="AK215" i="281"/>
  <c r="AJ215" i="281"/>
  <c r="AP206" i="281"/>
  <c r="AO206" i="281"/>
  <c r="AN206" i="281"/>
  <c r="AL206" i="281"/>
  <c r="AK206" i="281"/>
  <c r="AJ206" i="281"/>
  <c r="AQ197" i="281"/>
  <c r="AP197" i="281"/>
  <c r="AO197" i="281"/>
  <c r="AN197" i="281"/>
  <c r="AM197" i="281"/>
  <c r="AL197" i="281"/>
  <c r="AK197" i="281"/>
  <c r="AJ197" i="281"/>
  <c r="AQ188" i="281"/>
  <c r="AP188" i="281"/>
  <c r="AO188" i="281"/>
  <c r="AN188" i="281"/>
  <c r="AM188" i="281"/>
  <c r="AL188" i="281"/>
  <c r="AK188" i="281"/>
  <c r="AJ188" i="281"/>
  <c r="AK27" i="189" l="1"/>
  <c r="AL27" i="189"/>
  <c r="AM27" i="189"/>
  <c r="AN27" i="189"/>
  <c r="AO27" i="189"/>
  <c r="AP27" i="189"/>
  <c r="AQ27" i="189"/>
  <c r="AK28" i="189"/>
  <c r="AL28" i="189"/>
  <c r="AM28" i="189"/>
  <c r="AN28" i="189"/>
  <c r="AO28" i="189"/>
  <c r="AP28" i="189"/>
  <c r="AQ28" i="189"/>
  <c r="AK29" i="189"/>
  <c r="AL29" i="189"/>
  <c r="AM29" i="189"/>
  <c r="AN29" i="189"/>
  <c r="AO29" i="189"/>
  <c r="AP29" i="189"/>
  <c r="AQ29" i="189"/>
  <c r="AK30" i="189"/>
  <c r="AL30" i="189"/>
  <c r="AM30" i="189"/>
  <c r="AN30" i="189"/>
  <c r="AO30" i="189"/>
  <c r="AP30" i="189"/>
  <c r="AQ30" i="189"/>
  <c r="AK31" i="189"/>
  <c r="AL31" i="189"/>
  <c r="AM31" i="189"/>
  <c r="AN31" i="189"/>
  <c r="AO31" i="189"/>
  <c r="AP31" i="189"/>
  <c r="AQ31" i="189"/>
  <c r="AK32" i="189"/>
  <c r="AL32" i="189"/>
  <c r="AM32" i="189"/>
  <c r="AN32" i="189"/>
  <c r="AO32" i="189"/>
  <c r="AP32" i="189"/>
  <c r="AQ32" i="189"/>
  <c r="AJ28" i="189"/>
  <c r="AJ29" i="189"/>
  <c r="AJ30" i="189"/>
  <c r="AJ31" i="189"/>
  <c r="AJ32" i="189"/>
  <c r="AJ27" i="189"/>
  <c r="G18" i="7" l="1"/>
  <c r="G45" i="7" s="1"/>
  <c r="AQ34" i="189" l="1"/>
  <c r="AP34" i="189"/>
  <c r="AO34" i="189"/>
  <c r="AN34" i="189"/>
  <c r="AM34" i="189"/>
  <c r="AL34" i="189"/>
  <c r="AK34" i="189"/>
  <c r="AJ34" i="189"/>
  <c r="AJ49" i="204" l="1"/>
  <c r="G491" i="205" l="1"/>
  <c r="G492" i="205"/>
  <c r="G491" i="212"/>
  <c r="G492" i="212"/>
  <c r="G491" i="217"/>
  <c r="G492" i="217"/>
  <c r="G491" i="277"/>
  <c r="G492" i="277"/>
  <c r="G491" i="278"/>
  <c r="G492" i="278"/>
  <c r="G491" i="279"/>
  <c r="G492" i="279"/>
  <c r="G491" i="280"/>
  <c r="G492" i="280"/>
  <c r="G491" i="281"/>
  <c r="G492" i="281"/>
  <c r="G491" i="282"/>
  <c r="G492" i="282"/>
  <c r="G491" i="204"/>
  <c r="G492" i="204"/>
  <c r="G490" i="205"/>
  <c r="G490" i="212"/>
  <c r="G490" i="217"/>
  <c r="G490" i="277"/>
  <c r="G490" i="278"/>
  <c r="G490" i="279"/>
  <c r="G490" i="280"/>
  <c r="G490" i="281"/>
  <c r="G490" i="282"/>
  <c r="G490" i="204"/>
  <c r="E491" i="205"/>
  <c r="E492" i="205"/>
  <c r="E491" i="212"/>
  <c r="E492" i="212"/>
  <c r="E491" i="217"/>
  <c r="E492" i="217"/>
  <c r="E491" i="277"/>
  <c r="E492" i="277"/>
  <c r="E491" i="278"/>
  <c r="E492" i="278"/>
  <c r="E491" i="279"/>
  <c r="E492" i="279"/>
  <c r="E491" i="280"/>
  <c r="E492" i="280"/>
  <c r="E491" i="281"/>
  <c r="E492" i="281"/>
  <c r="E491" i="282"/>
  <c r="E492" i="282"/>
  <c r="E491" i="204"/>
  <c r="E492" i="204"/>
  <c r="E490" i="205"/>
  <c r="E490" i="212"/>
  <c r="E490" i="217"/>
  <c r="E490" i="277"/>
  <c r="E490" i="278"/>
  <c r="E490" i="279"/>
  <c r="E490" i="280"/>
  <c r="E490" i="281"/>
  <c r="E490" i="282"/>
  <c r="E490" i="204"/>
  <c r="E473" i="205"/>
  <c r="E474" i="205"/>
  <c r="E476" i="205"/>
  <c r="E478" i="205"/>
  <c r="E479" i="205"/>
  <c r="E481" i="205"/>
  <c r="E482" i="205"/>
  <c r="E483" i="205"/>
  <c r="E484" i="205"/>
  <c r="E486" i="205"/>
  <c r="E473" i="212"/>
  <c r="E474" i="212"/>
  <c r="E476" i="212"/>
  <c r="E478" i="212"/>
  <c r="E479" i="212"/>
  <c r="E481" i="212"/>
  <c r="E482" i="212"/>
  <c r="E483" i="212"/>
  <c r="E484" i="212"/>
  <c r="E486" i="212"/>
  <c r="E473" i="217"/>
  <c r="E474" i="217"/>
  <c r="E476" i="217"/>
  <c r="E478" i="217"/>
  <c r="E479" i="217"/>
  <c r="E481" i="217"/>
  <c r="E482" i="217"/>
  <c r="E483" i="217"/>
  <c r="E484" i="217"/>
  <c r="E486" i="217"/>
  <c r="E473" i="277"/>
  <c r="E474" i="277"/>
  <c r="E476" i="277"/>
  <c r="E478" i="277"/>
  <c r="E479" i="277"/>
  <c r="E481" i="277"/>
  <c r="E482" i="277"/>
  <c r="E483" i="277"/>
  <c r="E484" i="277"/>
  <c r="E486" i="277"/>
  <c r="E473" i="278"/>
  <c r="E474" i="278"/>
  <c r="E476" i="278"/>
  <c r="E478" i="278"/>
  <c r="E479" i="278"/>
  <c r="E481" i="278"/>
  <c r="E482" i="278"/>
  <c r="E483" i="278"/>
  <c r="E484" i="278"/>
  <c r="E486" i="278"/>
  <c r="E473" i="279"/>
  <c r="E474" i="279"/>
  <c r="E476" i="279"/>
  <c r="E478" i="279"/>
  <c r="E479" i="279"/>
  <c r="E481" i="279"/>
  <c r="E482" i="279"/>
  <c r="E483" i="279"/>
  <c r="E484" i="279"/>
  <c r="E486" i="279"/>
  <c r="E473" i="280"/>
  <c r="E474" i="280"/>
  <c r="E476" i="280"/>
  <c r="E478" i="280"/>
  <c r="E479" i="280"/>
  <c r="E481" i="280"/>
  <c r="E482" i="280"/>
  <c r="E483" i="280"/>
  <c r="E484" i="280"/>
  <c r="E486" i="280"/>
  <c r="E473" i="281"/>
  <c r="E474" i="281"/>
  <c r="E476" i="281"/>
  <c r="E478" i="281"/>
  <c r="E479" i="281"/>
  <c r="E481" i="281"/>
  <c r="E482" i="281"/>
  <c r="E483" i="281"/>
  <c r="E484" i="281"/>
  <c r="E486" i="281"/>
  <c r="E473" i="282"/>
  <c r="E474" i="282"/>
  <c r="E476" i="282"/>
  <c r="E478" i="282"/>
  <c r="E479" i="282"/>
  <c r="E481" i="282"/>
  <c r="E482" i="282"/>
  <c r="E483" i="282"/>
  <c r="E484" i="282"/>
  <c r="E486" i="282"/>
  <c r="E473" i="204"/>
  <c r="E474" i="204"/>
  <c r="E476" i="204"/>
  <c r="E478" i="204"/>
  <c r="E479" i="204"/>
  <c r="E481" i="204"/>
  <c r="E482" i="204"/>
  <c r="E483" i="204"/>
  <c r="E484" i="204"/>
  <c r="E486" i="204"/>
  <c r="E472" i="205"/>
  <c r="E472" i="212"/>
  <c r="E472" i="217"/>
  <c r="E472" i="277"/>
  <c r="E472" i="278"/>
  <c r="E472" i="279"/>
  <c r="E472" i="280"/>
  <c r="E472" i="281"/>
  <c r="E472" i="282"/>
  <c r="E472" i="204"/>
  <c r="E468" i="205"/>
  <c r="E468" i="212"/>
  <c r="E468" i="217"/>
  <c r="E468" i="277"/>
  <c r="E468" i="278"/>
  <c r="E468" i="279"/>
  <c r="E468" i="280"/>
  <c r="E468" i="281"/>
  <c r="E468" i="282"/>
  <c r="E468" i="204"/>
  <c r="AK215" i="205" l="1"/>
  <c r="AL215" i="205"/>
  <c r="AM215" i="205"/>
  <c r="AN215" i="205"/>
  <c r="AO215" i="205"/>
  <c r="AP215" i="205"/>
  <c r="AQ215" i="205"/>
  <c r="AK215" i="212"/>
  <c r="AL215" i="212"/>
  <c r="AM215" i="212"/>
  <c r="AN215" i="212"/>
  <c r="AO215" i="212"/>
  <c r="AP215" i="212"/>
  <c r="AQ215" i="212"/>
  <c r="AK215" i="217"/>
  <c r="AL215" i="217"/>
  <c r="AM215" i="217"/>
  <c r="AN215" i="217"/>
  <c r="AO215" i="217"/>
  <c r="AP215" i="217"/>
  <c r="AQ215" i="217"/>
  <c r="AK215" i="277"/>
  <c r="AL215" i="277"/>
  <c r="AM215" i="277"/>
  <c r="AN215" i="277"/>
  <c r="AO215" i="277"/>
  <c r="AP215" i="277"/>
  <c r="AQ215" i="277"/>
  <c r="AK215" i="278"/>
  <c r="AL215" i="278"/>
  <c r="AM215" i="278"/>
  <c r="AN215" i="278"/>
  <c r="AO215" i="278"/>
  <c r="AP215" i="278"/>
  <c r="AQ215" i="278"/>
  <c r="AK215" i="279"/>
  <c r="AL215" i="279"/>
  <c r="AM215" i="279"/>
  <c r="AN215" i="279"/>
  <c r="AO215" i="279"/>
  <c r="AP215" i="279"/>
  <c r="AQ215" i="279"/>
  <c r="AK215" i="280"/>
  <c r="AL215" i="280"/>
  <c r="AM215" i="280"/>
  <c r="AN215" i="280"/>
  <c r="AO215" i="280"/>
  <c r="AP215" i="280"/>
  <c r="AQ215" i="280"/>
  <c r="AK215" i="282"/>
  <c r="AL215" i="282"/>
  <c r="AM215" i="282"/>
  <c r="AN215" i="282"/>
  <c r="AO215" i="282"/>
  <c r="AP215" i="282"/>
  <c r="AQ215" i="282"/>
  <c r="AK215" i="204"/>
  <c r="AL215" i="204"/>
  <c r="AM215" i="204"/>
  <c r="AN215" i="204"/>
  <c r="AO215" i="204"/>
  <c r="AP215" i="204"/>
  <c r="AQ215" i="204"/>
  <c r="AK206" i="205"/>
  <c r="AL206" i="205"/>
  <c r="AM206" i="205"/>
  <c r="AN206" i="205"/>
  <c r="AO206" i="205"/>
  <c r="AP206" i="205"/>
  <c r="AQ206" i="205"/>
  <c r="AK206" i="212"/>
  <c r="AL206" i="212"/>
  <c r="AM206" i="212"/>
  <c r="AN206" i="212"/>
  <c r="AO206" i="212"/>
  <c r="AP206" i="212"/>
  <c r="AQ206" i="212"/>
  <c r="AK206" i="217"/>
  <c r="AL206" i="217"/>
  <c r="AM206" i="217"/>
  <c r="AN206" i="217"/>
  <c r="AO206" i="217"/>
  <c r="AP206" i="217"/>
  <c r="AQ206" i="217"/>
  <c r="AK206" i="277"/>
  <c r="AL206" i="277"/>
  <c r="AM206" i="277"/>
  <c r="AN206" i="277"/>
  <c r="AO206" i="277"/>
  <c r="AP206" i="277"/>
  <c r="AQ206" i="277"/>
  <c r="AK206" i="278"/>
  <c r="AL206" i="278"/>
  <c r="AM206" i="278"/>
  <c r="AN206" i="278"/>
  <c r="AO206" i="278"/>
  <c r="AP206" i="278"/>
  <c r="AQ206" i="278"/>
  <c r="AK206" i="279"/>
  <c r="AL206" i="279"/>
  <c r="AM206" i="279"/>
  <c r="AN206" i="279"/>
  <c r="AO206" i="279"/>
  <c r="AP206" i="279"/>
  <c r="AQ206" i="279"/>
  <c r="AK206" i="280"/>
  <c r="AL206" i="280"/>
  <c r="AM206" i="280"/>
  <c r="AN206" i="280"/>
  <c r="AO206" i="280"/>
  <c r="AP206" i="280"/>
  <c r="AQ206" i="280"/>
  <c r="AK206" i="282"/>
  <c r="AL206" i="282"/>
  <c r="AM206" i="282"/>
  <c r="AN206" i="282"/>
  <c r="AO206" i="282"/>
  <c r="AP206" i="282"/>
  <c r="AQ206" i="282"/>
  <c r="AK206" i="204"/>
  <c r="AL206" i="204"/>
  <c r="AM206" i="204"/>
  <c r="AN206" i="204"/>
  <c r="AO206" i="204"/>
  <c r="AP206" i="204"/>
  <c r="AQ206" i="204"/>
  <c r="AJ215" i="205"/>
  <c r="AJ215" i="212"/>
  <c r="AJ215" i="217"/>
  <c r="AJ215" i="277"/>
  <c r="AJ215" i="278"/>
  <c r="AJ215" i="279"/>
  <c r="AJ215" i="280"/>
  <c r="AJ215" i="282"/>
  <c r="AJ215" i="204"/>
  <c r="AJ206" i="205"/>
  <c r="AJ206" i="212"/>
  <c r="AJ206" i="217"/>
  <c r="AJ206" i="277"/>
  <c r="AJ206" i="278"/>
  <c r="AJ206" i="279"/>
  <c r="AJ206" i="280"/>
  <c r="AJ206" i="282"/>
  <c r="AJ206" i="204"/>
  <c r="E222" i="205"/>
  <c r="E221" i="205"/>
  <c r="E219" i="205"/>
  <c r="E218" i="205"/>
  <c r="E217" i="205"/>
  <c r="E216" i="205"/>
  <c r="E222" i="212"/>
  <c r="E221" i="212"/>
  <c r="E219" i="212"/>
  <c r="E218" i="212"/>
  <c r="E217" i="212"/>
  <c r="E216" i="212"/>
  <c r="E222" i="217"/>
  <c r="E221" i="217"/>
  <c r="E219" i="217"/>
  <c r="E218" i="217"/>
  <c r="E217" i="217"/>
  <c r="E216" i="217"/>
  <c r="E222" i="277"/>
  <c r="E221" i="277"/>
  <c r="E219" i="277"/>
  <c r="E218" i="277"/>
  <c r="E217" i="277"/>
  <c r="E216" i="277"/>
  <c r="E222" i="278"/>
  <c r="E221" i="278"/>
  <c r="E219" i="278"/>
  <c r="E218" i="278"/>
  <c r="E217" i="278"/>
  <c r="E216" i="278"/>
  <c r="E222" i="279"/>
  <c r="E221" i="279"/>
  <c r="E219" i="279"/>
  <c r="E218" i="279"/>
  <c r="E217" i="279"/>
  <c r="E216" i="279"/>
  <c r="E222" i="280"/>
  <c r="E221" i="280"/>
  <c r="E219" i="280"/>
  <c r="E218" i="280"/>
  <c r="E217" i="280"/>
  <c r="E216" i="280"/>
  <c r="E222" i="281"/>
  <c r="E221" i="281"/>
  <c r="E219" i="281"/>
  <c r="E218" i="281"/>
  <c r="E217" i="281"/>
  <c r="E216" i="281"/>
  <c r="E222" i="282"/>
  <c r="E221" i="282"/>
  <c r="E219" i="282"/>
  <c r="E218" i="282"/>
  <c r="E217" i="282"/>
  <c r="E216" i="282"/>
  <c r="E222" i="204"/>
  <c r="E221" i="204"/>
  <c r="E219" i="204"/>
  <c r="E218" i="204"/>
  <c r="E217" i="204"/>
  <c r="E216" i="204"/>
  <c r="E213" i="205"/>
  <c r="E212" i="205"/>
  <c r="E210" i="205"/>
  <c r="E209" i="205"/>
  <c r="E208" i="205"/>
  <c r="E207" i="205"/>
  <c r="E213" i="212"/>
  <c r="E212" i="212"/>
  <c r="E210" i="212"/>
  <c r="E209" i="212"/>
  <c r="E208" i="212"/>
  <c r="E207" i="212"/>
  <c r="E213" i="217"/>
  <c r="E212" i="217"/>
  <c r="E210" i="217"/>
  <c r="E209" i="217"/>
  <c r="E208" i="217"/>
  <c r="E207" i="217"/>
  <c r="E213" i="277"/>
  <c r="E212" i="277"/>
  <c r="E210" i="277"/>
  <c r="E209" i="277"/>
  <c r="E208" i="277"/>
  <c r="E207" i="277"/>
  <c r="E213" i="278"/>
  <c r="E212" i="278"/>
  <c r="E210" i="278"/>
  <c r="E209" i="278"/>
  <c r="E208" i="278"/>
  <c r="E207" i="278"/>
  <c r="E213" i="279"/>
  <c r="E212" i="279"/>
  <c r="E210" i="279"/>
  <c r="E209" i="279"/>
  <c r="E208" i="279"/>
  <c r="E207" i="279"/>
  <c r="E213" i="280"/>
  <c r="E212" i="280"/>
  <c r="E210" i="280"/>
  <c r="E209" i="280"/>
  <c r="E208" i="280"/>
  <c r="E207" i="280"/>
  <c r="E213" i="281"/>
  <c r="E212" i="281"/>
  <c r="E210" i="281"/>
  <c r="E209" i="281"/>
  <c r="E208" i="281"/>
  <c r="E207" i="281"/>
  <c r="E213" i="282"/>
  <c r="E212" i="282"/>
  <c r="E210" i="282"/>
  <c r="E209" i="282"/>
  <c r="E208" i="282"/>
  <c r="E207" i="282"/>
  <c r="E213" i="204"/>
  <c r="E212" i="204"/>
  <c r="E210" i="204"/>
  <c r="E209" i="204"/>
  <c r="E208" i="204"/>
  <c r="E207" i="204"/>
  <c r="F30" i="205"/>
  <c r="G30" i="205"/>
  <c r="H30" i="205"/>
  <c r="F31" i="205"/>
  <c r="G31" i="205"/>
  <c r="H31" i="205"/>
  <c r="F30" i="212"/>
  <c r="G30" i="212"/>
  <c r="H30" i="212"/>
  <c r="F31" i="212"/>
  <c r="G31" i="212"/>
  <c r="H31" i="212"/>
  <c r="F30" i="217"/>
  <c r="G30" i="217"/>
  <c r="H30" i="217"/>
  <c r="F31" i="217"/>
  <c r="G31" i="217"/>
  <c r="H31" i="217"/>
  <c r="F30" i="277"/>
  <c r="G30" i="277"/>
  <c r="H30" i="277"/>
  <c r="F31" i="277"/>
  <c r="G31" i="277"/>
  <c r="H31" i="277"/>
  <c r="F30" i="278"/>
  <c r="G30" i="278"/>
  <c r="H30" i="278"/>
  <c r="F31" i="278"/>
  <c r="G31" i="278"/>
  <c r="H31" i="278"/>
  <c r="F30" i="279"/>
  <c r="G30" i="279"/>
  <c r="H30" i="279"/>
  <c r="F31" i="279"/>
  <c r="G31" i="279"/>
  <c r="H31" i="279"/>
  <c r="F30" i="280"/>
  <c r="G30" i="280"/>
  <c r="H30" i="280"/>
  <c r="F31" i="280"/>
  <c r="G31" i="280"/>
  <c r="H31" i="280"/>
  <c r="F30" i="281"/>
  <c r="G30" i="281"/>
  <c r="H30" i="281"/>
  <c r="F31" i="281"/>
  <c r="G31" i="281"/>
  <c r="H31" i="281"/>
  <c r="F30" i="282"/>
  <c r="G30" i="282"/>
  <c r="H30" i="282"/>
  <c r="F31" i="282"/>
  <c r="G31" i="282"/>
  <c r="H31" i="282"/>
  <c r="F30" i="204"/>
  <c r="G30" i="204"/>
  <c r="H30" i="204"/>
  <c r="F31" i="204"/>
  <c r="G31" i="204"/>
  <c r="H31" i="204"/>
  <c r="E30" i="205"/>
  <c r="E206" i="205" s="1"/>
  <c r="E31" i="205"/>
  <c r="E215" i="205" s="1"/>
  <c r="E30" i="212"/>
  <c r="E206" i="212" s="1"/>
  <c r="E31" i="212"/>
  <c r="E215" i="212" s="1"/>
  <c r="E30" i="217"/>
  <c r="E206" i="217" s="1"/>
  <c r="E31" i="217"/>
  <c r="E215" i="217" s="1"/>
  <c r="E30" i="277"/>
  <c r="E206" i="277" s="1"/>
  <c r="E31" i="277"/>
  <c r="E215" i="277" s="1"/>
  <c r="E30" i="278"/>
  <c r="E206" i="278" s="1"/>
  <c r="E31" i="278"/>
  <c r="E215" i="278" s="1"/>
  <c r="E30" i="279"/>
  <c r="E206" i="279" s="1"/>
  <c r="E31" i="279"/>
  <c r="E215" i="279" s="1"/>
  <c r="E30" i="280"/>
  <c r="E206" i="280" s="1"/>
  <c r="E31" i="280"/>
  <c r="E215" i="280" s="1"/>
  <c r="E30" i="281"/>
  <c r="E206" i="281" s="1"/>
  <c r="E31" i="281"/>
  <c r="E215" i="281" s="1"/>
  <c r="E30" i="282"/>
  <c r="E206" i="282" s="1"/>
  <c r="E31" i="282"/>
  <c r="E215" i="282" s="1"/>
  <c r="E30" i="204"/>
  <c r="E206" i="204" s="1"/>
  <c r="E31" i="204"/>
  <c r="E215" i="204" s="1"/>
  <c r="AQ222" i="189"/>
  <c r="AP222" i="189"/>
  <c r="AO222" i="189"/>
  <c r="AN222" i="189"/>
  <c r="AM222" i="189"/>
  <c r="AL222" i="189"/>
  <c r="AK222" i="189"/>
  <c r="AJ222" i="189"/>
  <c r="AQ221" i="189"/>
  <c r="AP221" i="189"/>
  <c r="AO221" i="189"/>
  <c r="AN221" i="189"/>
  <c r="AM221" i="189"/>
  <c r="AL221" i="189"/>
  <c r="AK221" i="189"/>
  <c r="AJ221" i="189"/>
  <c r="AQ220" i="189"/>
  <c r="AP220" i="189"/>
  <c r="AO220" i="189"/>
  <c r="AN220" i="189"/>
  <c r="AM220" i="189"/>
  <c r="AL220" i="189"/>
  <c r="AK220" i="189"/>
  <c r="AJ220" i="189"/>
  <c r="AQ219" i="189"/>
  <c r="AP219" i="189"/>
  <c r="AO219" i="189"/>
  <c r="AN219" i="189"/>
  <c r="AM219" i="189"/>
  <c r="AL219" i="189"/>
  <c r="AK219" i="189"/>
  <c r="AJ219" i="189"/>
  <c r="AQ218" i="189"/>
  <c r="AP218" i="189"/>
  <c r="AO218" i="189"/>
  <c r="AN218" i="189"/>
  <c r="AM218" i="189"/>
  <c r="AL218" i="189"/>
  <c r="AK218" i="189"/>
  <c r="AJ218" i="189"/>
  <c r="AQ217" i="189"/>
  <c r="AP217" i="189"/>
  <c r="AO217" i="189"/>
  <c r="AN217" i="189"/>
  <c r="AM217" i="189"/>
  <c r="AL217" i="189"/>
  <c r="AK217" i="189"/>
  <c r="AJ217" i="189"/>
  <c r="AQ216" i="189"/>
  <c r="AP216" i="189"/>
  <c r="AO216" i="189"/>
  <c r="AN216" i="189"/>
  <c r="AM216" i="189"/>
  <c r="AL216" i="189"/>
  <c r="AK216" i="189"/>
  <c r="AJ216" i="189"/>
  <c r="AQ213" i="189"/>
  <c r="AP213" i="189"/>
  <c r="AO213" i="189"/>
  <c r="AN213" i="189"/>
  <c r="AM213" i="189"/>
  <c r="AL213" i="189"/>
  <c r="AK213" i="189"/>
  <c r="AJ213" i="189"/>
  <c r="AQ212" i="189"/>
  <c r="AP212" i="189"/>
  <c r="AO212" i="189"/>
  <c r="AN212" i="189"/>
  <c r="AM212" i="189"/>
  <c r="AL212" i="189"/>
  <c r="AK212" i="189"/>
  <c r="AJ212" i="189"/>
  <c r="AQ211" i="189"/>
  <c r="AP211" i="189"/>
  <c r="AO211" i="189"/>
  <c r="AN211" i="189"/>
  <c r="AM211" i="189"/>
  <c r="AL211" i="189"/>
  <c r="AK211" i="189"/>
  <c r="AJ211" i="189"/>
  <c r="AQ210" i="189"/>
  <c r="AP210" i="189"/>
  <c r="AO210" i="189"/>
  <c r="AN210" i="189"/>
  <c r="AM210" i="189"/>
  <c r="AL210" i="189"/>
  <c r="AK210" i="189"/>
  <c r="AJ210" i="189"/>
  <c r="AQ209" i="189"/>
  <c r="AP209" i="189"/>
  <c r="AO209" i="189"/>
  <c r="AN209" i="189"/>
  <c r="AM209" i="189"/>
  <c r="AL209" i="189"/>
  <c r="AK209" i="189"/>
  <c r="AJ209" i="189"/>
  <c r="AQ208" i="189"/>
  <c r="AP208" i="189"/>
  <c r="AO208" i="189"/>
  <c r="AN208" i="189"/>
  <c r="AM208" i="189"/>
  <c r="AL208" i="189"/>
  <c r="AK208" i="189"/>
  <c r="AJ208" i="189"/>
  <c r="AQ207" i="189"/>
  <c r="AP207" i="189"/>
  <c r="AO207" i="189"/>
  <c r="AN207" i="189"/>
  <c r="AM207" i="189"/>
  <c r="AL207" i="189"/>
  <c r="AK207" i="189"/>
  <c r="AJ207" i="189"/>
  <c r="AK206" i="189"/>
  <c r="AL206" i="189"/>
  <c r="AM206" i="189"/>
  <c r="AN206" i="189"/>
  <c r="AO206" i="189"/>
  <c r="AP206" i="189"/>
  <c r="AQ206" i="189"/>
  <c r="AK215" i="189"/>
  <c r="AL215" i="189"/>
  <c r="AM215" i="189"/>
  <c r="AN215" i="189"/>
  <c r="AO215" i="189"/>
  <c r="AP215" i="189"/>
  <c r="AQ215" i="189"/>
  <c r="AJ206" i="189"/>
  <c r="AJ215" i="189"/>
  <c r="E215" i="189"/>
  <c r="E206" i="189"/>
  <c r="AK224" i="189" l="1"/>
  <c r="AL224" i="189"/>
  <c r="AM224" i="189"/>
  <c r="AN224" i="189"/>
  <c r="AO224" i="189"/>
  <c r="AP224" i="189"/>
  <c r="AQ224" i="189"/>
  <c r="AJ224" i="189"/>
  <c r="AK224" i="205"/>
  <c r="AL224" i="205"/>
  <c r="AM224" i="205"/>
  <c r="AN224" i="205"/>
  <c r="AO224" i="205"/>
  <c r="AP224" i="205"/>
  <c r="AQ224" i="205"/>
  <c r="AK224" i="212"/>
  <c r="AL224" i="212"/>
  <c r="AM224" i="212"/>
  <c r="AN224" i="212"/>
  <c r="AO224" i="212"/>
  <c r="AP224" i="212"/>
  <c r="AQ224" i="212"/>
  <c r="AK224" i="217"/>
  <c r="AL224" i="217"/>
  <c r="AM224" i="217"/>
  <c r="AN224" i="217"/>
  <c r="AO224" i="217"/>
  <c r="AP224" i="217"/>
  <c r="AQ224" i="217"/>
  <c r="AK224" i="277"/>
  <c r="AL224" i="277"/>
  <c r="AM224" i="277"/>
  <c r="AN224" i="277"/>
  <c r="AO224" i="277"/>
  <c r="AP224" i="277"/>
  <c r="AQ224" i="277"/>
  <c r="AK224" i="278"/>
  <c r="AL224" i="278"/>
  <c r="AM224" i="278"/>
  <c r="AN224" i="278"/>
  <c r="AO224" i="278"/>
  <c r="AP224" i="278"/>
  <c r="AQ224" i="278"/>
  <c r="AK224" i="279"/>
  <c r="AL224" i="279"/>
  <c r="AM224" i="279"/>
  <c r="AN224" i="279"/>
  <c r="AO224" i="279"/>
  <c r="AP224" i="279"/>
  <c r="AQ224" i="279"/>
  <c r="AK224" i="280"/>
  <c r="AL224" i="280"/>
  <c r="AM224" i="280"/>
  <c r="AN224" i="280"/>
  <c r="AO224" i="280"/>
  <c r="AP224" i="280"/>
  <c r="AQ224" i="280"/>
  <c r="AK224" i="281"/>
  <c r="AL224" i="281"/>
  <c r="AM224" i="281"/>
  <c r="AN224" i="281"/>
  <c r="AO224" i="281"/>
  <c r="AP224" i="281"/>
  <c r="AQ224" i="281"/>
  <c r="AK224" i="282"/>
  <c r="AL224" i="282"/>
  <c r="AM224" i="282"/>
  <c r="AN224" i="282"/>
  <c r="AO224" i="282"/>
  <c r="AP224" i="282"/>
  <c r="AQ224" i="282"/>
  <c r="AK224" i="204"/>
  <c r="AL224" i="204"/>
  <c r="AM224" i="204"/>
  <c r="AN224" i="204"/>
  <c r="AO224" i="204"/>
  <c r="AP224" i="204"/>
  <c r="AQ224" i="204"/>
  <c r="AJ224" i="205"/>
  <c r="AJ224" i="212"/>
  <c r="AJ224" i="217"/>
  <c r="AJ224" i="277"/>
  <c r="AJ224" i="278"/>
  <c r="AJ224" i="279"/>
  <c r="AJ224" i="280"/>
  <c r="AJ224" i="281"/>
  <c r="AJ224" i="282"/>
  <c r="AJ224" i="204"/>
  <c r="AK197" i="205"/>
  <c r="AL197" i="205"/>
  <c r="AM197" i="205"/>
  <c r="AN197" i="205"/>
  <c r="AO197" i="205"/>
  <c r="AP197" i="205"/>
  <c r="AQ197" i="205"/>
  <c r="AK197" i="212"/>
  <c r="AL197" i="212"/>
  <c r="AM197" i="212"/>
  <c r="AN197" i="212"/>
  <c r="AO197" i="212"/>
  <c r="AP197" i="212"/>
  <c r="AQ197" i="212"/>
  <c r="AK197" i="217"/>
  <c r="AL197" i="217"/>
  <c r="AM197" i="217"/>
  <c r="AN197" i="217"/>
  <c r="AO197" i="217"/>
  <c r="AP197" i="217"/>
  <c r="AQ197" i="217"/>
  <c r="AK197" i="277"/>
  <c r="AL197" i="277"/>
  <c r="AM197" i="277"/>
  <c r="AN197" i="277"/>
  <c r="AO197" i="277"/>
  <c r="AP197" i="277"/>
  <c r="AQ197" i="277"/>
  <c r="AK197" i="278"/>
  <c r="AL197" i="278"/>
  <c r="AM197" i="278"/>
  <c r="AN197" i="278"/>
  <c r="AO197" i="278"/>
  <c r="AP197" i="278"/>
  <c r="AQ197" i="278"/>
  <c r="AK197" i="279"/>
  <c r="AL197" i="279"/>
  <c r="AM197" i="279"/>
  <c r="AN197" i="279"/>
  <c r="AO197" i="279"/>
  <c r="AP197" i="279"/>
  <c r="AQ197" i="279"/>
  <c r="AK197" i="280"/>
  <c r="AL197" i="280"/>
  <c r="AM197" i="280"/>
  <c r="AN197" i="280"/>
  <c r="AO197" i="280"/>
  <c r="AP197" i="280"/>
  <c r="AQ197" i="280"/>
  <c r="AK197" i="282"/>
  <c r="AL197" i="282"/>
  <c r="AM197" i="282"/>
  <c r="AN197" i="282"/>
  <c r="AO197" i="282"/>
  <c r="AP197" i="282"/>
  <c r="AQ197" i="282"/>
  <c r="AK197" i="204"/>
  <c r="AL197" i="204"/>
  <c r="AM197" i="204"/>
  <c r="AN197" i="204"/>
  <c r="AO197" i="204"/>
  <c r="AP197" i="204"/>
  <c r="AQ197" i="204"/>
  <c r="AJ197" i="205"/>
  <c r="AJ197" i="212"/>
  <c r="AJ197" i="217"/>
  <c r="AJ197" i="277"/>
  <c r="AJ197" i="278"/>
  <c r="AJ197" i="279"/>
  <c r="AJ197" i="280"/>
  <c r="AJ197" i="282"/>
  <c r="AJ197" i="204"/>
  <c r="E204" i="205"/>
  <c r="E203" i="205"/>
  <c r="E201" i="205"/>
  <c r="E200" i="205"/>
  <c r="E199" i="205"/>
  <c r="E198" i="205"/>
  <c r="E204" i="212"/>
  <c r="E203" i="212"/>
  <c r="E201" i="212"/>
  <c r="E200" i="212"/>
  <c r="E199" i="212"/>
  <c r="E198" i="212"/>
  <c r="E204" i="217"/>
  <c r="E203" i="217"/>
  <c r="E201" i="217"/>
  <c r="E200" i="217"/>
  <c r="E199" i="217"/>
  <c r="E198" i="217"/>
  <c r="E204" i="277"/>
  <c r="E203" i="277"/>
  <c r="E201" i="277"/>
  <c r="E200" i="277"/>
  <c r="E199" i="277"/>
  <c r="E198" i="277"/>
  <c r="E204" i="278"/>
  <c r="E203" i="278"/>
  <c r="E201" i="278"/>
  <c r="E200" i="278"/>
  <c r="E199" i="278"/>
  <c r="E198" i="278"/>
  <c r="E204" i="279"/>
  <c r="E203" i="279"/>
  <c r="E201" i="279"/>
  <c r="E200" i="279"/>
  <c r="E199" i="279"/>
  <c r="E198" i="279"/>
  <c r="E204" i="280"/>
  <c r="E203" i="280"/>
  <c r="E201" i="280"/>
  <c r="E200" i="280"/>
  <c r="E199" i="280"/>
  <c r="E198" i="280"/>
  <c r="E204" i="281"/>
  <c r="E203" i="281"/>
  <c r="E201" i="281"/>
  <c r="E200" i="281"/>
  <c r="E199" i="281"/>
  <c r="E198" i="281"/>
  <c r="E204" i="282"/>
  <c r="E203" i="282"/>
  <c r="E201" i="282"/>
  <c r="E200" i="282"/>
  <c r="E199" i="282"/>
  <c r="E198" i="282"/>
  <c r="E204" i="204"/>
  <c r="E203" i="204"/>
  <c r="E201" i="204"/>
  <c r="E200" i="204"/>
  <c r="E199" i="204"/>
  <c r="E198" i="204"/>
  <c r="E32" i="205"/>
  <c r="E224" i="205" s="1"/>
  <c r="F32" i="205"/>
  <c r="G32" i="205"/>
  <c r="H32" i="205"/>
  <c r="E32" i="212"/>
  <c r="E224" i="212" s="1"/>
  <c r="F32" i="212"/>
  <c r="G32" i="212"/>
  <c r="H32" i="212"/>
  <c r="E32" i="217"/>
  <c r="E224" i="217" s="1"/>
  <c r="F32" i="217"/>
  <c r="G32" i="217"/>
  <c r="H32" i="217"/>
  <c r="E32" i="277"/>
  <c r="E224" i="277" s="1"/>
  <c r="F32" i="277"/>
  <c r="G32" i="277"/>
  <c r="H32" i="277"/>
  <c r="E32" i="278"/>
  <c r="E224" i="278" s="1"/>
  <c r="F32" i="278"/>
  <c r="G32" i="278"/>
  <c r="H32" i="278"/>
  <c r="E32" i="279"/>
  <c r="E224" i="279" s="1"/>
  <c r="F32" i="279"/>
  <c r="G32" i="279"/>
  <c r="H32" i="279"/>
  <c r="E32" i="280"/>
  <c r="E224" i="280" s="1"/>
  <c r="F32" i="280"/>
  <c r="G32" i="280"/>
  <c r="H32" i="280"/>
  <c r="E32" i="281"/>
  <c r="E224" i="281" s="1"/>
  <c r="F32" i="281"/>
  <c r="G32" i="281"/>
  <c r="H32" i="281"/>
  <c r="E32" i="282"/>
  <c r="E224" i="282" s="1"/>
  <c r="F32" i="282"/>
  <c r="G32" i="282"/>
  <c r="H32" i="282"/>
  <c r="E32" i="204"/>
  <c r="E224" i="204" s="1"/>
  <c r="F32" i="204"/>
  <c r="G32" i="204"/>
  <c r="H32" i="204"/>
  <c r="E224" i="189"/>
  <c r="E197" i="189"/>
  <c r="AQ204" i="189"/>
  <c r="AP204" i="189"/>
  <c r="AO204" i="189"/>
  <c r="AN204" i="189"/>
  <c r="AM204" i="189"/>
  <c r="AL204" i="189"/>
  <c r="AK204" i="189"/>
  <c r="AJ204" i="189"/>
  <c r="AQ203" i="189"/>
  <c r="AP203" i="189"/>
  <c r="AO203" i="189"/>
  <c r="AN203" i="189"/>
  <c r="AM203" i="189"/>
  <c r="AL203" i="189"/>
  <c r="AK203" i="189"/>
  <c r="AJ203" i="189"/>
  <c r="AQ202" i="189"/>
  <c r="AP202" i="189"/>
  <c r="AO202" i="189"/>
  <c r="AN202" i="189"/>
  <c r="AM202" i="189"/>
  <c r="AL202" i="189"/>
  <c r="AK202" i="189"/>
  <c r="AJ202" i="189"/>
  <c r="AQ201" i="189"/>
  <c r="AP201" i="189"/>
  <c r="AO201" i="189"/>
  <c r="AN201" i="189"/>
  <c r="AM201" i="189"/>
  <c r="AL201" i="189"/>
  <c r="AK201" i="189"/>
  <c r="AJ201" i="189"/>
  <c r="AQ200" i="189"/>
  <c r="AP200" i="189"/>
  <c r="AO200" i="189"/>
  <c r="AN200" i="189"/>
  <c r="AM200" i="189"/>
  <c r="AL200" i="189"/>
  <c r="AK200" i="189"/>
  <c r="AJ200" i="189"/>
  <c r="AQ199" i="189"/>
  <c r="AP199" i="189"/>
  <c r="AO199" i="189"/>
  <c r="AN199" i="189"/>
  <c r="AM199" i="189"/>
  <c r="AL199" i="189"/>
  <c r="AK199" i="189"/>
  <c r="AJ199" i="189"/>
  <c r="AQ198" i="189"/>
  <c r="AP198" i="189"/>
  <c r="AO198" i="189"/>
  <c r="AN198" i="189"/>
  <c r="AM198" i="189"/>
  <c r="AL198" i="189"/>
  <c r="AK198" i="189"/>
  <c r="AJ198" i="189"/>
  <c r="E284" i="205" l="1"/>
  <c r="E284" i="212"/>
  <c r="E284" i="217"/>
  <c r="E284" i="277"/>
  <c r="E284" i="278"/>
  <c r="E284" i="279"/>
  <c r="E284" i="280"/>
  <c r="E284" i="281"/>
  <c r="E284" i="282"/>
  <c r="E284" i="204"/>
  <c r="AO285" i="279" l="1"/>
  <c r="AO285" i="280"/>
  <c r="AK285" i="280"/>
  <c r="AK285" i="279"/>
  <c r="AL285" i="279"/>
  <c r="AP285" i="280"/>
  <c r="AL285" i="280"/>
  <c r="AQ285" i="279"/>
  <c r="AM285" i="279"/>
  <c r="AQ285" i="280"/>
  <c r="AM285" i="280"/>
  <c r="AP285" i="279"/>
  <c r="AJ285" i="279"/>
  <c r="AN285" i="279"/>
  <c r="AJ285" i="280"/>
  <c r="AN285" i="280"/>
  <c r="AQ285" i="205" l="1"/>
  <c r="AM285" i="205"/>
  <c r="AO285" i="205"/>
  <c r="AK285" i="205"/>
  <c r="AP285" i="205"/>
  <c r="AL285" i="205"/>
  <c r="AJ285" i="205"/>
  <c r="AN285" i="205"/>
  <c r="AK285" i="204"/>
  <c r="AL285" i="204"/>
  <c r="AM285" i="204"/>
  <c r="AN285" i="204"/>
  <c r="AO285" i="204"/>
  <c r="AP285" i="204"/>
  <c r="AQ285" i="204"/>
  <c r="AM283" i="189" l="1"/>
  <c r="AN284" i="189"/>
  <c r="AP284" i="189"/>
  <c r="AL284" i="189"/>
  <c r="AN283" i="189"/>
  <c r="AO284" i="189"/>
  <c r="AK284" i="189"/>
  <c r="AJ284" i="189"/>
  <c r="AQ284" i="189"/>
  <c r="AM284" i="189"/>
  <c r="AL285" i="282"/>
  <c r="AN285" i="281"/>
  <c r="AP285" i="217"/>
  <c r="AP285" i="282"/>
  <c r="AL285" i="278"/>
  <c r="AN285" i="277"/>
  <c r="AL285" i="217"/>
  <c r="AP285" i="278"/>
  <c r="AQ283" i="189"/>
  <c r="AN285" i="212"/>
  <c r="AP285" i="212"/>
  <c r="AL285" i="212"/>
  <c r="AN285" i="282"/>
  <c r="AP285" i="281"/>
  <c r="AL285" i="281"/>
  <c r="AN285" i="278"/>
  <c r="AP285" i="277"/>
  <c r="AL285" i="277"/>
  <c r="AN285" i="217"/>
  <c r="AO283" i="189"/>
  <c r="AO285" i="282"/>
  <c r="AK283" i="189"/>
  <c r="AK285" i="282"/>
  <c r="AQ285" i="281"/>
  <c r="AM285" i="281"/>
  <c r="AO285" i="278"/>
  <c r="AK285" i="278"/>
  <c r="AQ285" i="277"/>
  <c r="AM285" i="277"/>
  <c r="AO285" i="217"/>
  <c r="AK285" i="217"/>
  <c r="AQ285" i="212"/>
  <c r="AM285" i="212"/>
  <c r="AQ285" i="282"/>
  <c r="AM285" i="282"/>
  <c r="AO285" i="281"/>
  <c r="AK285" i="281"/>
  <c r="AQ285" i="278"/>
  <c r="AM285" i="278"/>
  <c r="AO285" i="277"/>
  <c r="AK285" i="277"/>
  <c r="AQ285" i="217"/>
  <c r="AM285" i="217"/>
  <c r="AO285" i="212"/>
  <c r="AK285" i="212"/>
  <c r="AP283" i="189"/>
  <c r="AL283" i="189"/>
  <c r="AM285" i="189" l="1"/>
  <c r="AM103" i="189" s="1"/>
  <c r="AN285" i="189"/>
  <c r="AN103" i="189" s="1"/>
  <c r="AQ285" i="189"/>
  <c r="AQ103" i="189" s="1"/>
  <c r="AP285" i="189"/>
  <c r="AP103" i="189" s="1"/>
  <c r="AO285" i="189"/>
  <c r="AO103" i="189" s="1"/>
  <c r="AL285" i="189"/>
  <c r="AL103" i="189" s="1"/>
  <c r="AK285" i="189"/>
  <c r="AK103" i="189" s="1"/>
  <c r="AJ285" i="282"/>
  <c r="AJ285" i="281"/>
  <c r="AJ285" i="278"/>
  <c r="AJ285" i="277"/>
  <c r="AJ285" i="217"/>
  <c r="AJ285" i="212" l="1"/>
  <c r="AJ288" i="189" l="1"/>
  <c r="AK288" i="189" l="1"/>
  <c r="AJ285" i="204"/>
  <c r="AP288" i="189"/>
  <c r="AL288" i="189"/>
  <c r="AO288" i="189"/>
  <c r="AJ285" i="189" l="1"/>
  <c r="AJ103" i="189" s="1"/>
  <c r="AM288" i="189"/>
  <c r="AN288" i="189"/>
  <c r="AQ288" i="189"/>
  <c r="AH41" i="189" l="1"/>
  <c r="AI41" i="189"/>
  <c r="AH42" i="189"/>
  <c r="AI42" i="189"/>
  <c r="AH43" i="189"/>
  <c r="AI43" i="189"/>
  <c r="AI40" i="189"/>
  <c r="AH40" i="189"/>
  <c r="AJ39" i="189"/>
  <c r="AK39" i="189"/>
  <c r="AL39" i="189"/>
  <c r="AM39" i="189"/>
  <c r="AN39" i="189"/>
  <c r="AO39" i="189"/>
  <c r="AP39" i="189"/>
  <c r="AQ39" i="189"/>
  <c r="AK38" i="189"/>
  <c r="AL38" i="189"/>
  <c r="AM38" i="189"/>
  <c r="AN38" i="189"/>
  <c r="AO38" i="189"/>
  <c r="AP38" i="189"/>
  <c r="AQ38" i="189"/>
  <c r="AJ38" i="189"/>
  <c r="AJ12" i="189"/>
  <c r="AK12" i="189"/>
  <c r="AL12" i="189"/>
  <c r="AM12" i="189"/>
  <c r="AN12" i="189"/>
  <c r="AO12" i="189"/>
  <c r="AP12" i="189"/>
  <c r="AQ12" i="189"/>
  <c r="AJ13" i="189"/>
  <c r="AK13" i="189"/>
  <c r="AL13" i="189"/>
  <c r="AM13" i="189"/>
  <c r="AN13" i="189"/>
  <c r="AO13" i="189"/>
  <c r="AP13" i="189"/>
  <c r="AQ13" i="189"/>
  <c r="AJ14" i="189"/>
  <c r="AK14" i="189"/>
  <c r="AL14" i="189"/>
  <c r="AM14" i="189"/>
  <c r="AN14" i="189"/>
  <c r="AO14" i="189"/>
  <c r="AP14" i="189"/>
  <c r="AQ14" i="189"/>
  <c r="AJ15" i="189"/>
  <c r="AK15" i="189"/>
  <c r="AL15" i="189"/>
  <c r="AM15" i="189"/>
  <c r="AN15" i="189"/>
  <c r="AO15" i="189"/>
  <c r="AP15" i="189"/>
  <c r="AQ15" i="189"/>
  <c r="AJ16" i="189"/>
  <c r="AK16" i="189"/>
  <c r="AL16" i="189"/>
  <c r="AM16" i="189"/>
  <c r="AN16" i="189"/>
  <c r="AO16" i="189"/>
  <c r="AP16" i="189"/>
  <c r="AQ16" i="189"/>
  <c r="AJ17" i="189"/>
  <c r="AK17" i="189"/>
  <c r="AL17" i="189"/>
  <c r="AM17" i="189"/>
  <c r="AN17" i="189"/>
  <c r="AO17" i="189"/>
  <c r="AP17" i="189"/>
  <c r="AQ17" i="189"/>
  <c r="AJ18" i="189"/>
  <c r="AK18" i="189"/>
  <c r="AL18" i="189"/>
  <c r="AM18" i="189"/>
  <c r="AN18" i="189"/>
  <c r="AO18" i="189"/>
  <c r="AP18" i="189"/>
  <c r="AQ18" i="189"/>
  <c r="AJ197" i="189"/>
  <c r="AK197" i="189"/>
  <c r="AL197" i="189"/>
  <c r="AM197" i="189"/>
  <c r="AN197" i="189"/>
  <c r="AO197" i="189"/>
  <c r="AP197" i="189"/>
  <c r="AQ197" i="189"/>
  <c r="AJ33" i="189"/>
  <c r="AK33" i="189"/>
  <c r="AL33" i="189"/>
  <c r="AM33" i="189"/>
  <c r="AN33" i="189"/>
  <c r="AO33" i="189"/>
  <c r="AP33" i="189"/>
  <c r="AQ33" i="189"/>
  <c r="AK11" i="189"/>
  <c r="AL11" i="189"/>
  <c r="AM11" i="189"/>
  <c r="AN11" i="189"/>
  <c r="AO11" i="189"/>
  <c r="AP11" i="189"/>
  <c r="AQ11" i="189"/>
  <c r="AJ11" i="189"/>
  <c r="AJ37" i="189" l="1"/>
  <c r="AI36" i="189"/>
  <c r="AH36" i="189"/>
  <c r="AK21" i="189"/>
  <c r="AO21" i="189"/>
  <c r="AK22" i="189"/>
  <c r="AO22" i="189"/>
  <c r="AK24" i="189"/>
  <c r="AO24" i="189"/>
  <c r="AJ21" i="189"/>
  <c r="AN21" i="189"/>
  <c r="AJ22" i="189"/>
  <c r="AN22" i="189"/>
  <c r="AJ24" i="189"/>
  <c r="AN24" i="189"/>
  <c r="AM21" i="189"/>
  <c r="AQ21" i="189"/>
  <c r="AM22" i="189"/>
  <c r="AQ22" i="189"/>
  <c r="AQ23" i="189"/>
  <c r="AM24" i="189"/>
  <c r="AQ24" i="189"/>
  <c r="AL21" i="189"/>
  <c r="AP21" i="189"/>
  <c r="AL22" i="189"/>
  <c r="AP22" i="189"/>
  <c r="AP23" i="189"/>
  <c r="AL24" i="189"/>
  <c r="AP24" i="189"/>
  <c r="AJ49" i="279" l="1"/>
  <c r="AQ278" i="189" l="1"/>
  <c r="AP278" i="189"/>
  <c r="AO278" i="189"/>
  <c r="AN278" i="189"/>
  <c r="AM278" i="189"/>
  <c r="AL278" i="189"/>
  <c r="AK278" i="189"/>
  <c r="G278" i="205"/>
  <c r="G278" i="212"/>
  <c r="G278" i="217"/>
  <c r="G278" i="277"/>
  <c r="G278" i="278"/>
  <c r="G278" i="279"/>
  <c r="G278" i="280"/>
  <c r="G278" i="281"/>
  <c r="G278" i="282"/>
  <c r="G278" i="204"/>
  <c r="E278" i="205"/>
  <c r="E278" i="212"/>
  <c r="E278" i="217"/>
  <c r="E278" i="277"/>
  <c r="E278" i="278"/>
  <c r="E278" i="279"/>
  <c r="E278" i="280"/>
  <c r="E278" i="282"/>
  <c r="E278" i="204"/>
  <c r="AN25" i="194" l="1"/>
  <c r="AM25" i="194"/>
  <c r="AQ25" i="194"/>
  <c r="AL25" i="194"/>
  <c r="AP25" i="194"/>
  <c r="AK25" i="194"/>
  <c r="AO25" i="194"/>
  <c r="E283" i="212" l="1"/>
  <c r="E283" i="217"/>
  <c r="E283" i="277"/>
  <c r="E283" i="278"/>
  <c r="E283" i="279"/>
  <c r="E283" i="280"/>
  <c r="E283" i="281"/>
  <c r="E283" i="282"/>
  <c r="E283" i="205"/>
  <c r="AJ484" i="189" l="1"/>
  <c r="AQ281" i="189" l="1"/>
  <c r="AP281" i="189"/>
  <c r="AO281" i="189"/>
  <c r="AN281" i="189"/>
  <c r="AM281" i="189"/>
  <c r="AL281" i="189"/>
  <c r="AM54" i="194" l="1"/>
  <c r="AP54" i="194"/>
  <c r="AO54" i="194"/>
  <c r="AQ54" i="194"/>
  <c r="AL54" i="194"/>
  <c r="AN54" i="194"/>
  <c r="E281" i="205"/>
  <c r="E281" i="212"/>
  <c r="E281" i="217"/>
  <c r="E281" i="277"/>
  <c r="E281" i="278"/>
  <c r="E281" i="279"/>
  <c r="E281" i="280"/>
  <c r="E281" i="281"/>
  <c r="E281" i="282"/>
  <c r="E281" i="204"/>
  <c r="AJ270" i="204" l="1"/>
  <c r="AH60" i="205" l="1"/>
  <c r="AH60" i="212"/>
  <c r="AH60" i="217"/>
  <c r="AH60" i="277"/>
  <c r="AH60" i="278"/>
  <c r="AH60" i="279"/>
  <c r="AH60" i="280"/>
  <c r="AH60" i="281"/>
  <c r="AH60" i="282"/>
  <c r="AH60" i="204"/>
  <c r="AH59" i="205"/>
  <c r="AH59" i="212"/>
  <c r="AH59" i="217"/>
  <c r="AH59" i="277"/>
  <c r="AH59" i="278"/>
  <c r="AH59" i="279"/>
  <c r="AH59" i="280"/>
  <c r="AH59" i="281"/>
  <c r="AH59" i="282"/>
  <c r="AH59" i="204"/>
  <c r="AQ139" i="187" l="1"/>
  <c r="AP139" i="187"/>
  <c r="AO139" i="187"/>
  <c r="AN139" i="187"/>
  <c r="AM139" i="187"/>
  <c r="AL139" i="187"/>
  <c r="AK139" i="187"/>
  <c r="AJ139" i="187"/>
  <c r="AJ274" i="278" l="1"/>
  <c r="AJ274" i="282"/>
  <c r="AJ274" i="281" l="1"/>
  <c r="AJ274" i="277"/>
  <c r="AJ274" i="217"/>
  <c r="I274" i="189"/>
  <c r="AJ274" i="280"/>
  <c r="AJ274" i="279"/>
  <c r="AJ274" i="205"/>
  <c r="AJ275" i="282" l="1"/>
  <c r="AJ271" i="282"/>
  <c r="AJ270" i="282"/>
  <c r="AJ275" i="281"/>
  <c r="AJ270" i="281" l="1"/>
  <c r="AJ275" i="280"/>
  <c r="AJ271" i="280"/>
  <c r="AJ270" i="280" l="1"/>
  <c r="AJ275" i="279"/>
  <c r="AJ271" i="279"/>
  <c r="AJ270" i="279" l="1"/>
  <c r="AJ275" i="278"/>
  <c r="AJ271" i="278"/>
  <c r="AJ270" i="278" l="1"/>
  <c r="AJ275" i="277"/>
  <c r="AJ271" i="277"/>
  <c r="AJ270" i="277" l="1"/>
  <c r="AJ275" i="217"/>
  <c r="AJ271" i="217"/>
  <c r="AJ270" i="217" l="1"/>
  <c r="I270" i="189" l="1"/>
  <c r="AJ270" i="212" l="1"/>
  <c r="AJ275" i="212"/>
  <c r="AJ271" i="212"/>
  <c r="AJ274" i="212" l="1"/>
  <c r="AJ272" i="212"/>
  <c r="AJ270" i="205"/>
  <c r="AJ270" i="189" s="1"/>
  <c r="AJ275" i="205"/>
  <c r="AJ271" i="204" l="1"/>
  <c r="AJ274" i="204" l="1"/>
  <c r="AJ275" i="204" l="1"/>
  <c r="E283" i="204" l="1"/>
  <c r="AJ283" i="189"/>
  <c r="AK280" i="189" l="1"/>
  <c r="AL280" i="189"/>
  <c r="H57" i="23" s="1"/>
  <c r="AM280" i="189"/>
  <c r="I57" i="23" s="1"/>
  <c r="AN280" i="189"/>
  <c r="J57" i="23" s="1"/>
  <c r="AO280" i="189"/>
  <c r="K57" i="23" s="1"/>
  <c r="AP280" i="189"/>
  <c r="L57" i="23" s="1"/>
  <c r="AQ280" i="189"/>
  <c r="M57" i="23" s="1"/>
  <c r="AJ280" i="189"/>
  <c r="E460" i="204" l="1"/>
  <c r="E460" i="205"/>
  <c r="E460" i="212"/>
  <c r="E460" i="217"/>
  <c r="E460" i="277"/>
  <c r="E460" i="278"/>
  <c r="E460" i="279"/>
  <c r="E460" i="280"/>
  <c r="E460" i="281"/>
  <c r="E460" i="282"/>
  <c r="E449" i="204"/>
  <c r="E449" i="205"/>
  <c r="E449" i="212"/>
  <c r="E449" i="217"/>
  <c r="E449" i="277"/>
  <c r="E449" i="278"/>
  <c r="E449" i="279"/>
  <c r="E449" i="280"/>
  <c r="E449" i="281"/>
  <c r="E449" i="282"/>
  <c r="E439" i="204"/>
  <c r="E439" i="205"/>
  <c r="E439" i="212"/>
  <c r="E439" i="217"/>
  <c r="E439" i="277"/>
  <c r="E439" i="278"/>
  <c r="E439" i="279"/>
  <c r="E439" i="280"/>
  <c r="E439" i="281"/>
  <c r="E439" i="282"/>
  <c r="E429" i="204"/>
  <c r="E429" i="205"/>
  <c r="E429" i="212"/>
  <c r="E429" i="217"/>
  <c r="E429" i="277"/>
  <c r="E429" i="278"/>
  <c r="E429" i="279"/>
  <c r="E429" i="280"/>
  <c r="E429" i="281"/>
  <c r="E429" i="282"/>
  <c r="E419" i="204"/>
  <c r="E419" i="205"/>
  <c r="E419" i="212"/>
  <c r="E419" i="217"/>
  <c r="E419" i="277"/>
  <c r="E419" i="278"/>
  <c r="E419" i="279"/>
  <c r="E419" i="280"/>
  <c r="E419" i="281"/>
  <c r="E419" i="282"/>
  <c r="E409" i="204"/>
  <c r="E409" i="205"/>
  <c r="E409" i="212"/>
  <c r="E409" i="217"/>
  <c r="E409" i="277"/>
  <c r="E409" i="278"/>
  <c r="E409" i="279"/>
  <c r="E409" i="280"/>
  <c r="E409" i="281"/>
  <c r="E409" i="282"/>
  <c r="E365" i="205" l="1"/>
  <c r="E365" i="212"/>
  <c r="E365" i="217"/>
  <c r="E365" i="277"/>
  <c r="E365" i="278"/>
  <c r="E365" i="279"/>
  <c r="E365" i="280"/>
  <c r="E365" i="281"/>
  <c r="E365" i="282"/>
  <c r="E365" i="204"/>
  <c r="AG60" i="279" l="1"/>
  <c r="AG59" i="279"/>
  <c r="AG60" i="212"/>
  <c r="AG59" i="212"/>
  <c r="AJ281" i="212" s="1"/>
  <c r="AG60" i="205"/>
  <c r="AG59" i="205"/>
  <c r="AJ281" i="205" s="1"/>
  <c r="AG60" i="204"/>
  <c r="AG59" i="204"/>
  <c r="AG60" i="217"/>
  <c r="AG59" i="217"/>
  <c r="AG60" i="277"/>
  <c r="AG59" i="277"/>
  <c r="AG60" i="278"/>
  <c r="AG59" i="278"/>
  <c r="AG60" i="280"/>
  <c r="AG59" i="280"/>
  <c r="AG60" i="281"/>
  <c r="AG59" i="281"/>
  <c r="AG60" i="282"/>
  <c r="AG59" i="282"/>
  <c r="AI399" i="282" l="1"/>
  <c r="AH399" i="282"/>
  <c r="AI395" i="282"/>
  <c r="AH395" i="282"/>
  <c r="AI391" i="282"/>
  <c r="AH391" i="282"/>
  <c r="AI387" i="282"/>
  <c r="AH387" i="282"/>
  <c r="AI399" i="281"/>
  <c r="AH399" i="281"/>
  <c r="AI395" i="281"/>
  <c r="AH395" i="281"/>
  <c r="AI391" i="281"/>
  <c r="AH391" i="281"/>
  <c r="AI387" i="281"/>
  <c r="AH387" i="281"/>
  <c r="AI399" i="280"/>
  <c r="AH399" i="280"/>
  <c r="AI395" i="280"/>
  <c r="AH395" i="280"/>
  <c r="AI391" i="280"/>
  <c r="AH391" i="280"/>
  <c r="AI387" i="280"/>
  <c r="AH387" i="280"/>
  <c r="AI399" i="279"/>
  <c r="AH399" i="279"/>
  <c r="AI395" i="279"/>
  <c r="AH395" i="279"/>
  <c r="AI391" i="279"/>
  <c r="AH391" i="279"/>
  <c r="AI387" i="279"/>
  <c r="AH387" i="279"/>
  <c r="AI399" i="278"/>
  <c r="AH399" i="278"/>
  <c r="AI395" i="278"/>
  <c r="AH395" i="278"/>
  <c r="AI391" i="278"/>
  <c r="AH391" i="278"/>
  <c r="AI387" i="278"/>
  <c r="AH387" i="278"/>
  <c r="AI399" i="277"/>
  <c r="AH399" i="277"/>
  <c r="AI395" i="277"/>
  <c r="AH395" i="277"/>
  <c r="AI391" i="277"/>
  <c r="AH391" i="277"/>
  <c r="AI387" i="277"/>
  <c r="AH387" i="277"/>
  <c r="AI399" i="217"/>
  <c r="AH399" i="217"/>
  <c r="AI395" i="217"/>
  <c r="AH395" i="217"/>
  <c r="AI391" i="217"/>
  <c r="AH391" i="217"/>
  <c r="AI387" i="217"/>
  <c r="AH387" i="217"/>
  <c r="AI399" i="212" l="1"/>
  <c r="AH399" i="212"/>
  <c r="AI395" i="212"/>
  <c r="AH395" i="212"/>
  <c r="AI391" i="212"/>
  <c r="AH391" i="212"/>
  <c r="AI387" i="212"/>
  <c r="AH387" i="212"/>
  <c r="AI399" i="205"/>
  <c r="AH399" i="205"/>
  <c r="AI395" i="205"/>
  <c r="AH395" i="205"/>
  <c r="AI391" i="205"/>
  <c r="AH391" i="205"/>
  <c r="AI387" i="205"/>
  <c r="AH387" i="205"/>
  <c r="H43" i="205" l="1"/>
  <c r="G43" i="205"/>
  <c r="F43" i="205"/>
  <c r="H42" i="205"/>
  <c r="G42" i="205"/>
  <c r="F42" i="205"/>
  <c r="H41" i="205"/>
  <c r="G41" i="205"/>
  <c r="F41" i="205"/>
  <c r="H40" i="205"/>
  <c r="G40" i="205"/>
  <c r="F40" i="205"/>
  <c r="H39" i="205"/>
  <c r="G39" i="205"/>
  <c r="F39" i="205"/>
  <c r="H38" i="205"/>
  <c r="G38" i="205"/>
  <c r="F38" i="205"/>
  <c r="H37" i="205"/>
  <c r="G37" i="205"/>
  <c r="F37" i="205"/>
  <c r="H36" i="205"/>
  <c r="G36" i="205"/>
  <c r="F36" i="205"/>
  <c r="H35" i="205"/>
  <c r="G35" i="205"/>
  <c r="F35" i="205"/>
  <c r="H34" i="205"/>
  <c r="G34" i="205"/>
  <c r="F34" i="205"/>
  <c r="H33" i="205"/>
  <c r="G33" i="205"/>
  <c r="F33" i="205"/>
  <c r="H29" i="205"/>
  <c r="G29" i="205"/>
  <c r="F29" i="205"/>
  <c r="H28" i="205"/>
  <c r="G28" i="205"/>
  <c r="F28" i="205"/>
  <c r="H27" i="205"/>
  <c r="G27" i="205"/>
  <c r="F27" i="205"/>
  <c r="H26" i="205"/>
  <c r="G26" i="205"/>
  <c r="F26" i="205"/>
  <c r="H25" i="205"/>
  <c r="G25" i="205"/>
  <c r="F25" i="205"/>
  <c r="H24" i="205"/>
  <c r="G24" i="205"/>
  <c r="F24" i="205"/>
  <c r="H23" i="205"/>
  <c r="G23" i="205"/>
  <c r="F23" i="205"/>
  <c r="H22" i="205"/>
  <c r="G22" i="205"/>
  <c r="F22" i="205"/>
  <c r="H21" i="205"/>
  <c r="G21" i="205"/>
  <c r="F21" i="205"/>
  <c r="H20" i="205"/>
  <c r="G20" i="205"/>
  <c r="F20" i="205"/>
  <c r="H19" i="205"/>
  <c r="G19" i="205"/>
  <c r="F19" i="205"/>
  <c r="H18" i="205"/>
  <c r="G18" i="205"/>
  <c r="F18" i="205"/>
  <c r="H17" i="205"/>
  <c r="G17" i="205"/>
  <c r="F17" i="205"/>
  <c r="H16" i="205"/>
  <c r="G16" i="205"/>
  <c r="F16" i="205"/>
  <c r="H15" i="205"/>
  <c r="G15" i="205"/>
  <c r="F15" i="205"/>
  <c r="H14" i="205"/>
  <c r="G14" i="205"/>
  <c r="F14" i="205"/>
  <c r="H13" i="205"/>
  <c r="G13" i="205"/>
  <c r="F13" i="205"/>
  <c r="H12" i="205"/>
  <c r="G12" i="205"/>
  <c r="F12" i="205"/>
  <c r="H43" i="212"/>
  <c r="G43" i="212"/>
  <c r="F43" i="212"/>
  <c r="H42" i="212"/>
  <c r="G42" i="212"/>
  <c r="F42" i="212"/>
  <c r="H41" i="212"/>
  <c r="G41" i="212"/>
  <c r="F41" i="212"/>
  <c r="H40" i="212"/>
  <c r="G40" i="212"/>
  <c r="F40" i="212"/>
  <c r="H39" i="212"/>
  <c r="G39" i="212"/>
  <c r="F39" i="212"/>
  <c r="H38" i="212"/>
  <c r="G38" i="212"/>
  <c r="F38" i="212"/>
  <c r="H37" i="212"/>
  <c r="G37" i="212"/>
  <c r="F37" i="212"/>
  <c r="H36" i="212"/>
  <c r="G36" i="212"/>
  <c r="F36" i="212"/>
  <c r="H35" i="212"/>
  <c r="G35" i="212"/>
  <c r="F35" i="212"/>
  <c r="H34" i="212"/>
  <c r="G34" i="212"/>
  <c r="F34" i="212"/>
  <c r="H33" i="212"/>
  <c r="G33" i="212"/>
  <c r="F33" i="212"/>
  <c r="H29" i="212"/>
  <c r="G29" i="212"/>
  <c r="F29" i="212"/>
  <c r="H28" i="212"/>
  <c r="G28" i="212"/>
  <c r="F28" i="212"/>
  <c r="H27" i="212"/>
  <c r="G27" i="212"/>
  <c r="F27" i="212"/>
  <c r="H26" i="212"/>
  <c r="G26" i="212"/>
  <c r="F26" i="212"/>
  <c r="H25" i="212"/>
  <c r="G25" i="212"/>
  <c r="F25" i="212"/>
  <c r="H24" i="212"/>
  <c r="G24" i="212"/>
  <c r="F24" i="212"/>
  <c r="H23" i="212"/>
  <c r="G23" i="212"/>
  <c r="F23" i="212"/>
  <c r="H22" i="212"/>
  <c r="G22" i="212"/>
  <c r="F22" i="212"/>
  <c r="H21" i="212"/>
  <c r="G21" i="212"/>
  <c r="F21" i="212"/>
  <c r="H20" i="212"/>
  <c r="G20" i="212"/>
  <c r="F20" i="212"/>
  <c r="H19" i="212"/>
  <c r="G19" i="212"/>
  <c r="F19" i="212"/>
  <c r="H18" i="212"/>
  <c r="G18" i="212"/>
  <c r="F18" i="212"/>
  <c r="H17" i="212"/>
  <c r="G17" i="212"/>
  <c r="F17" i="212"/>
  <c r="H16" i="212"/>
  <c r="G16" i="212"/>
  <c r="F16" i="212"/>
  <c r="H15" i="212"/>
  <c r="G15" i="212"/>
  <c r="F15" i="212"/>
  <c r="H14" i="212"/>
  <c r="G14" i="212"/>
  <c r="F14" i="212"/>
  <c r="H13" i="212"/>
  <c r="G13" i="212"/>
  <c r="F13" i="212"/>
  <c r="H12" i="212"/>
  <c r="G12" i="212"/>
  <c r="F12" i="212"/>
  <c r="H43" i="217"/>
  <c r="G43" i="217"/>
  <c r="F43" i="217"/>
  <c r="H42" i="217"/>
  <c r="G42" i="217"/>
  <c r="F42" i="217"/>
  <c r="H41" i="217"/>
  <c r="G41" i="217"/>
  <c r="F41" i="217"/>
  <c r="H40" i="217"/>
  <c r="G40" i="217"/>
  <c r="F40" i="217"/>
  <c r="H39" i="217"/>
  <c r="G39" i="217"/>
  <c r="F39" i="217"/>
  <c r="H38" i="217"/>
  <c r="G38" i="217"/>
  <c r="F38" i="217"/>
  <c r="H37" i="217"/>
  <c r="G37" i="217"/>
  <c r="F37" i="217"/>
  <c r="H36" i="217"/>
  <c r="G36" i="217"/>
  <c r="F36" i="217"/>
  <c r="H35" i="217"/>
  <c r="G35" i="217"/>
  <c r="F35" i="217"/>
  <c r="H34" i="217"/>
  <c r="G34" i="217"/>
  <c r="F34" i="217"/>
  <c r="H33" i="217"/>
  <c r="G33" i="217"/>
  <c r="F33" i="217"/>
  <c r="H29" i="217"/>
  <c r="G29" i="217"/>
  <c r="F29" i="217"/>
  <c r="H28" i="217"/>
  <c r="G28" i="217"/>
  <c r="F28" i="217"/>
  <c r="H27" i="217"/>
  <c r="G27" i="217"/>
  <c r="F27" i="217"/>
  <c r="H26" i="217"/>
  <c r="G26" i="217"/>
  <c r="F26" i="217"/>
  <c r="H25" i="217"/>
  <c r="G25" i="217"/>
  <c r="F25" i="217"/>
  <c r="H24" i="217"/>
  <c r="G24" i="217"/>
  <c r="F24" i="217"/>
  <c r="H23" i="217"/>
  <c r="G23" i="217"/>
  <c r="F23" i="217"/>
  <c r="H22" i="217"/>
  <c r="G22" i="217"/>
  <c r="F22" i="217"/>
  <c r="H21" i="217"/>
  <c r="G21" i="217"/>
  <c r="F21" i="217"/>
  <c r="H20" i="217"/>
  <c r="G20" i="217"/>
  <c r="F20" i="217"/>
  <c r="H19" i="217"/>
  <c r="G19" i="217"/>
  <c r="F19" i="217"/>
  <c r="H18" i="217"/>
  <c r="G18" i="217"/>
  <c r="F18" i="217"/>
  <c r="H17" i="217"/>
  <c r="G17" i="217"/>
  <c r="F17" i="217"/>
  <c r="H16" i="217"/>
  <c r="G16" i="217"/>
  <c r="F16" i="217"/>
  <c r="H15" i="217"/>
  <c r="G15" i="217"/>
  <c r="F15" i="217"/>
  <c r="H14" i="217"/>
  <c r="G14" i="217"/>
  <c r="F14" i="217"/>
  <c r="H13" i="217"/>
  <c r="G13" i="217"/>
  <c r="F13" i="217"/>
  <c r="H12" i="217"/>
  <c r="G12" i="217"/>
  <c r="F12" i="217"/>
  <c r="H43" i="277"/>
  <c r="G43" i="277"/>
  <c r="F43" i="277"/>
  <c r="H42" i="277"/>
  <c r="G42" i="277"/>
  <c r="F42" i="277"/>
  <c r="H41" i="277"/>
  <c r="G41" i="277"/>
  <c r="F41" i="277"/>
  <c r="H40" i="277"/>
  <c r="G40" i="277"/>
  <c r="F40" i="277"/>
  <c r="H39" i="277"/>
  <c r="G39" i="277"/>
  <c r="F39" i="277"/>
  <c r="H38" i="277"/>
  <c r="G38" i="277"/>
  <c r="F38" i="277"/>
  <c r="H37" i="277"/>
  <c r="G37" i="277"/>
  <c r="F37" i="277"/>
  <c r="H36" i="277"/>
  <c r="G36" i="277"/>
  <c r="F36" i="277"/>
  <c r="H35" i="277"/>
  <c r="G35" i="277"/>
  <c r="F35" i="277"/>
  <c r="H34" i="277"/>
  <c r="G34" i="277"/>
  <c r="F34" i="277"/>
  <c r="H33" i="277"/>
  <c r="G33" i="277"/>
  <c r="F33" i="277"/>
  <c r="H29" i="277"/>
  <c r="G29" i="277"/>
  <c r="F29" i="277"/>
  <c r="H28" i="277"/>
  <c r="G28" i="277"/>
  <c r="F28" i="277"/>
  <c r="H27" i="277"/>
  <c r="G27" i="277"/>
  <c r="F27" i="277"/>
  <c r="H26" i="277"/>
  <c r="G26" i="277"/>
  <c r="F26" i="277"/>
  <c r="H25" i="277"/>
  <c r="G25" i="277"/>
  <c r="F25" i="277"/>
  <c r="H24" i="277"/>
  <c r="G24" i="277"/>
  <c r="F24" i="277"/>
  <c r="H23" i="277"/>
  <c r="G23" i="277"/>
  <c r="F23" i="277"/>
  <c r="H22" i="277"/>
  <c r="G22" i="277"/>
  <c r="F22" i="277"/>
  <c r="H21" i="277"/>
  <c r="G21" i="277"/>
  <c r="F21" i="277"/>
  <c r="H20" i="277"/>
  <c r="G20" i="277"/>
  <c r="F20" i="277"/>
  <c r="H19" i="277"/>
  <c r="G19" i="277"/>
  <c r="F19" i="277"/>
  <c r="H18" i="277"/>
  <c r="G18" i="277"/>
  <c r="F18" i="277"/>
  <c r="H17" i="277"/>
  <c r="G17" i="277"/>
  <c r="F17" i="277"/>
  <c r="H16" i="277"/>
  <c r="G16" i="277"/>
  <c r="F16" i="277"/>
  <c r="H15" i="277"/>
  <c r="G15" i="277"/>
  <c r="F15" i="277"/>
  <c r="H14" i="277"/>
  <c r="G14" i="277"/>
  <c r="F14" i="277"/>
  <c r="H13" i="277"/>
  <c r="G13" i="277"/>
  <c r="F13" i="277"/>
  <c r="H12" i="277"/>
  <c r="G12" i="277"/>
  <c r="F12" i="277"/>
  <c r="H43" i="278"/>
  <c r="G43" i="278"/>
  <c r="F43" i="278"/>
  <c r="H42" i="278"/>
  <c r="G42" i="278"/>
  <c r="F42" i="278"/>
  <c r="H41" i="278"/>
  <c r="G41" i="278"/>
  <c r="F41" i="278"/>
  <c r="H40" i="278"/>
  <c r="G40" i="278"/>
  <c r="F40" i="278"/>
  <c r="H39" i="278"/>
  <c r="G39" i="278"/>
  <c r="F39" i="278"/>
  <c r="H38" i="278"/>
  <c r="G38" i="278"/>
  <c r="F38" i="278"/>
  <c r="H37" i="278"/>
  <c r="G37" i="278"/>
  <c r="F37" i="278"/>
  <c r="H36" i="278"/>
  <c r="G36" i="278"/>
  <c r="F36" i="278"/>
  <c r="H35" i="278"/>
  <c r="G35" i="278"/>
  <c r="F35" i="278"/>
  <c r="H34" i="278"/>
  <c r="G34" i="278"/>
  <c r="F34" i="278"/>
  <c r="H33" i="278"/>
  <c r="G33" i="278"/>
  <c r="F33" i="278"/>
  <c r="H29" i="278"/>
  <c r="G29" i="278"/>
  <c r="F29" i="278"/>
  <c r="H28" i="278"/>
  <c r="G28" i="278"/>
  <c r="F28" i="278"/>
  <c r="H27" i="278"/>
  <c r="G27" i="278"/>
  <c r="F27" i="278"/>
  <c r="H26" i="278"/>
  <c r="G26" i="278"/>
  <c r="F26" i="278"/>
  <c r="H25" i="278"/>
  <c r="G25" i="278"/>
  <c r="F25" i="278"/>
  <c r="H24" i="278"/>
  <c r="G24" i="278"/>
  <c r="F24" i="278"/>
  <c r="H23" i="278"/>
  <c r="G23" i="278"/>
  <c r="F23" i="278"/>
  <c r="H22" i="278"/>
  <c r="G22" i="278"/>
  <c r="F22" i="278"/>
  <c r="H21" i="278"/>
  <c r="G21" i="278"/>
  <c r="F21" i="278"/>
  <c r="H20" i="278"/>
  <c r="G20" i="278"/>
  <c r="F20" i="278"/>
  <c r="H19" i="278"/>
  <c r="G19" i="278"/>
  <c r="F19" i="278"/>
  <c r="H18" i="278"/>
  <c r="G18" i="278"/>
  <c r="F18" i="278"/>
  <c r="H17" i="278"/>
  <c r="G17" i="278"/>
  <c r="F17" i="278"/>
  <c r="H16" i="278"/>
  <c r="G16" i="278"/>
  <c r="F16" i="278"/>
  <c r="H15" i="278"/>
  <c r="G15" i="278"/>
  <c r="F15" i="278"/>
  <c r="H14" i="278"/>
  <c r="G14" i="278"/>
  <c r="F14" i="278"/>
  <c r="H13" i="278"/>
  <c r="G13" i="278"/>
  <c r="F13" i="278"/>
  <c r="H12" i="278"/>
  <c r="G12" i="278"/>
  <c r="F12" i="278"/>
  <c r="H43" i="279"/>
  <c r="G43" i="279"/>
  <c r="F43" i="279"/>
  <c r="H42" i="279"/>
  <c r="G42" i="279"/>
  <c r="F42" i="279"/>
  <c r="H41" i="279"/>
  <c r="G41" i="279"/>
  <c r="F41" i="279"/>
  <c r="H40" i="279"/>
  <c r="G40" i="279"/>
  <c r="F40" i="279"/>
  <c r="H39" i="279"/>
  <c r="G39" i="279"/>
  <c r="F39" i="279"/>
  <c r="H38" i="279"/>
  <c r="G38" i="279"/>
  <c r="F38" i="279"/>
  <c r="H37" i="279"/>
  <c r="G37" i="279"/>
  <c r="F37" i="279"/>
  <c r="H36" i="279"/>
  <c r="G36" i="279"/>
  <c r="F36" i="279"/>
  <c r="H35" i="279"/>
  <c r="G35" i="279"/>
  <c r="F35" i="279"/>
  <c r="H34" i="279"/>
  <c r="G34" i="279"/>
  <c r="F34" i="279"/>
  <c r="H33" i="279"/>
  <c r="G33" i="279"/>
  <c r="F33" i="279"/>
  <c r="H29" i="279"/>
  <c r="G29" i="279"/>
  <c r="F29" i="279"/>
  <c r="H28" i="279"/>
  <c r="G28" i="279"/>
  <c r="F28" i="279"/>
  <c r="H27" i="279"/>
  <c r="G27" i="279"/>
  <c r="F27" i="279"/>
  <c r="H26" i="279"/>
  <c r="G26" i="279"/>
  <c r="F26" i="279"/>
  <c r="H25" i="279"/>
  <c r="G25" i="279"/>
  <c r="F25" i="279"/>
  <c r="H24" i="279"/>
  <c r="G24" i="279"/>
  <c r="F24" i="279"/>
  <c r="H23" i="279"/>
  <c r="G23" i="279"/>
  <c r="F23" i="279"/>
  <c r="H22" i="279"/>
  <c r="G22" i="279"/>
  <c r="F22" i="279"/>
  <c r="H21" i="279"/>
  <c r="G21" i="279"/>
  <c r="F21" i="279"/>
  <c r="H20" i="279"/>
  <c r="G20" i="279"/>
  <c r="F20" i="279"/>
  <c r="H19" i="279"/>
  <c r="G19" i="279"/>
  <c r="F19" i="279"/>
  <c r="H18" i="279"/>
  <c r="G18" i="279"/>
  <c r="F18" i="279"/>
  <c r="H17" i="279"/>
  <c r="G17" i="279"/>
  <c r="F17" i="279"/>
  <c r="H16" i="279"/>
  <c r="G16" i="279"/>
  <c r="F16" i="279"/>
  <c r="H15" i="279"/>
  <c r="G15" i="279"/>
  <c r="F15" i="279"/>
  <c r="H14" i="279"/>
  <c r="G14" i="279"/>
  <c r="F14" i="279"/>
  <c r="H13" i="279"/>
  <c r="G13" i="279"/>
  <c r="F13" i="279"/>
  <c r="H12" i="279"/>
  <c r="G12" i="279"/>
  <c r="F12" i="279"/>
  <c r="H43" i="280"/>
  <c r="G43" i="280"/>
  <c r="F43" i="280"/>
  <c r="H42" i="280"/>
  <c r="G42" i="280"/>
  <c r="F42" i="280"/>
  <c r="H41" i="280"/>
  <c r="G41" i="280"/>
  <c r="F41" i="280"/>
  <c r="H40" i="280"/>
  <c r="G40" i="280"/>
  <c r="F40" i="280"/>
  <c r="H39" i="280"/>
  <c r="G39" i="280"/>
  <c r="F39" i="280"/>
  <c r="H38" i="280"/>
  <c r="G38" i="280"/>
  <c r="F38" i="280"/>
  <c r="H37" i="280"/>
  <c r="G37" i="280"/>
  <c r="F37" i="280"/>
  <c r="H36" i="280"/>
  <c r="G36" i="280"/>
  <c r="F36" i="280"/>
  <c r="H35" i="280"/>
  <c r="G35" i="280"/>
  <c r="F35" i="280"/>
  <c r="H34" i="280"/>
  <c r="G34" i="280"/>
  <c r="F34" i="280"/>
  <c r="H33" i="280"/>
  <c r="G33" i="280"/>
  <c r="F33" i="280"/>
  <c r="H29" i="280"/>
  <c r="G29" i="280"/>
  <c r="F29" i="280"/>
  <c r="H28" i="280"/>
  <c r="G28" i="280"/>
  <c r="F28" i="280"/>
  <c r="H27" i="280"/>
  <c r="G27" i="280"/>
  <c r="F27" i="280"/>
  <c r="H26" i="280"/>
  <c r="G26" i="280"/>
  <c r="F26" i="280"/>
  <c r="H25" i="280"/>
  <c r="G25" i="280"/>
  <c r="F25" i="280"/>
  <c r="H24" i="280"/>
  <c r="G24" i="280"/>
  <c r="F24" i="280"/>
  <c r="H23" i="280"/>
  <c r="G23" i="280"/>
  <c r="F23" i="280"/>
  <c r="H22" i="280"/>
  <c r="G22" i="280"/>
  <c r="F22" i="280"/>
  <c r="H21" i="280"/>
  <c r="G21" i="280"/>
  <c r="F21" i="280"/>
  <c r="H20" i="280"/>
  <c r="G20" i="280"/>
  <c r="F20" i="280"/>
  <c r="H19" i="280"/>
  <c r="G19" i="280"/>
  <c r="F19" i="280"/>
  <c r="H18" i="280"/>
  <c r="G18" i="280"/>
  <c r="F18" i="280"/>
  <c r="H17" i="280"/>
  <c r="G17" i="280"/>
  <c r="F17" i="280"/>
  <c r="H16" i="280"/>
  <c r="G16" i="280"/>
  <c r="F16" i="280"/>
  <c r="H15" i="280"/>
  <c r="G15" i="280"/>
  <c r="F15" i="280"/>
  <c r="H14" i="280"/>
  <c r="G14" i="280"/>
  <c r="F14" i="280"/>
  <c r="H13" i="280"/>
  <c r="G13" i="280"/>
  <c r="F13" i="280"/>
  <c r="H12" i="280"/>
  <c r="G12" i="280"/>
  <c r="F12" i="280"/>
  <c r="H43" i="281"/>
  <c r="G43" i="281"/>
  <c r="F43" i="281"/>
  <c r="H42" i="281"/>
  <c r="G42" i="281"/>
  <c r="F42" i="281"/>
  <c r="H41" i="281"/>
  <c r="G41" i="281"/>
  <c r="F41" i="281"/>
  <c r="H40" i="281"/>
  <c r="G40" i="281"/>
  <c r="F40" i="281"/>
  <c r="H39" i="281"/>
  <c r="G39" i="281"/>
  <c r="F39" i="281"/>
  <c r="H38" i="281"/>
  <c r="G38" i="281"/>
  <c r="F38" i="281"/>
  <c r="H37" i="281"/>
  <c r="G37" i="281"/>
  <c r="F37" i="281"/>
  <c r="H36" i="281"/>
  <c r="G36" i="281"/>
  <c r="F36" i="281"/>
  <c r="H35" i="281"/>
  <c r="G35" i="281"/>
  <c r="F35" i="281"/>
  <c r="H34" i="281"/>
  <c r="G34" i="281"/>
  <c r="F34" i="281"/>
  <c r="H33" i="281"/>
  <c r="G33" i="281"/>
  <c r="F33" i="281"/>
  <c r="H29" i="281"/>
  <c r="G29" i="281"/>
  <c r="F29" i="281"/>
  <c r="H28" i="281"/>
  <c r="G28" i="281"/>
  <c r="F28" i="281"/>
  <c r="H27" i="281"/>
  <c r="G27" i="281"/>
  <c r="F27" i="281"/>
  <c r="H26" i="281"/>
  <c r="G26" i="281"/>
  <c r="F26" i="281"/>
  <c r="H25" i="281"/>
  <c r="G25" i="281"/>
  <c r="F25" i="281"/>
  <c r="H24" i="281"/>
  <c r="G24" i="281"/>
  <c r="F24" i="281"/>
  <c r="H23" i="281"/>
  <c r="G23" i="281"/>
  <c r="F23" i="281"/>
  <c r="H22" i="281"/>
  <c r="G22" i="281"/>
  <c r="F22" i="281"/>
  <c r="H21" i="281"/>
  <c r="G21" i="281"/>
  <c r="F21" i="281"/>
  <c r="H20" i="281"/>
  <c r="G20" i="281"/>
  <c r="F20" i="281"/>
  <c r="H19" i="281"/>
  <c r="G19" i="281"/>
  <c r="F19" i="281"/>
  <c r="H18" i="281"/>
  <c r="G18" i="281"/>
  <c r="F18" i="281"/>
  <c r="H17" i="281"/>
  <c r="G17" i="281"/>
  <c r="F17" i="281"/>
  <c r="H16" i="281"/>
  <c r="G16" i="281"/>
  <c r="F16" i="281"/>
  <c r="H15" i="281"/>
  <c r="G15" i="281"/>
  <c r="F15" i="281"/>
  <c r="H14" i="281"/>
  <c r="G14" i="281"/>
  <c r="F14" i="281"/>
  <c r="H13" i="281"/>
  <c r="G13" i="281"/>
  <c r="F13" i="281"/>
  <c r="H12" i="281"/>
  <c r="G12" i="281"/>
  <c r="F12" i="281"/>
  <c r="H43" i="282"/>
  <c r="G43" i="282"/>
  <c r="F43" i="282"/>
  <c r="H42" i="282"/>
  <c r="G42" i="282"/>
  <c r="F42" i="282"/>
  <c r="H41" i="282"/>
  <c r="G41" i="282"/>
  <c r="F41" i="282"/>
  <c r="H40" i="282"/>
  <c r="G40" i="282"/>
  <c r="F40" i="282"/>
  <c r="H39" i="282"/>
  <c r="G39" i="282"/>
  <c r="F39" i="282"/>
  <c r="H38" i="282"/>
  <c r="G38" i="282"/>
  <c r="F38" i="282"/>
  <c r="H37" i="282"/>
  <c r="G37" i="282"/>
  <c r="F37" i="282"/>
  <c r="H36" i="282"/>
  <c r="G36" i="282"/>
  <c r="F36" i="282"/>
  <c r="H35" i="282"/>
  <c r="G35" i="282"/>
  <c r="F35" i="282"/>
  <c r="H34" i="282"/>
  <c r="G34" i="282"/>
  <c r="F34" i="282"/>
  <c r="H33" i="282"/>
  <c r="G33" i="282"/>
  <c r="F33" i="282"/>
  <c r="H29" i="282"/>
  <c r="G29" i="282"/>
  <c r="F29" i="282"/>
  <c r="H28" i="282"/>
  <c r="G28" i="282"/>
  <c r="F28" i="282"/>
  <c r="H27" i="282"/>
  <c r="G27" i="282"/>
  <c r="F27" i="282"/>
  <c r="H26" i="282"/>
  <c r="G26" i="282"/>
  <c r="F26" i="282"/>
  <c r="H25" i="282"/>
  <c r="G25" i="282"/>
  <c r="F25" i="282"/>
  <c r="H24" i="282"/>
  <c r="G24" i="282"/>
  <c r="F24" i="282"/>
  <c r="H23" i="282"/>
  <c r="G23" i="282"/>
  <c r="F23" i="282"/>
  <c r="H22" i="282"/>
  <c r="G22" i="282"/>
  <c r="F22" i="282"/>
  <c r="H21" i="282"/>
  <c r="G21" i="282"/>
  <c r="F21" i="282"/>
  <c r="H20" i="282"/>
  <c r="G20" i="282"/>
  <c r="F20" i="282"/>
  <c r="H19" i="282"/>
  <c r="G19" i="282"/>
  <c r="F19" i="282"/>
  <c r="H18" i="282"/>
  <c r="G18" i="282"/>
  <c r="F18" i="282"/>
  <c r="H17" i="282"/>
  <c r="G17" i="282"/>
  <c r="F17" i="282"/>
  <c r="H16" i="282"/>
  <c r="G16" i="282"/>
  <c r="F16" i="282"/>
  <c r="H15" i="282"/>
  <c r="G15" i="282"/>
  <c r="F15" i="282"/>
  <c r="H14" i="282"/>
  <c r="G14" i="282"/>
  <c r="F14" i="282"/>
  <c r="H13" i="282"/>
  <c r="G13" i="282"/>
  <c r="F13" i="282"/>
  <c r="H12" i="282"/>
  <c r="G12" i="282"/>
  <c r="F12" i="282"/>
  <c r="H43" i="204"/>
  <c r="G43" i="204"/>
  <c r="F43" i="204"/>
  <c r="H42" i="204"/>
  <c r="G42" i="204"/>
  <c r="F42" i="204"/>
  <c r="H41" i="204"/>
  <c r="G41" i="204"/>
  <c r="F41" i="204"/>
  <c r="H40" i="204"/>
  <c r="G40" i="204"/>
  <c r="F40" i="204"/>
  <c r="H39" i="204"/>
  <c r="G39" i="204"/>
  <c r="F39" i="204"/>
  <c r="H38" i="204"/>
  <c r="G38" i="204"/>
  <c r="F38" i="204"/>
  <c r="H37" i="204"/>
  <c r="G37" i="204"/>
  <c r="F37" i="204"/>
  <c r="H36" i="204"/>
  <c r="G36" i="204"/>
  <c r="F36" i="204"/>
  <c r="H35" i="204"/>
  <c r="G35" i="204"/>
  <c r="F35" i="204"/>
  <c r="H34" i="204"/>
  <c r="G34" i="204"/>
  <c r="F34" i="204"/>
  <c r="H33" i="204"/>
  <c r="G33" i="204"/>
  <c r="F33" i="204"/>
  <c r="H29" i="204"/>
  <c r="G29" i="204"/>
  <c r="F29" i="204"/>
  <c r="H28" i="204"/>
  <c r="G28" i="204"/>
  <c r="F28" i="204"/>
  <c r="H27" i="204"/>
  <c r="G27" i="204"/>
  <c r="F27" i="204"/>
  <c r="H26" i="204"/>
  <c r="G26" i="204"/>
  <c r="F26" i="204"/>
  <c r="H25" i="204"/>
  <c r="G25" i="204"/>
  <c r="F25" i="204"/>
  <c r="H24" i="204"/>
  <c r="G24" i="204"/>
  <c r="F24" i="204"/>
  <c r="H23" i="204"/>
  <c r="G23" i="204"/>
  <c r="F23" i="204"/>
  <c r="H22" i="204"/>
  <c r="G22" i="204"/>
  <c r="F22" i="204"/>
  <c r="H21" i="204"/>
  <c r="G21" i="204"/>
  <c r="F21" i="204"/>
  <c r="H20" i="204"/>
  <c r="G20" i="204"/>
  <c r="F20" i="204"/>
  <c r="H19" i="204"/>
  <c r="G19" i="204"/>
  <c r="F19" i="204"/>
  <c r="H18" i="204"/>
  <c r="G18" i="204"/>
  <c r="F18" i="204"/>
  <c r="H17" i="204"/>
  <c r="G17" i="204"/>
  <c r="F17" i="204"/>
  <c r="H16" i="204"/>
  <c r="G16" i="204"/>
  <c r="F16" i="204"/>
  <c r="H15" i="204"/>
  <c r="G15" i="204"/>
  <c r="F15" i="204"/>
  <c r="H14" i="204"/>
  <c r="G14" i="204"/>
  <c r="F14" i="204"/>
  <c r="H13" i="204"/>
  <c r="G13" i="204"/>
  <c r="F13" i="204"/>
  <c r="H12" i="204"/>
  <c r="G12" i="204"/>
  <c r="F12" i="204"/>
  <c r="AQ233" i="282" l="1"/>
  <c r="AP233" i="282"/>
  <c r="AO233" i="282"/>
  <c r="AN233" i="282"/>
  <c r="AM233" i="282"/>
  <c r="AL233" i="282"/>
  <c r="AK233" i="282"/>
  <c r="AJ233" i="282"/>
  <c r="AQ188" i="282"/>
  <c r="AP188" i="282"/>
  <c r="AO188" i="282"/>
  <c r="AN188" i="282"/>
  <c r="AM188" i="282"/>
  <c r="AL188" i="282"/>
  <c r="AK188" i="282"/>
  <c r="AJ188" i="282"/>
  <c r="AQ179" i="282"/>
  <c r="AP179" i="282"/>
  <c r="AO179" i="282"/>
  <c r="AN179" i="282"/>
  <c r="AM179" i="282"/>
  <c r="AL179" i="282"/>
  <c r="AK179" i="282"/>
  <c r="AJ179" i="282"/>
  <c r="AQ152" i="282"/>
  <c r="AP152" i="282"/>
  <c r="AO152" i="282"/>
  <c r="AN152" i="282"/>
  <c r="AM152" i="282"/>
  <c r="AL152" i="282"/>
  <c r="AK152" i="282"/>
  <c r="AJ152" i="282"/>
  <c r="AQ143" i="282"/>
  <c r="AP143" i="282"/>
  <c r="AQ134" i="282"/>
  <c r="AP134" i="282"/>
  <c r="AO134" i="282"/>
  <c r="AN134" i="282"/>
  <c r="AM134" i="282"/>
  <c r="AL134" i="282"/>
  <c r="AK134" i="282"/>
  <c r="AJ134" i="282"/>
  <c r="AQ125" i="282"/>
  <c r="AP125" i="282"/>
  <c r="AO125" i="282"/>
  <c r="AN125" i="282"/>
  <c r="AM125" i="282"/>
  <c r="AL125" i="282"/>
  <c r="AK125" i="282"/>
  <c r="AJ125" i="282"/>
  <c r="AP152" i="281"/>
  <c r="AN152" i="281"/>
  <c r="AL152" i="281"/>
  <c r="AJ152" i="281"/>
  <c r="AP143" i="281"/>
  <c r="AP134" i="281"/>
  <c r="AN134" i="281"/>
  <c r="AL134" i="281"/>
  <c r="AJ134" i="281"/>
  <c r="AP125" i="281"/>
  <c r="AN125" i="281"/>
  <c r="AL125" i="281"/>
  <c r="AJ125" i="281"/>
  <c r="AQ233" i="281"/>
  <c r="AP233" i="281"/>
  <c r="AO233" i="281"/>
  <c r="AN233" i="281"/>
  <c r="AM233" i="281"/>
  <c r="AL233" i="281"/>
  <c r="AK233" i="281"/>
  <c r="AJ233" i="281"/>
  <c r="AQ179" i="281"/>
  <c r="AP179" i="281"/>
  <c r="AO179" i="281"/>
  <c r="AN179" i="281"/>
  <c r="AM179" i="281"/>
  <c r="AL179" i="281"/>
  <c r="AK179" i="281"/>
  <c r="AJ179" i="281"/>
  <c r="AQ152" i="281"/>
  <c r="AO152" i="281"/>
  <c r="AM152" i="281"/>
  <c r="AK152" i="281"/>
  <c r="AQ143" i="281"/>
  <c r="AQ134" i="281"/>
  <c r="AO134" i="281"/>
  <c r="AM134" i="281"/>
  <c r="AK134" i="281"/>
  <c r="AQ125" i="281"/>
  <c r="AO125" i="281"/>
  <c r="AM125" i="281"/>
  <c r="AK125" i="281"/>
  <c r="AQ152" i="280"/>
  <c r="AP152" i="280"/>
  <c r="AN152" i="280"/>
  <c r="AM152" i="280"/>
  <c r="AL152" i="280"/>
  <c r="AJ152" i="280"/>
  <c r="AQ143" i="280"/>
  <c r="AP143" i="280"/>
  <c r="AQ134" i="280"/>
  <c r="AP134" i="280"/>
  <c r="AO134" i="280"/>
  <c r="AN134" i="280"/>
  <c r="AM134" i="280"/>
  <c r="AL134" i="280"/>
  <c r="AJ134" i="280"/>
  <c r="AQ125" i="280"/>
  <c r="AP125" i="280"/>
  <c r="AO125" i="280"/>
  <c r="AN125" i="280"/>
  <c r="AM125" i="280"/>
  <c r="AL125" i="280"/>
  <c r="AJ125" i="280"/>
  <c r="AQ233" i="280"/>
  <c r="AP233" i="280"/>
  <c r="AO233" i="280"/>
  <c r="AN233" i="280"/>
  <c r="AM233" i="280"/>
  <c r="AL233" i="280"/>
  <c r="AK233" i="280"/>
  <c r="AJ233" i="280"/>
  <c r="AQ188" i="280"/>
  <c r="AP188" i="280"/>
  <c r="AO188" i="280"/>
  <c r="AN188" i="280"/>
  <c r="AM188" i="280"/>
  <c r="AL188" i="280"/>
  <c r="AK188" i="280"/>
  <c r="AJ188" i="280"/>
  <c r="AQ179" i="280"/>
  <c r="AP179" i="280"/>
  <c r="AO179" i="280"/>
  <c r="AN179" i="280"/>
  <c r="AM179" i="280"/>
  <c r="AL179" i="280"/>
  <c r="AK179" i="280"/>
  <c r="AJ179" i="280"/>
  <c r="AO152" i="280"/>
  <c r="AK152" i="280"/>
  <c r="AK134" i="280"/>
  <c r="AK125" i="280"/>
  <c r="AP152" i="279"/>
  <c r="AN152" i="279"/>
  <c r="AL152" i="279"/>
  <c r="AJ152" i="279"/>
  <c r="AQ143" i="279"/>
  <c r="AP143" i="279"/>
  <c r="AQ134" i="279"/>
  <c r="AP134" i="279"/>
  <c r="AO134" i="279"/>
  <c r="AN134" i="279"/>
  <c r="AM134" i="279"/>
  <c r="AL134" i="279"/>
  <c r="AK134" i="279"/>
  <c r="AJ134" i="279"/>
  <c r="AQ125" i="279"/>
  <c r="AP125" i="279"/>
  <c r="AO125" i="279"/>
  <c r="AN125" i="279"/>
  <c r="AM125" i="279"/>
  <c r="AL125" i="279"/>
  <c r="AK125" i="279"/>
  <c r="AJ125" i="279"/>
  <c r="AQ233" i="279"/>
  <c r="AP233" i="279"/>
  <c r="AO233" i="279"/>
  <c r="AN233" i="279"/>
  <c r="AM233" i="279"/>
  <c r="AL233" i="279"/>
  <c r="AK233" i="279"/>
  <c r="AJ233" i="279"/>
  <c r="AQ188" i="279"/>
  <c r="AP188" i="279"/>
  <c r="AO188" i="279"/>
  <c r="AN188" i="279"/>
  <c r="AM188" i="279"/>
  <c r="AL188" i="279"/>
  <c r="AK188" i="279"/>
  <c r="AJ188" i="279"/>
  <c r="AQ179" i="279"/>
  <c r="AP179" i="279"/>
  <c r="AO179" i="279"/>
  <c r="AN179" i="279"/>
  <c r="AM179" i="279"/>
  <c r="AL179" i="279"/>
  <c r="AK179" i="279"/>
  <c r="AJ179" i="279"/>
  <c r="AQ152" i="279"/>
  <c r="AO152" i="279"/>
  <c r="AM152" i="279"/>
  <c r="AK152" i="279"/>
  <c r="AQ152" i="278"/>
  <c r="AP152" i="278"/>
  <c r="AN152" i="278"/>
  <c r="AM152" i="278"/>
  <c r="AL152" i="278"/>
  <c r="AJ152" i="278"/>
  <c r="AQ143" i="278"/>
  <c r="AP143" i="278"/>
  <c r="AQ134" i="278"/>
  <c r="AP134" i="278"/>
  <c r="AN134" i="278"/>
  <c r="AM134" i="278"/>
  <c r="AL134" i="278"/>
  <c r="AJ134" i="278"/>
  <c r="AQ125" i="278"/>
  <c r="AP125" i="278"/>
  <c r="AN125" i="278"/>
  <c r="AM125" i="278"/>
  <c r="AL125" i="278"/>
  <c r="AJ125" i="278"/>
  <c r="AQ233" i="278"/>
  <c r="AP233" i="278"/>
  <c r="AO233" i="278"/>
  <c r="AN233" i="278"/>
  <c r="AM233" i="278"/>
  <c r="AL233" i="278"/>
  <c r="AK233" i="278"/>
  <c r="AJ233" i="278"/>
  <c r="AQ188" i="278"/>
  <c r="AP188" i="278"/>
  <c r="AO188" i="278"/>
  <c r="AN188" i="278"/>
  <c r="AM188" i="278"/>
  <c r="AL188" i="278"/>
  <c r="AK188" i="278"/>
  <c r="AJ188" i="278"/>
  <c r="AQ179" i="278"/>
  <c r="AP179" i="278"/>
  <c r="AO179" i="278"/>
  <c r="AN179" i="278"/>
  <c r="AM179" i="278"/>
  <c r="AL179" i="278"/>
  <c r="AK179" i="278"/>
  <c r="AJ179" i="278"/>
  <c r="AO152" i="278"/>
  <c r="AK152" i="278"/>
  <c r="AO134" i="278"/>
  <c r="AK134" i="278"/>
  <c r="AO125" i="278"/>
  <c r="AK125" i="278"/>
  <c r="AQ152" i="277"/>
  <c r="AO152" i="277"/>
  <c r="AM152" i="277"/>
  <c r="AK152" i="277"/>
  <c r="AQ143" i="277"/>
  <c r="AQ134" i="277"/>
  <c r="AO134" i="277"/>
  <c r="AM134" i="277"/>
  <c r="AK134" i="277"/>
  <c r="AQ125" i="277"/>
  <c r="AO125" i="277"/>
  <c r="AM125" i="277"/>
  <c r="AK125" i="277"/>
  <c r="AQ233" i="277"/>
  <c r="AP233" i="277"/>
  <c r="AO233" i="277"/>
  <c r="AN233" i="277"/>
  <c r="AM233" i="277"/>
  <c r="AL233" i="277"/>
  <c r="AK233" i="277"/>
  <c r="AJ233" i="277"/>
  <c r="AQ188" i="277"/>
  <c r="AP188" i="277"/>
  <c r="AO188" i="277"/>
  <c r="AN188" i="277"/>
  <c r="AM188" i="277"/>
  <c r="AL188" i="277"/>
  <c r="AK188" i="277"/>
  <c r="AJ188" i="277"/>
  <c r="AQ179" i="277"/>
  <c r="AP179" i="277"/>
  <c r="AO179" i="277"/>
  <c r="AN179" i="277"/>
  <c r="AM179" i="277"/>
  <c r="AL179" i="277"/>
  <c r="AK179" i="277"/>
  <c r="AJ179" i="277"/>
  <c r="AP152" i="277"/>
  <c r="AN152" i="277"/>
  <c r="AL152" i="277"/>
  <c r="AJ152" i="277"/>
  <c r="AP143" i="277"/>
  <c r="AP134" i="277"/>
  <c r="AN134" i="277"/>
  <c r="AL134" i="277"/>
  <c r="AJ134" i="277"/>
  <c r="AP125" i="277"/>
  <c r="AN125" i="277"/>
  <c r="AL125" i="277"/>
  <c r="AJ125" i="277"/>
  <c r="AQ152" i="217"/>
  <c r="AP152" i="217"/>
  <c r="AN152" i="217"/>
  <c r="AM152" i="217"/>
  <c r="AL152" i="217"/>
  <c r="AJ152" i="217"/>
  <c r="AP143" i="217"/>
  <c r="AQ134" i="217"/>
  <c r="AP134" i="217"/>
  <c r="AN134" i="217"/>
  <c r="AM134" i="217"/>
  <c r="AL134" i="217"/>
  <c r="AJ134" i="217"/>
  <c r="AQ125" i="217"/>
  <c r="AP125" i="217"/>
  <c r="AN125" i="217"/>
  <c r="AM125" i="217"/>
  <c r="AL125" i="217"/>
  <c r="AJ125" i="217"/>
  <c r="AQ233" i="217"/>
  <c r="AP233" i="217"/>
  <c r="AO233" i="217"/>
  <c r="AN233" i="217"/>
  <c r="AM233" i="217"/>
  <c r="AL233" i="217"/>
  <c r="AK233" i="217"/>
  <c r="AJ233" i="217"/>
  <c r="AQ188" i="217"/>
  <c r="AP188" i="217"/>
  <c r="AO188" i="217"/>
  <c r="AN188" i="217"/>
  <c r="AM188" i="217"/>
  <c r="AL188" i="217"/>
  <c r="AK188" i="217"/>
  <c r="AJ188" i="217"/>
  <c r="AQ179" i="217"/>
  <c r="AP179" i="217"/>
  <c r="AO179" i="217"/>
  <c r="AN179" i="217"/>
  <c r="AM179" i="217"/>
  <c r="AL179" i="217"/>
  <c r="AK179" i="217"/>
  <c r="AJ179" i="217"/>
  <c r="AO152" i="217"/>
  <c r="AK152" i="217"/>
  <c r="AQ143" i="217"/>
  <c r="AO134" i="217"/>
  <c r="AK134" i="217"/>
  <c r="AO125" i="217"/>
  <c r="AK125" i="217"/>
  <c r="AQ134" i="204"/>
  <c r="AO134" i="204"/>
  <c r="AM134" i="204"/>
  <c r="AK134" i="204"/>
  <c r="AQ125" i="204"/>
  <c r="AO125" i="204"/>
  <c r="AM125" i="204"/>
  <c r="AK125" i="204"/>
  <c r="AQ233" i="212"/>
  <c r="AP233" i="212"/>
  <c r="AO233" i="212"/>
  <c r="AN233" i="212"/>
  <c r="AM233" i="212"/>
  <c r="AL233" i="212"/>
  <c r="AK233" i="212"/>
  <c r="AJ233" i="212"/>
  <c r="AQ188" i="212"/>
  <c r="AP188" i="212"/>
  <c r="AO188" i="212"/>
  <c r="AN188" i="212"/>
  <c r="AM188" i="212"/>
  <c r="AL188" i="212"/>
  <c r="AK188" i="212"/>
  <c r="AJ188" i="212"/>
  <c r="AQ179" i="212"/>
  <c r="AP179" i="212"/>
  <c r="AO179" i="212"/>
  <c r="AN179" i="212"/>
  <c r="AM179" i="212"/>
  <c r="AL179" i="212"/>
  <c r="AK179" i="212"/>
  <c r="AJ179" i="212"/>
  <c r="AQ152" i="212"/>
  <c r="AP152" i="212"/>
  <c r="AO152" i="212"/>
  <c r="AN152" i="212"/>
  <c r="AM152" i="212"/>
  <c r="AL152" i="212"/>
  <c r="AK152" i="212"/>
  <c r="AJ152" i="212"/>
  <c r="AQ143" i="212"/>
  <c r="AP143" i="212"/>
  <c r="AQ134" i="212"/>
  <c r="AP134" i="212"/>
  <c r="AO134" i="212"/>
  <c r="AN134" i="212"/>
  <c r="AM134" i="212"/>
  <c r="AL134" i="212"/>
  <c r="AK134" i="212"/>
  <c r="AJ134" i="212"/>
  <c r="AQ125" i="212"/>
  <c r="AP125" i="212"/>
  <c r="AO125" i="212"/>
  <c r="AN125" i="212"/>
  <c r="AM125" i="212"/>
  <c r="AL125" i="212"/>
  <c r="AK125" i="212"/>
  <c r="AJ125" i="212"/>
  <c r="AQ233" i="204"/>
  <c r="AP233" i="204"/>
  <c r="AO233" i="204"/>
  <c r="AN233" i="204"/>
  <c r="AM233" i="204"/>
  <c r="AL233" i="204"/>
  <c r="AK233" i="204"/>
  <c r="AJ233" i="204"/>
  <c r="AQ188" i="204"/>
  <c r="AP188" i="204"/>
  <c r="AO188" i="204"/>
  <c r="AN188" i="204"/>
  <c r="AM188" i="204"/>
  <c r="AL188" i="204"/>
  <c r="AK188" i="204"/>
  <c r="AJ188" i="204"/>
  <c r="AQ179" i="204"/>
  <c r="AP179" i="204"/>
  <c r="AO179" i="204"/>
  <c r="AN179" i="204"/>
  <c r="AM179" i="204"/>
  <c r="AL179" i="204"/>
  <c r="AK179" i="204"/>
  <c r="AJ179" i="204"/>
  <c r="AQ152" i="204"/>
  <c r="AP152" i="204"/>
  <c r="AO152" i="204"/>
  <c r="AN152" i="204"/>
  <c r="AM152" i="204"/>
  <c r="AL152" i="204"/>
  <c r="AK152" i="204"/>
  <c r="AJ152" i="204"/>
  <c r="AQ143" i="204"/>
  <c r="AP143" i="204"/>
  <c r="AP134" i="204"/>
  <c r="AN134" i="204"/>
  <c r="AL134" i="204"/>
  <c r="AJ134" i="204"/>
  <c r="AP125" i="204"/>
  <c r="AN125" i="204"/>
  <c r="AL125" i="204"/>
  <c r="AJ125" i="204"/>
  <c r="AP152" i="205"/>
  <c r="AN152" i="205"/>
  <c r="AL152" i="205"/>
  <c r="AJ152" i="205"/>
  <c r="AP143" i="205"/>
  <c r="AP134" i="205"/>
  <c r="AN134" i="205"/>
  <c r="AL134" i="205"/>
  <c r="AJ134" i="205"/>
  <c r="AP125" i="205"/>
  <c r="AN125" i="205"/>
  <c r="AL125" i="205"/>
  <c r="AJ125" i="205"/>
  <c r="AQ233" i="205"/>
  <c r="AP233" i="205"/>
  <c r="AO233" i="205"/>
  <c r="AN233" i="205"/>
  <c r="AM233" i="205"/>
  <c r="AL233" i="205"/>
  <c r="AK233" i="205"/>
  <c r="AJ233" i="205"/>
  <c r="AQ188" i="205"/>
  <c r="AP188" i="205"/>
  <c r="AO188" i="205"/>
  <c r="AN188" i="205"/>
  <c r="AM188" i="205"/>
  <c r="AL188" i="205"/>
  <c r="AK188" i="205"/>
  <c r="AJ188" i="205"/>
  <c r="AQ179" i="205"/>
  <c r="AP179" i="205"/>
  <c r="AO179" i="205"/>
  <c r="AN179" i="205"/>
  <c r="AM179" i="205"/>
  <c r="AL179" i="205"/>
  <c r="AK179" i="205"/>
  <c r="AJ179" i="205"/>
  <c r="AQ152" i="205"/>
  <c r="AO152" i="205"/>
  <c r="AM152" i="205"/>
  <c r="AK152" i="205"/>
  <c r="AQ143" i="205"/>
  <c r="AQ134" i="205"/>
  <c r="AO134" i="205"/>
  <c r="AM134" i="205"/>
  <c r="AK134" i="205"/>
  <c r="AQ125" i="205"/>
  <c r="AO125" i="205"/>
  <c r="AM125" i="205"/>
  <c r="AK125" i="205"/>
  <c r="AI399" i="204" l="1"/>
  <c r="AH399" i="204"/>
  <c r="AI395" i="204"/>
  <c r="AH395" i="204"/>
  <c r="AI391" i="204"/>
  <c r="AH391" i="204"/>
  <c r="AI387" i="204"/>
  <c r="AH387" i="204"/>
  <c r="D25" i="23" l="1"/>
  <c r="D26" i="23" s="1"/>
  <c r="D28" i="23" s="1"/>
  <c r="D29" i="23" s="1"/>
  <c r="D30" i="23" s="1"/>
  <c r="D31" i="23" s="1"/>
  <c r="D32" i="23" s="1"/>
  <c r="D33" i="23" s="1"/>
  <c r="D35" i="23" s="1"/>
  <c r="D36" i="23" s="1"/>
  <c r="D37" i="23" s="1"/>
  <c r="D38" i="23" s="1"/>
  <c r="D39" i="23" s="1"/>
  <c r="D40" i="23" s="1"/>
  <c r="D41" i="23" s="1"/>
  <c r="D42" i="23" s="1"/>
  <c r="D44" i="23" s="1"/>
  <c r="D45" i="23" s="1"/>
  <c r="D46" i="23" s="1"/>
  <c r="D47" i="23" s="1"/>
  <c r="D48" i="23" s="1"/>
  <c r="D49" i="23" s="1"/>
  <c r="D50" i="23" s="1"/>
  <c r="D51" i="23" s="1"/>
  <c r="D53" i="23" s="1"/>
  <c r="D54" i="23" s="1"/>
  <c r="D55" i="23" s="1"/>
  <c r="D56" i="23" s="1"/>
  <c r="D57" i="23" s="1"/>
  <c r="D58" i="23" s="1"/>
  <c r="D59" i="23" s="1"/>
  <c r="D61" i="23" s="1"/>
  <c r="D62" i="23" s="1"/>
  <c r="D64" i="23" s="1"/>
  <c r="D65" i="23" s="1"/>
  <c r="D66" i="23" s="1"/>
  <c r="D67" i="23" s="1"/>
  <c r="D68" i="23" s="1"/>
  <c r="D69" i="23" s="1"/>
  <c r="D70" i="23" s="1"/>
  <c r="D71" i="23" s="1"/>
  <c r="D73" i="23" s="1"/>
  <c r="D74" i="23" s="1"/>
  <c r="D75" i="23" s="1"/>
  <c r="D76" i="23" s="1"/>
  <c r="D77" i="23" s="1"/>
  <c r="D78" i="23" s="1"/>
  <c r="D79" i="23" s="1"/>
  <c r="D80" i="23" s="1"/>
  <c r="D82" i="23" s="1"/>
  <c r="D83" i="23" s="1"/>
  <c r="D84" i="23" s="1"/>
  <c r="D85" i="23" s="1"/>
  <c r="D86" i="23" s="1"/>
  <c r="F11" i="23" l="1"/>
  <c r="G32" i="183" l="1"/>
  <c r="E464" i="282" l="1"/>
  <c r="E463" i="282"/>
  <c r="E461" i="282"/>
  <c r="E459" i="282"/>
  <c r="E458" i="282"/>
  <c r="E453" i="282"/>
  <c r="E452" i="282"/>
  <c r="E450" i="282"/>
  <c r="E448" i="282"/>
  <c r="E447" i="282"/>
  <c r="E443" i="282"/>
  <c r="E442" i="282"/>
  <c r="E440" i="282"/>
  <c r="E438" i="282"/>
  <c r="E437" i="282"/>
  <c r="E433" i="282"/>
  <c r="E432" i="282"/>
  <c r="E430" i="282"/>
  <c r="E428" i="282"/>
  <c r="E427" i="282"/>
  <c r="E423" i="282"/>
  <c r="E422" i="282"/>
  <c r="E420" i="282"/>
  <c r="E418" i="282"/>
  <c r="E417" i="282"/>
  <c r="E413" i="282"/>
  <c r="E412" i="282"/>
  <c r="E410" i="282"/>
  <c r="E408" i="282"/>
  <c r="E407" i="282"/>
  <c r="E368" i="282"/>
  <c r="E363" i="282"/>
  <c r="E362" i="282"/>
  <c r="E361" i="282"/>
  <c r="E360" i="282"/>
  <c r="E359" i="282"/>
  <c r="E358" i="282"/>
  <c r="E352" i="282"/>
  <c r="E351" i="282"/>
  <c r="E343" i="282"/>
  <c r="E342" i="282"/>
  <c r="E341" i="282"/>
  <c r="E339" i="282"/>
  <c r="E338" i="282"/>
  <c r="E337" i="282"/>
  <c r="E335" i="282"/>
  <c r="E334" i="282"/>
  <c r="E333" i="282"/>
  <c r="E331" i="282"/>
  <c r="E330" i="282"/>
  <c r="E329" i="282"/>
  <c r="E327" i="282"/>
  <c r="E326" i="282"/>
  <c r="E325" i="282"/>
  <c r="E323" i="282"/>
  <c r="E322" i="282"/>
  <c r="E321" i="282"/>
  <c r="E319" i="282"/>
  <c r="E318" i="282"/>
  <c r="E317" i="282"/>
  <c r="E315" i="282"/>
  <c r="E314" i="282"/>
  <c r="E313" i="282"/>
  <c r="E311" i="282"/>
  <c r="E310" i="282"/>
  <c r="E309" i="282"/>
  <c r="E307" i="282"/>
  <c r="E306" i="282"/>
  <c r="E305" i="282"/>
  <c r="E303" i="282"/>
  <c r="E302" i="282"/>
  <c r="E301" i="282"/>
  <c r="E299" i="282"/>
  <c r="E298" i="282"/>
  <c r="E297" i="282"/>
  <c r="E295" i="282"/>
  <c r="E294" i="282"/>
  <c r="E293" i="282"/>
  <c r="D291" i="282"/>
  <c r="E289" i="282"/>
  <c r="E288" i="282"/>
  <c r="E287" i="282"/>
  <c r="E280" i="282"/>
  <c r="E276" i="282"/>
  <c r="E274" i="282"/>
  <c r="E272" i="282"/>
  <c r="E270" i="282"/>
  <c r="E258" i="282"/>
  <c r="E257" i="282"/>
  <c r="E255" i="282"/>
  <c r="E254" i="282"/>
  <c r="E253" i="282"/>
  <c r="E252" i="282"/>
  <c r="E248" i="282"/>
  <c r="E247" i="282"/>
  <c r="E245" i="282"/>
  <c r="E244" i="282"/>
  <c r="E243" i="282"/>
  <c r="E242" i="282"/>
  <c r="E240" i="282"/>
  <c r="E239" i="282"/>
  <c r="E237" i="282"/>
  <c r="E236" i="282"/>
  <c r="E235" i="282"/>
  <c r="E234" i="282"/>
  <c r="E231" i="282"/>
  <c r="E230" i="282"/>
  <c r="E228" i="282"/>
  <c r="E227" i="282"/>
  <c r="E226" i="282"/>
  <c r="E225" i="282"/>
  <c r="E195" i="282"/>
  <c r="E194" i="282"/>
  <c r="E192" i="282"/>
  <c r="E191" i="282"/>
  <c r="E190" i="282"/>
  <c r="E189" i="282"/>
  <c r="E186" i="282"/>
  <c r="E185" i="282"/>
  <c r="E183" i="282"/>
  <c r="E182" i="282"/>
  <c r="E181" i="282"/>
  <c r="E180" i="282"/>
  <c r="E177" i="282"/>
  <c r="E176" i="282"/>
  <c r="E174" i="282"/>
  <c r="E173" i="282"/>
  <c r="E172" i="282"/>
  <c r="E171" i="282"/>
  <c r="E168" i="282"/>
  <c r="E167" i="282"/>
  <c r="E165" i="282"/>
  <c r="E164" i="282"/>
  <c r="E163" i="282"/>
  <c r="E162" i="282"/>
  <c r="E159" i="282"/>
  <c r="E158" i="282"/>
  <c r="E156" i="282"/>
  <c r="E155" i="282"/>
  <c r="E154" i="282"/>
  <c r="E153" i="282"/>
  <c r="E150" i="282"/>
  <c r="E149" i="282"/>
  <c r="E147" i="282"/>
  <c r="E146" i="282"/>
  <c r="E145" i="282"/>
  <c r="E144" i="282"/>
  <c r="E141" i="282"/>
  <c r="E140" i="282"/>
  <c r="E138" i="282"/>
  <c r="E137" i="282"/>
  <c r="E136" i="282"/>
  <c r="E135" i="282"/>
  <c r="E132" i="282"/>
  <c r="E131" i="282"/>
  <c r="E129" i="282"/>
  <c r="E128" i="282"/>
  <c r="E127" i="282"/>
  <c r="E126" i="282"/>
  <c r="E123" i="282"/>
  <c r="E122" i="282"/>
  <c r="E120" i="282"/>
  <c r="E119" i="282"/>
  <c r="E118" i="282"/>
  <c r="E117" i="282"/>
  <c r="E114" i="282"/>
  <c r="E113" i="282"/>
  <c r="E111" i="282"/>
  <c r="E110" i="282"/>
  <c r="E109" i="282"/>
  <c r="E108" i="282"/>
  <c r="E102" i="282"/>
  <c r="E100" i="282"/>
  <c r="E98" i="282"/>
  <c r="E97" i="282"/>
  <c r="E66" i="282"/>
  <c r="E43" i="282"/>
  <c r="E42" i="282"/>
  <c r="E41" i="282"/>
  <c r="E40" i="282"/>
  <c r="E39" i="282"/>
  <c r="E375" i="282" s="1"/>
  <c r="E38" i="282"/>
  <c r="E374" i="282" s="1"/>
  <c r="E37" i="282"/>
  <c r="E36" i="282"/>
  <c r="E35" i="282"/>
  <c r="E34" i="282"/>
  <c r="E268" i="282" s="1"/>
  <c r="E33" i="282"/>
  <c r="E233" i="282" s="1"/>
  <c r="E29" i="282"/>
  <c r="E197" i="282" s="1"/>
  <c r="E28" i="282"/>
  <c r="E188" i="282" s="1"/>
  <c r="E27" i="282"/>
  <c r="E26" i="282"/>
  <c r="E25" i="282"/>
  <c r="E24" i="282"/>
  <c r="E23" i="282"/>
  <c r="E22" i="282"/>
  <c r="E21" i="282"/>
  <c r="E20" i="282"/>
  <c r="E19" i="282"/>
  <c r="E18" i="282"/>
  <c r="E17" i="282"/>
  <c r="E15" i="282"/>
  <c r="E14" i="282"/>
  <c r="E13" i="282"/>
  <c r="E12" i="282"/>
  <c r="E11" i="282"/>
  <c r="E464" i="281"/>
  <c r="E463" i="281"/>
  <c r="E461" i="281"/>
  <c r="E459" i="281"/>
  <c r="E458" i="281"/>
  <c r="E453" i="281"/>
  <c r="E452" i="281"/>
  <c r="E450" i="281"/>
  <c r="E448" i="281"/>
  <c r="E447" i="281"/>
  <c r="E443" i="281"/>
  <c r="E442" i="281"/>
  <c r="E440" i="281"/>
  <c r="E438" i="281"/>
  <c r="E437" i="281"/>
  <c r="E433" i="281"/>
  <c r="E432" i="281"/>
  <c r="E430" i="281"/>
  <c r="E428" i="281"/>
  <c r="E427" i="281"/>
  <c r="E423" i="281"/>
  <c r="E422" i="281"/>
  <c r="E420" i="281"/>
  <c r="E418" i="281"/>
  <c r="E417" i="281"/>
  <c r="E413" i="281"/>
  <c r="E412" i="281"/>
  <c r="E410" i="281"/>
  <c r="E408" i="281"/>
  <c r="E407" i="281"/>
  <c r="E368" i="281"/>
  <c r="E363" i="281"/>
  <c r="E362" i="281"/>
  <c r="E361" i="281"/>
  <c r="E360" i="281"/>
  <c r="E359" i="281"/>
  <c r="E358" i="281"/>
  <c r="E352" i="281"/>
  <c r="E351" i="281"/>
  <c r="E343" i="281"/>
  <c r="E342" i="281"/>
  <c r="E341" i="281"/>
  <c r="E339" i="281"/>
  <c r="E338" i="281"/>
  <c r="E337" i="281"/>
  <c r="E335" i="281"/>
  <c r="E334" i="281"/>
  <c r="E333" i="281"/>
  <c r="E331" i="281"/>
  <c r="E330" i="281"/>
  <c r="E329" i="281"/>
  <c r="E327" i="281"/>
  <c r="E326" i="281"/>
  <c r="E325" i="281"/>
  <c r="E323" i="281"/>
  <c r="E322" i="281"/>
  <c r="E321" i="281"/>
  <c r="E319" i="281"/>
  <c r="E318" i="281"/>
  <c r="E317" i="281"/>
  <c r="E315" i="281"/>
  <c r="E314" i="281"/>
  <c r="E313" i="281"/>
  <c r="E311" i="281"/>
  <c r="E310" i="281"/>
  <c r="E309" i="281"/>
  <c r="E307" i="281"/>
  <c r="E306" i="281"/>
  <c r="E305" i="281"/>
  <c r="E303" i="281"/>
  <c r="E302" i="281"/>
  <c r="E301" i="281"/>
  <c r="E299" i="281"/>
  <c r="E298" i="281"/>
  <c r="E297" i="281"/>
  <c r="E295" i="281"/>
  <c r="E294" i="281"/>
  <c r="E293" i="281"/>
  <c r="D291" i="281"/>
  <c r="E289" i="281"/>
  <c r="E288" i="281"/>
  <c r="E287" i="281"/>
  <c r="E280" i="281"/>
  <c r="E276" i="281"/>
  <c r="E274" i="281"/>
  <c r="E272" i="281"/>
  <c r="E270" i="281"/>
  <c r="E258" i="281"/>
  <c r="E257" i="281"/>
  <c r="E255" i="281"/>
  <c r="E254" i="281"/>
  <c r="E253" i="281"/>
  <c r="E252" i="281"/>
  <c r="E248" i="281"/>
  <c r="E247" i="281"/>
  <c r="E245" i="281"/>
  <c r="E244" i="281"/>
  <c r="E243" i="281"/>
  <c r="E242" i="281"/>
  <c r="E240" i="281"/>
  <c r="E239" i="281"/>
  <c r="E237" i="281"/>
  <c r="E236" i="281"/>
  <c r="E235" i="281"/>
  <c r="E234" i="281"/>
  <c r="E231" i="281"/>
  <c r="E230" i="281"/>
  <c r="E228" i="281"/>
  <c r="E227" i="281"/>
  <c r="E226" i="281"/>
  <c r="E225" i="281"/>
  <c r="E195" i="281"/>
  <c r="E194" i="281"/>
  <c r="E192" i="281"/>
  <c r="E191" i="281"/>
  <c r="E190" i="281"/>
  <c r="E189" i="281"/>
  <c r="E186" i="281"/>
  <c r="E185" i="281"/>
  <c r="E183" i="281"/>
  <c r="E182" i="281"/>
  <c r="E181" i="281"/>
  <c r="E180" i="281"/>
  <c r="E177" i="281"/>
  <c r="E176" i="281"/>
  <c r="E174" i="281"/>
  <c r="E173" i="281"/>
  <c r="E172" i="281"/>
  <c r="E171" i="281"/>
  <c r="E168" i="281"/>
  <c r="E167" i="281"/>
  <c r="E165" i="281"/>
  <c r="E164" i="281"/>
  <c r="E163" i="281"/>
  <c r="E162" i="281"/>
  <c r="E159" i="281"/>
  <c r="E158" i="281"/>
  <c r="E156" i="281"/>
  <c r="E155" i="281"/>
  <c r="E154" i="281"/>
  <c r="E153" i="281"/>
  <c r="E150" i="281"/>
  <c r="E149" i="281"/>
  <c r="E147" i="281"/>
  <c r="E146" i="281"/>
  <c r="E145" i="281"/>
  <c r="E144" i="281"/>
  <c r="E141" i="281"/>
  <c r="E140" i="281"/>
  <c r="E138" i="281"/>
  <c r="E137" i="281"/>
  <c r="E136" i="281"/>
  <c r="E135" i="281"/>
  <c r="E132" i="281"/>
  <c r="E131" i="281"/>
  <c r="E129" i="281"/>
  <c r="E128" i="281"/>
  <c r="E127" i="281"/>
  <c r="E126" i="281"/>
  <c r="E123" i="281"/>
  <c r="E122" i="281"/>
  <c r="E120" i="281"/>
  <c r="E119" i="281"/>
  <c r="E118" i="281"/>
  <c r="E117" i="281"/>
  <c r="E114" i="281"/>
  <c r="E113" i="281"/>
  <c r="E111" i="281"/>
  <c r="E110" i="281"/>
  <c r="E109" i="281"/>
  <c r="E108" i="281"/>
  <c r="E102" i="281"/>
  <c r="E100" i="281"/>
  <c r="E98" i="281"/>
  <c r="E97" i="281"/>
  <c r="E66" i="281"/>
  <c r="E43" i="281"/>
  <c r="E42" i="281"/>
  <c r="E41" i="281"/>
  <c r="E40" i="281"/>
  <c r="E39" i="281"/>
  <c r="E375" i="281" s="1"/>
  <c r="E38" i="281"/>
  <c r="E374" i="281" s="1"/>
  <c r="E37" i="281"/>
  <c r="E36" i="281"/>
  <c r="E35" i="281"/>
  <c r="E34" i="281"/>
  <c r="E268" i="281" s="1"/>
  <c r="E33" i="281"/>
  <c r="E233" i="281" s="1"/>
  <c r="E29" i="281"/>
  <c r="E197" i="281" s="1"/>
  <c r="E28" i="281"/>
  <c r="E188" i="281" s="1"/>
  <c r="E27" i="281"/>
  <c r="E26" i="281"/>
  <c r="E25" i="281"/>
  <c r="E24" i="281"/>
  <c r="E23" i="281"/>
  <c r="E22" i="281"/>
  <c r="E21" i="281"/>
  <c r="E20" i="281"/>
  <c r="E19" i="281"/>
  <c r="E18" i="281"/>
  <c r="E17" i="281"/>
  <c r="E15" i="281"/>
  <c r="E14" i="281"/>
  <c r="E13" i="281"/>
  <c r="E12" i="281"/>
  <c r="E11" i="281"/>
  <c r="E464" i="280"/>
  <c r="E463" i="280"/>
  <c r="E461" i="280"/>
  <c r="E459" i="280"/>
  <c r="E458" i="280"/>
  <c r="E453" i="280"/>
  <c r="E452" i="280"/>
  <c r="E450" i="280"/>
  <c r="E448" i="280"/>
  <c r="E447" i="280"/>
  <c r="E443" i="280"/>
  <c r="E442" i="280"/>
  <c r="E440" i="280"/>
  <c r="E438" i="280"/>
  <c r="E437" i="280"/>
  <c r="E433" i="280"/>
  <c r="E432" i="280"/>
  <c r="E430" i="280"/>
  <c r="E428" i="280"/>
  <c r="E427" i="280"/>
  <c r="E423" i="280"/>
  <c r="E422" i="280"/>
  <c r="E420" i="280"/>
  <c r="E418" i="280"/>
  <c r="E417" i="280"/>
  <c r="E413" i="280"/>
  <c r="E412" i="280"/>
  <c r="E410" i="280"/>
  <c r="E408" i="280"/>
  <c r="E407" i="280"/>
  <c r="E368" i="280"/>
  <c r="E363" i="280"/>
  <c r="E362" i="280"/>
  <c r="E361" i="280"/>
  <c r="E360" i="280"/>
  <c r="E359" i="280"/>
  <c r="E358" i="280"/>
  <c r="E352" i="280"/>
  <c r="E351" i="280"/>
  <c r="E343" i="280"/>
  <c r="E342" i="280"/>
  <c r="E341" i="280"/>
  <c r="E339" i="280"/>
  <c r="E338" i="280"/>
  <c r="E337" i="280"/>
  <c r="E335" i="280"/>
  <c r="E334" i="280"/>
  <c r="E333" i="280"/>
  <c r="E331" i="280"/>
  <c r="E330" i="280"/>
  <c r="E329" i="280"/>
  <c r="E327" i="280"/>
  <c r="E326" i="280"/>
  <c r="E325" i="280"/>
  <c r="E323" i="280"/>
  <c r="E322" i="280"/>
  <c r="E321" i="280"/>
  <c r="E319" i="280"/>
  <c r="E318" i="280"/>
  <c r="E317" i="280"/>
  <c r="E315" i="280"/>
  <c r="E314" i="280"/>
  <c r="E313" i="280"/>
  <c r="E311" i="280"/>
  <c r="E310" i="280"/>
  <c r="E309" i="280"/>
  <c r="E307" i="280"/>
  <c r="E306" i="280"/>
  <c r="E305" i="280"/>
  <c r="E303" i="280"/>
  <c r="E302" i="280"/>
  <c r="E301" i="280"/>
  <c r="E299" i="280"/>
  <c r="E298" i="280"/>
  <c r="E297" i="280"/>
  <c r="E295" i="280"/>
  <c r="E294" i="280"/>
  <c r="E293" i="280"/>
  <c r="D291" i="280"/>
  <c r="E289" i="280"/>
  <c r="E288" i="280"/>
  <c r="E287" i="280"/>
  <c r="E280" i="280"/>
  <c r="E276" i="280"/>
  <c r="E274" i="280"/>
  <c r="E272" i="280"/>
  <c r="E270" i="280"/>
  <c r="E258" i="280"/>
  <c r="E257" i="280"/>
  <c r="E255" i="280"/>
  <c r="E254" i="280"/>
  <c r="E253" i="280"/>
  <c r="E252" i="280"/>
  <c r="E248" i="280"/>
  <c r="E247" i="280"/>
  <c r="E245" i="280"/>
  <c r="E244" i="280"/>
  <c r="E243" i="280"/>
  <c r="E242" i="280"/>
  <c r="E240" i="280"/>
  <c r="E239" i="280"/>
  <c r="E237" i="280"/>
  <c r="E236" i="280"/>
  <c r="E235" i="280"/>
  <c r="E234" i="280"/>
  <c r="E231" i="280"/>
  <c r="E230" i="280"/>
  <c r="E228" i="280"/>
  <c r="E227" i="280"/>
  <c r="E226" i="280"/>
  <c r="E225" i="280"/>
  <c r="E195" i="280"/>
  <c r="E194" i="280"/>
  <c r="E192" i="280"/>
  <c r="E191" i="280"/>
  <c r="E190" i="280"/>
  <c r="E189" i="280"/>
  <c r="E186" i="280"/>
  <c r="E185" i="280"/>
  <c r="E183" i="280"/>
  <c r="E182" i="280"/>
  <c r="E181" i="280"/>
  <c r="E180" i="280"/>
  <c r="E177" i="280"/>
  <c r="E176" i="280"/>
  <c r="E174" i="280"/>
  <c r="E173" i="280"/>
  <c r="E172" i="280"/>
  <c r="E171" i="280"/>
  <c r="E168" i="280"/>
  <c r="E167" i="280"/>
  <c r="E165" i="280"/>
  <c r="E164" i="280"/>
  <c r="E163" i="280"/>
  <c r="E162" i="280"/>
  <c r="E159" i="280"/>
  <c r="E158" i="280"/>
  <c r="E156" i="280"/>
  <c r="E155" i="280"/>
  <c r="E154" i="280"/>
  <c r="E153" i="280"/>
  <c r="E150" i="280"/>
  <c r="E149" i="280"/>
  <c r="E147" i="280"/>
  <c r="E146" i="280"/>
  <c r="E145" i="280"/>
  <c r="E144" i="280"/>
  <c r="E141" i="280"/>
  <c r="E140" i="280"/>
  <c r="E138" i="280"/>
  <c r="E137" i="280"/>
  <c r="E136" i="280"/>
  <c r="E135" i="280"/>
  <c r="E132" i="280"/>
  <c r="E131" i="280"/>
  <c r="E129" i="280"/>
  <c r="E128" i="280"/>
  <c r="E127" i="280"/>
  <c r="E126" i="280"/>
  <c r="E123" i="280"/>
  <c r="E122" i="280"/>
  <c r="E120" i="280"/>
  <c r="E119" i="280"/>
  <c r="E118" i="280"/>
  <c r="E117" i="280"/>
  <c r="E114" i="280"/>
  <c r="E113" i="280"/>
  <c r="E111" i="280"/>
  <c r="E110" i="280"/>
  <c r="E109" i="280"/>
  <c r="E108" i="280"/>
  <c r="E102" i="280"/>
  <c r="E100" i="280"/>
  <c r="E98" i="280"/>
  <c r="E97" i="280"/>
  <c r="E66" i="280"/>
  <c r="E43" i="280"/>
  <c r="E42" i="280"/>
  <c r="E41" i="280"/>
  <c r="E40" i="280"/>
  <c r="E39" i="280"/>
  <c r="E375" i="280" s="1"/>
  <c r="E38" i="280"/>
  <c r="E374" i="280" s="1"/>
  <c r="E37" i="280"/>
  <c r="E36" i="280"/>
  <c r="E35" i="280"/>
  <c r="E34" i="280"/>
  <c r="E268" i="280" s="1"/>
  <c r="E33" i="280"/>
  <c r="E233" i="280" s="1"/>
  <c r="E29" i="280"/>
  <c r="E197" i="280" s="1"/>
  <c r="E28" i="280"/>
  <c r="E188" i="280" s="1"/>
  <c r="E27" i="280"/>
  <c r="E26" i="280"/>
  <c r="E25" i="280"/>
  <c r="E24" i="280"/>
  <c r="E23" i="280"/>
  <c r="E22" i="280"/>
  <c r="E21" i="280"/>
  <c r="E20" i="280"/>
  <c r="E19" i="280"/>
  <c r="E18" i="280"/>
  <c r="E17" i="280"/>
  <c r="E15" i="280"/>
  <c r="E14" i="280"/>
  <c r="E13" i="280"/>
  <c r="E12" i="280"/>
  <c r="E11" i="280"/>
  <c r="E464" i="279"/>
  <c r="E463" i="279"/>
  <c r="E461" i="279"/>
  <c r="E459" i="279"/>
  <c r="E458" i="279"/>
  <c r="E453" i="279"/>
  <c r="E452" i="279"/>
  <c r="E450" i="279"/>
  <c r="E448" i="279"/>
  <c r="E447" i="279"/>
  <c r="E443" i="279"/>
  <c r="E442" i="279"/>
  <c r="E440" i="279"/>
  <c r="E438" i="279"/>
  <c r="E437" i="279"/>
  <c r="E433" i="279"/>
  <c r="E432" i="279"/>
  <c r="E430" i="279"/>
  <c r="E428" i="279"/>
  <c r="E427" i="279"/>
  <c r="E423" i="279"/>
  <c r="E422" i="279"/>
  <c r="E420" i="279"/>
  <c r="E418" i="279"/>
  <c r="E417" i="279"/>
  <c r="E413" i="279"/>
  <c r="E412" i="279"/>
  <c r="E410" i="279"/>
  <c r="E408" i="279"/>
  <c r="E407" i="279"/>
  <c r="E368" i="279"/>
  <c r="E363" i="279"/>
  <c r="E362" i="279"/>
  <c r="E361" i="279"/>
  <c r="E360" i="279"/>
  <c r="E359" i="279"/>
  <c r="E358" i="279"/>
  <c r="E352" i="279"/>
  <c r="E351" i="279"/>
  <c r="E343" i="279"/>
  <c r="E342" i="279"/>
  <c r="E341" i="279"/>
  <c r="E339" i="279"/>
  <c r="E338" i="279"/>
  <c r="E337" i="279"/>
  <c r="E335" i="279"/>
  <c r="E334" i="279"/>
  <c r="E333" i="279"/>
  <c r="E331" i="279"/>
  <c r="E330" i="279"/>
  <c r="E329" i="279"/>
  <c r="E327" i="279"/>
  <c r="E326" i="279"/>
  <c r="E325" i="279"/>
  <c r="E323" i="279"/>
  <c r="E322" i="279"/>
  <c r="E321" i="279"/>
  <c r="E319" i="279"/>
  <c r="E318" i="279"/>
  <c r="E317" i="279"/>
  <c r="E315" i="279"/>
  <c r="E314" i="279"/>
  <c r="E313" i="279"/>
  <c r="E311" i="279"/>
  <c r="E310" i="279"/>
  <c r="E309" i="279"/>
  <c r="E307" i="279"/>
  <c r="E306" i="279"/>
  <c r="E305" i="279"/>
  <c r="E303" i="279"/>
  <c r="E302" i="279"/>
  <c r="E301" i="279"/>
  <c r="E299" i="279"/>
  <c r="E298" i="279"/>
  <c r="E297" i="279"/>
  <c r="E295" i="279"/>
  <c r="E294" i="279"/>
  <c r="E293" i="279"/>
  <c r="D291" i="279"/>
  <c r="E289" i="279"/>
  <c r="E288" i="279"/>
  <c r="E287" i="279"/>
  <c r="E280" i="279"/>
  <c r="E276" i="279"/>
  <c r="E274" i="279"/>
  <c r="E272" i="279"/>
  <c r="E270" i="279"/>
  <c r="E258" i="279"/>
  <c r="E257" i="279"/>
  <c r="E255" i="279"/>
  <c r="E254" i="279"/>
  <c r="E253" i="279"/>
  <c r="E252" i="279"/>
  <c r="E248" i="279"/>
  <c r="E247" i="279"/>
  <c r="E245" i="279"/>
  <c r="E244" i="279"/>
  <c r="E243" i="279"/>
  <c r="E242" i="279"/>
  <c r="E240" i="279"/>
  <c r="E239" i="279"/>
  <c r="E237" i="279"/>
  <c r="E236" i="279"/>
  <c r="E235" i="279"/>
  <c r="E234" i="279"/>
  <c r="E231" i="279"/>
  <c r="E230" i="279"/>
  <c r="E228" i="279"/>
  <c r="E227" i="279"/>
  <c r="E226" i="279"/>
  <c r="E225" i="279"/>
  <c r="E195" i="279"/>
  <c r="E194" i="279"/>
  <c r="E192" i="279"/>
  <c r="E191" i="279"/>
  <c r="E190" i="279"/>
  <c r="E189" i="279"/>
  <c r="E186" i="279"/>
  <c r="E185" i="279"/>
  <c r="E183" i="279"/>
  <c r="E182" i="279"/>
  <c r="E181" i="279"/>
  <c r="E180" i="279"/>
  <c r="E177" i="279"/>
  <c r="E176" i="279"/>
  <c r="E174" i="279"/>
  <c r="E173" i="279"/>
  <c r="E172" i="279"/>
  <c r="E171" i="279"/>
  <c r="E168" i="279"/>
  <c r="E167" i="279"/>
  <c r="E165" i="279"/>
  <c r="E164" i="279"/>
  <c r="E163" i="279"/>
  <c r="E162" i="279"/>
  <c r="E159" i="279"/>
  <c r="E158" i="279"/>
  <c r="E156" i="279"/>
  <c r="E155" i="279"/>
  <c r="E154" i="279"/>
  <c r="E153" i="279"/>
  <c r="E150" i="279"/>
  <c r="E149" i="279"/>
  <c r="E147" i="279"/>
  <c r="E146" i="279"/>
  <c r="E145" i="279"/>
  <c r="E144" i="279"/>
  <c r="E141" i="279"/>
  <c r="E140" i="279"/>
  <c r="E138" i="279"/>
  <c r="E137" i="279"/>
  <c r="E136" i="279"/>
  <c r="E135" i="279"/>
  <c r="E132" i="279"/>
  <c r="E131" i="279"/>
  <c r="E129" i="279"/>
  <c r="E128" i="279"/>
  <c r="E127" i="279"/>
  <c r="E126" i="279"/>
  <c r="E123" i="279"/>
  <c r="E122" i="279"/>
  <c r="E120" i="279"/>
  <c r="E119" i="279"/>
  <c r="E118" i="279"/>
  <c r="E117" i="279"/>
  <c r="E114" i="279"/>
  <c r="E113" i="279"/>
  <c r="E111" i="279"/>
  <c r="E110" i="279"/>
  <c r="E109" i="279"/>
  <c r="E108" i="279"/>
  <c r="E102" i="279"/>
  <c r="E100" i="279"/>
  <c r="E98" i="279"/>
  <c r="E97" i="279"/>
  <c r="E66" i="279"/>
  <c r="E43" i="279"/>
  <c r="E42" i="279"/>
  <c r="E41" i="279"/>
  <c r="E40" i="279"/>
  <c r="E39" i="279"/>
  <c r="E375" i="279" s="1"/>
  <c r="E38" i="279"/>
  <c r="E374" i="279" s="1"/>
  <c r="E37" i="279"/>
  <c r="E36" i="279"/>
  <c r="E35" i="279"/>
  <c r="E34" i="279"/>
  <c r="E268" i="279" s="1"/>
  <c r="E33" i="279"/>
  <c r="E233" i="279" s="1"/>
  <c r="E29" i="279"/>
  <c r="E197" i="279" s="1"/>
  <c r="E28" i="279"/>
  <c r="E188" i="279" s="1"/>
  <c r="E27" i="279"/>
  <c r="E26" i="279"/>
  <c r="E25" i="279"/>
  <c r="E24" i="279"/>
  <c r="E23" i="279"/>
  <c r="E22" i="279"/>
  <c r="E21" i="279"/>
  <c r="E20" i="279"/>
  <c r="E19" i="279"/>
  <c r="E18" i="279"/>
  <c r="E17" i="279"/>
  <c r="E15" i="279"/>
  <c r="E14" i="279"/>
  <c r="E13" i="279"/>
  <c r="E12" i="279"/>
  <c r="E11" i="279"/>
  <c r="E464" i="278"/>
  <c r="E463" i="278"/>
  <c r="E461" i="278"/>
  <c r="E459" i="278"/>
  <c r="E458" i="278"/>
  <c r="E453" i="278"/>
  <c r="E452" i="278"/>
  <c r="E450" i="278"/>
  <c r="E448" i="278"/>
  <c r="E447" i="278"/>
  <c r="E443" i="278"/>
  <c r="E442" i="278"/>
  <c r="E440" i="278"/>
  <c r="E438" i="278"/>
  <c r="E437" i="278"/>
  <c r="E433" i="278"/>
  <c r="E432" i="278"/>
  <c r="E430" i="278"/>
  <c r="E428" i="278"/>
  <c r="E427" i="278"/>
  <c r="E423" i="278"/>
  <c r="E422" i="278"/>
  <c r="E420" i="278"/>
  <c r="E418" i="278"/>
  <c r="E417" i="278"/>
  <c r="E413" i="278"/>
  <c r="E412" i="278"/>
  <c r="E410" i="278"/>
  <c r="E408" i="278"/>
  <c r="E407" i="278"/>
  <c r="E368" i="278"/>
  <c r="E363" i="278"/>
  <c r="E362" i="278"/>
  <c r="E361" i="278"/>
  <c r="E360" i="278"/>
  <c r="E359" i="278"/>
  <c r="E358" i="278"/>
  <c r="E352" i="278"/>
  <c r="E351" i="278"/>
  <c r="E343" i="278"/>
  <c r="E342" i="278"/>
  <c r="E341" i="278"/>
  <c r="E339" i="278"/>
  <c r="E338" i="278"/>
  <c r="E337" i="278"/>
  <c r="E335" i="278"/>
  <c r="E334" i="278"/>
  <c r="E333" i="278"/>
  <c r="E331" i="278"/>
  <c r="E330" i="278"/>
  <c r="E329" i="278"/>
  <c r="E327" i="278"/>
  <c r="E326" i="278"/>
  <c r="E325" i="278"/>
  <c r="E323" i="278"/>
  <c r="E322" i="278"/>
  <c r="E321" i="278"/>
  <c r="E319" i="278"/>
  <c r="E318" i="278"/>
  <c r="E317" i="278"/>
  <c r="E315" i="278"/>
  <c r="E314" i="278"/>
  <c r="E313" i="278"/>
  <c r="E311" i="278"/>
  <c r="E310" i="278"/>
  <c r="E309" i="278"/>
  <c r="E307" i="278"/>
  <c r="E306" i="278"/>
  <c r="E305" i="278"/>
  <c r="E303" i="278"/>
  <c r="E302" i="278"/>
  <c r="E301" i="278"/>
  <c r="E299" i="278"/>
  <c r="E298" i="278"/>
  <c r="E297" i="278"/>
  <c r="E295" i="278"/>
  <c r="E294" i="278"/>
  <c r="E293" i="278"/>
  <c r="D291" i="278"/>
  <c r="E289" i="278"/>
  <c r="E288" i="278"/>
  <c r="E287" i="278"/>
  <c r="E280" i="278"/>
  <c r="E276" i="278"/>
  <c r="E274" i="278"/>
  <c r="E272" i="278"/>
  <c r="E270" i="278"/>
  <c r="E258" i="278"/>
  <c r="E257" i="278"/>
  <c r="E255" i="278"/>
  <c r="E254" i="278"/>
  <c r="E253" i="278"/>
  <c r="E252" i="278"/>
  <c r="E248" i="278"/>
  <c r="E247" i="278"/>
  <c r="E245" i="278"/>
  <c r="E244" i="278"/>
  <c r="E243" i="278"/>
  <c r="E242" i="278"/>
  <c r="E240" i="278"/>
  <c r="E239" i="278"/>
  <c r="E237" i="278"/>
  <c r="E236" i="278"/>
  <c r="E235" i="278"/>
  <c r="E234" i="278"/>
  <c r="E231" i="278"/>
  <c r="E230" i="278"/>
  <c r="E228" i="278"/>
  <c r="E227" i="278"/>
  <c r="E226" i="278"/>
  <c r="E225" i="278"/>
  <c r="E195" i="278"/>
  <c r="E194" i="278"/>
  <c r="E192" i="278"/>
  <c r="E191" i="278"/>
  <c r="E190" i="278"/>
  <c r="E189" i="278"/>
  <c r="E186" i="278"/>
  <c r="E185" i="278"/>
  <c r="E183" i="278"/>
  <c r="E182" i="278"/>
  <c r="E181" i="278"/>
  <c r="E180" i="278"/>
  <c r="E177" i="278"/>
  <c r="E176" i="278"/>
  <c r="E174" i="278"/>
  <c r="E173" i="278"/>
  <c r="E172" i="278"/>
  <c r="E171" i="278"/>
  <c r="E168" i="278"/>
  <c r="E167" i="278"/>
  <c r="E165" i="278"/>
  <c r="E164" i="278"/>
  <c r="E163" i="278"/>
  <c r="E162" i="278"/>
  <c r="E159" i="278"/>
  <c r="E158" i="278"/>
  <c r="E156" i="278"/>
  <c r="E155" i="278"/>
  <c r="E154" i="278"/>
  <c r="E153" i="278"/>
  <c r="E150" i="278"/>
  <c r="E149" i="278"/>
  <c r="E147" i="278"/>
  <c r="E146" i="278"/>
  <c r="E145" i="278"/>
  <c r="E144" i="278"/>
  <c r="E141" i="278"/>
  <c r="E140" i="278"/>
  <c r="E138" i="278"/>
  <c r="E137" i="278"/>
  <c r="E136" i="278"/>
  <c r="E135" i="278"/>
  <c r="E132" i="278"/>
  <c r="E131" i="278"/>
  <c r="E129" i="278"/>
  <c r="E128" i="278"/>
  <c r="E127" i="278"/>
  <c r="E126" i="278"/>
  <c r="E123" i="278"/>
  <c r="E122" i="278"/>
  <c r="E120" i="278"/>
  <c r="E119" i="278"/>
  <c r="E118" i="278"/>
  <c r="E117" i="278"/>
  <c r="E114" i="278"/>
  <c r="E113" i="278"/>
  <c r="E111" i="278"/>
  <c r="E110" i="278"/>
  <c r="E109" i="278"/>
  <c r="E108" i="278"/>
  <c r="E102" i="278"/>
  <c r="E100" i="278"/>
  <c r="E98" i="278"/>
  <c r="E97" i="278"/>
  <c r="E66" i="278"/>
  <c r="E43" i="278"/>
  <c r="E42" i="278"/>
  <c r="E41" i="278"/>
  <c r="E40" i="278"/>
  <c r="E39" i="278"/>
  <c r="E375" i="278" s="1"/>
  <c r="E38" i="278"/>
  <c r="E374" i="278" s="1"/>
  <c r="E37" i="278"/>
  <c r="E36" i="278"/>
  <c r="E35" i="278"/>
  <c r="E34" i="278"/>
  <c r="E268" i="278" s="1"/>
  <c r="E33" i="278"/>
  <c r="E233" i="278" s="1"/>
  <c r="E29" i="278"/>
  <c r="E197" i="278" s="1"/>
  <c r="E28" i="278"/>
  <c r="E188" i="278" s="1"/>
  <c r="E27" i="278"/>
  <c r="E26" i="278"/>
  <c r="E25" i="278"/>
  <c r="E24" i="278"/>
  <c r="E23" i="278"/>
  <c r="E22" i="278"/>
  <c r="E21" i="278"/>
  <c r="E20" i="278"/>
  <c r="E19" i="278"/>
  <c r="E18" i="278"/>
  <c r="E17" i="278"/>
  <c r="E15" i="278"/>
  <c r="E14" i="278"/>
  <c r="E13" i="278"/>
  <c r="E12" i="278"/>
  <c r="E11" i="278"/>
  <c r="E464" i="277"/>
  <c r="E463" i="277"/>
  <c r="E461" i="277"/>
  <c r="E459" i="277"/>
  <c r="E458" i="277"/>
  <c r="E453" i="277"/>
  <c r="E452" i="277"/>
  <c r="E450" i="277"/>
  <c r="E448" i="277"/>
  <c r="E447" i="277"/>
  <c r="E443" i="277"/>
  <c r="E442" i="277"/>
  <c r="E440" i="277"/>
  <c r="E438" i="277"/>
  <c r="E437" i="277"/>
  <c r="E433" i="277"/>
  <c r="E432" i="277"/>
  <c r="E430" i="277"/>
  <c r="E428" i="277"/>
  <c r="E427" i="277"/>
  <c r="E423" i="277"/>
  <c r="E422" i="277"/>
  <c r="E420" i="277"/>
  <c r="E418" i="277"/>
  <c r="E417" i="277"/>
  <c r="E413" i="277"/>
  <c r="E412" i="277"/>
  <c r="E410" i="277"/>
  <c r="E408" i="277"/>
  <c r="E407" i="277"/>
  <c r="E368" i="277"/>
  <c r="E363" i="277"/>
  <c r="E362" i="277"/>
  <c r="E361" i="277"/>
  <c r="E360" i="277"/>
  <c r="E359" i="277"/>
  <c r="E358" i="277"/>
  <c r="E352" i="277"/>
  <c r="E351" i="277"/>
  <c r="E343" i="277"/>
  <c r="E342" i="277"/>
  <c r="E341" i="277"/>
  <c r="E339" i="277"/>
  <c r="E338" i="277"/>
  <c r="E337" i="277"/>
  <c r="E335" i="277"/>
  <c r="E334" i="277"/>
  <c r="E333" i="277"/>
  <c r="E331" i="277"/>
  <c r="E330" i="277"/>
  <c r="E329" i="277"/>
  <c r="E327" i="277"/>
  <c r="E326" i="277"/>
  <c r="E325" i="277"/>
  <c r="E323" i="277"/>
  <c r="E322" i="277"/>
  <c r="E321" i="277"/>
  <c r="E319" i="277"/>
  <c r="E318" i="277"/>
  <c r="E317" i="277"/>
  <c r="E315" i="277"/>
  <c r="E314" i="277"/>
  <c r="E313" i="277"/>
  <c r="E311" i="277"/>
  <c r="E310" i="277"/>
  <c r="E309" i="277"/>
  <c r="E307" i="277"/>
  <c r="E306" i="277"/>
  <c r="E305" i="277"/>
  <c r="E303" i="277"/>
  <c r="E302" i="277"/>
  <c r="E301" i="277"/>
  <c r="E299" i="277"/>
  <c r="E298" i="277"/>
  <c r="E297" i="277"/>
  <c r="E295" i="277"/>
  <c r="E294" i="277"/>
  <c r="E293" i="277"/>
  <c r="D291" i="277"/>
  <c r="E289" i="277"/>
  <c r="E288" i="277"/>
  <c r="E287" i="277"/>
  <c r="E280" i="277"/>
  <c r="E276" i="277"/>
  <c r="E274" i="277"/>
  <c r="E272" i="277"/>
  <c r="E270" i="277"/>
  <c r="E258" i="277"/>
  <c r="E257" i="277"/>
  <c r="E255" i="277"/>
  <c r="E254" i="277"/>
  <c r="E253" i="277"/>
  <c r="E252" i="277"/>
  <c r="E248" i="277"/>
  <c r="E247" i="277"/>
  <c r="E245" i="277"/>
  <c r="E244" i="277"/>
  <c r="E243" i="277"/>
  <c r="E242" i="277"/>
  <c r="E240" i="277"/>
  <c r="E239" i="277"/>
  <c r="E237" i="277"/>
  <c r="E236" i="277"/>
  <c r="E235" i="277"/>
  <c r="E234" i="277"/>
  <c r="E231" i="277"/>
  <c r="E230" i="277"/>
  <c r="E228" i="277"/>
  <c r="E227" i="277"/>
  <c r="E226" i="277"/>
  <c r="E225" i="277"/>
  <c r="E195" i="277"/>
  <c r="E194" i="277"/>
  <c r="E192" i="277"/>
  <c r="E191" i="277"/>
  <c r="E190" i="277"/>
  <c r="E189" i="277"/>
  <c r="E186" i="277"/>
  <c r="E185" i="277"/>
  <c r="E183" i="277"/>
  <c r="E182" i="277"/>
  <c r="E181" i="277"/>
  <c r="E180" i="277"/>
  <c r="E177" i="277"/>
  <c r="E176" i="277"/>
  <c r="E174" i="277"/>
  <c r="E173" i="277"/>
  <c r="E172" i="277"/>
  <c r="E171" i="277"/>
  <c r="E168" i="277"/>
  <c r="E167" i="277"/>
  <c r="E165" i="277"/>
  <c r="E164" i="277"/>
  <c r="E163" i="277"/>
  <c r="E162" i="277"/>
  <c r="E159" i="277"/>
  <c r="E158" i="277"/>
  <c r="E156" i="277"/>
  <c r="E155" i="277"/>
  <c r="E154" i="277"/>
  <c r="E153" i="277"/>
  <c r="E150" i="277"/>
  <c r="E149" i="277"/>
  <c r="E147" i="277"/>
  <c r="E146" i="277"/>
  <c r="E145" i="277"/>
  <c r="E144" i="277"/>
  <c r="E141" i="277"/>
  <c r="E140" i="277"/>
  <c r="E138" i="277"/>
  <c r="E137" i="277"/>
  <c r="E136" i="277"/>
  <c r="E135" i="277"/>
  <c r="E132" i="277"/>
  <c r="E131" i="277"/>
  <c r="E129" i="277"/>
  <c r="E128" i="277"/>
  <c r="E127" i="277"/>
  <c r="E126" i="277"/>
  <c r="E123" i="277"/>
  <c r="E122" i="277"/>
  <c r="E120" i="277"/>
  <c r="E119" i="277"/>
  <c r="E118" i="277"/>
  <c r="E117" i="277"/>
  <c r="E114" i="277"/>
  <c r="E113" i="277"/>
  <c r="E111" i="277"/>
  <c r="E110" i="277"/>
  <c r="E109" i="277"/>
  <c r="E108" i="277"/>
  <c r="E102" i="277"/>
  <c r="E100" i="277"/>
  <c r="E98" i="277"/>
  <c r="E97" i="277"/>
  <c r="E66" i="277"/>
  <c r="E43" i="277"/>
  <c r="E42" i="277"/>
  <c r="E41" i="277"/>
  <c r="E40" i="277"/>
  <c r="E39" i="277"/>
  <c r="E375" i="277" s="1"/>
  <c r="E38" i="277"/>
  <c r="E374" i="277" s="1"/>
  <c r="E37" i="277"/>
  <c r="E36" i="277"/>
  <c r="E35" i="277"/>
  <c r="E34" i="277"/>
  <c r="E268" i="277" s="1"/>
  <c r="E33" i="277"/>
  <c r="E233" i="277" s="1"/>
  <c r="E29" i="277"/>
  <c r="E197" i="277" s="1"/>
  <c r="E28" i="277"/>
  <c r="E188" i="277" s="1"/>
  <c r="E27" i="277"/>
  <c r="E26" i="277"/>
  <c r="E25" i="277"/>
  <c r="E24" i="277"/>
  <c r="E23" i="277"/>
  <c r="E22" i="277"/>
  <c r="E21" i="277"/>
  <c r="E20" i="277"/>
  <c r="E19" i="277"/>
  <c r="E18" i="277"/>
  <c r="E17" i="277"/>
  <c r="E15" i="277"/>
  <c r="E14" i="277"/>
  <c r="E13" i="277"/>
  <c r="E12" i="277"/>
  <c r="E11" i="277"/>
  <c r="E464" i="217"/>
  <c r="E463" i="217"/>
  <c r="E461" i="217"/>
  <c r="E459" i="217"/>
  <c r="E458" i="217"/>
  <c r="E453" i="217"/>
  <c r="E452" i="217"/>
  <c r="E450" i="217"/>
  <c r="E448" i="217"/>
  <c r="E447" i="217"/>
  <c r="E443" i="217"/>
  <c r="E442" i="217"/>
  <c r="E440" i="217"/>
  <c r="E438" i="217"/>
  <c r="E437" i="217"/>
  <c r="E433" i="217"/>
  <c r="E432" i="217"/>
  <c r="E430" i="217"/>
  <c r="E428" i="217"/>
  <c r="E427" i="217"/>
  <c r="E423" i="217"/>
  <c r="E422" i="217"/>
  <c r="E420" i="217"/>
  <c r="E418" i="217"/>
  <c r="E417" i="217"/>
  <c r="E413" i="217"/>
  <c r="E412" i="217"/>
  <c r="E410" i="217"/>
  <c r="E408" i="217"/>
  <c r="E407" i="217"/>
  <c r="E368" i="217"/>
  <c r="E363" i="217"/>
  <c r="E362" i="217"/>
  <c r="E361" i="217"/>
  <c r="E360" i="217"/>
  <c r="E359" i="217"/>
  <c r="E358" i="217"/>
  <c r="E352" i="217"/>
  <c r="E351" i="217"/>
  <c r="E343" i="217"/>
  <c r="E342" i="217"/>
  <c r="E341" i="217"/>
  <c r="E339" i="217"/>
  <c r="E338" i="217"/>
  <c r="E337" i="217"/>
  <c r="E335" i="217"/>
  <c r="E334" i="217"/>
  <c r="E333" i="217"/>
  <c r="E331" i="217"/>
  <c r="E330" i="217"/>
  <c r="E329" i="217"/>
  <c r="E327" i="217"/>
  <c r="E326" i="217"/>
  <c r="E325" i="217"/>
  <c r="E323" i="217"/>
  <c r="E322" i="217"/>
  <c r="E321" i="217"/>
  <c r="E319" i="217"/>
  <c r="E318" i="217"/>
  <c r="E317" i="217"/>
  <c r="E315" i="217"/>
  <c r="E314" i="217"/>
  <c r="E313" i="217"/>
  <c r="E311" i="217"/>
  <c r="E310" i="217"/>
  <c r="E309" i="217"/>
  <c r="E307" i="217"/>
  <c r="E306" i="217"/>
  <c r="E305" i="217"/>
  <c r="E303" i="217"/>
  <c r="E302" i="217"/>
  <c r="E301" i="217"/>
  <c r="E299" i="217"/>
  <c r="E298" i="217"/>
  <c r="E297" i="217"/>
  <c r="E295" i="217"/>
  <c r="E294" i="217"/>
  <c r="E293" i="217"/>
  <c r="D291" i="217"/>
  <c r="E289" i="217"/>
  <c r="E288" i="217"/>
  <c r="E287" i="217"/>
  <c r="E280" i="217"/>
  <c r="E276" i="217"/>
  <c r="E274" i="217"/>
  <c r="E272" i="217"/>
  <c r="E270" i="217"/>
  <c r="E258" i="217"/>
  <c r="E257" i="217"/>
  <c r="E255" i="217"/>
  <c r="E254" i="217"/>
  <c r="E253" i="217"/>
  <c r="E252" i="217"/>
  <c r="E248" i="217"/>
  <c r="E247" i="217"/>
  <c r="E245" i="217"/>
  <c r="E244" i="217"/>
  <c r="E243" i="217"/>
  <c r="E242" i="217"/>
  <c r="E240" i="217"/>
  <c r="E239" i="217"/>
  <c r="E237" i="217"/>
  <c r="E236" i="217"/>
  <c r="E235" i="217"/>
  <c r="E234" i="217"/>
  <c r="E231" i="217"/>
  <c r="E230" i="217"/>
  <c r="E228" i="217"/>
  <c r="E227" i="217"/>
  <c r="E226" i="217"/>
  <c r="E225" i="217"/>
  <c r="E195" i="217"/>
  <c r="E194" i="217"/>
  <c r="E192" i="217"/>
  <c r="E191" i="217"/>
  <c r="E190" i="217"/>
  <c r="E189" i="217"/>
  <c r="E186" i="217"/>
  <c r="E185" i="217"/>
  <c r="E183" i="217"/>
  <c r="E182" i="217"/>
  <c r="E181" i="217"/>
  <c r="E180" i="217"/>
  <c r="E177" i="217"/>
  <c r="E176" i="217"/>
  <c r="E174" i="217"/>
  <c r="E173" i="217"/>
  <c r="E172" i="217"/>
  <c r="E171" i="217"/>
  <c r="E168" i="217"/>
  <c r="E167" i="217"/>
  <c r="E165" i="217"/>
  <c r="E164" i="217"/>
  <c r="E163" i="217"/>
  <c r="E162" i="217"/>
  <c r="E159" i="217"/>
  <c r="E158" i="217"/>
  <c r="E156" i="217"/>
  <c r="E155" i="217"/>
  <c r="E154" i="217"/>
  <c r="E153" i="217"/>
  <c r="E150" i="217"/>
  <c r="E149" i="217"/>
  <c r="E147" i="217"/>
  <c r="E146" i="217"/>
  <c r="E145" i="217"/>
  <c r="E144" i="217"/>
  <c r="E141" i="217"/>
  <c r="E140" i="217"/>
  <c r="E138" i="217"/>
  <c r="E137" i="217"/>
  <c r="E136" i="217"/>
  <c r="E135" i="217"/>
  <c r="E132" i="217"/>
  <c r="E131" i="217"/>
  <c r="E129" i="217"/>
  <c r="E128" i="217"/>
  <c r="E127" i="217"/>
  <c r="E126" i="217"/>
  <c r="E123" i="217"/>
  <c r="E122" i="217"/>
  <c r="E120" i="217"/>
  <c r="E119" i="217"/>
  <c r="E118" i="217"/>
  <c r="E117" i="217"/>
  <c r="E114" i="217"/>
  <c r="E113" i="217"/>
  <c r="E111" i="217"/>
  <c r="E110" i="217"/>
  <c r="E109" i="217"/>
  <c r="E108" i="217"/>
  <c r="E102" i="217"/>
  <c r="E100" i="217"/>
  <c r="E98" i="217"/>
  <c r="E97" i="217"/>
  <c r="E66" i="217"/>
  <c r="E43" i="217"/>
  <c r="E42" i="217"/>
  <c r="E41" i="217"/>
  <c r="E40" i="217"/>
  <c r="E39" i="217"/>
  <c r="E375" i="217" s="1"/>
  <c r="E38" i="217"/>
  <c r="E374" i="217" s="1"/>
  <c r="E37" i="217"/>
  <c r="E36" i="217"/>
  <c r="E35" i="217"/>
  <c r="E34" i="217"/>
  <c r="E268" i="217" s="1"/>
  <c r="E33" i="217"/>
  <c r="E233" i="217" s="1"/>
  <c r="E29" i="217"/>
  <c r="E197" i="217" s="1"/>
  <c r="E28" i="217"/>
  <c r="E188" i="217" s="1"/>
  <c r="E27" i="217"/>
  <c r="E26" i="217"/>
  <c r="E25" i="217"/>
  <c r="E24" i="217"/>
  <c r="E23" i="217"/>
  <c r="E22" i="217"/>
  <c r="E21" i="217"/>
  <c r="E20" i="217"/>
  <c r="E19" i="217"/>
  <c r="E18" i="217"/>
  <c r="E17" i="217"/>
  <c r="E15" i="217"/>
  <c r="E14" i="217"/>
  <c r="E13" i="217"/>
  <c r="E12" i="217"/>
  <c r="E11" i="217"/>
  <c r="E26" i="205" l="1"/>
  <c r="E26" i="212"/>
  <c r="E26" i="204"/>
  <c r="E177" i="204"/>
  <c r="E176" i="204"/>
  <c r="E174" i="204"/>
  <c r="E173" i="204"/>
  <c r="E172" i="204"/>
  <c r="E171" i="204"/>
  <c r="E177" i="205"/>
  <c r="E176" i="205"/>
  <c r="E174" i="205"/>
  <c r="E173" i="205"/>
  <c r="E172" i="205"/>
  <c r="E171" i="205"/>
  <c r="E177" i="212"/>
  <c r="E176" i="212"/>
  <c r="E174" i="212"/>
  <c r="E173" i="212"/>
  <c r="E172" i="212"/>
  <c r="E171" i="212"/>
  <c r="E170" i="189"/>
  <c r="E170" i="204" s="1"/>
  <c r="E170" i="212" l="1"/>
  <c r="E170" i="282"/>
  <c r="E170" i="280"/>
  <c r="E170" i="278"/>
  <c r="E170" i="217"/>
  <c r="E170" i="281"/>
  <c r="E170" i="279"/>
  <c r="E170" i="277"/>
  <c r="E170" i="205"/>
  <c r="AQ343" i="212" l="1"/>
  <c r="AP343" i="212"/>
  <c r="AO343" i="212"/>
  <c r="AN343" i="212"/>
  <c r="AM343" i="212"/>
  <c r="AL343" i="212"/>
  <c r="AK343" i="212"/>
  <c r="AJ343" i="212"/>
  <c r="AI343" i="212"/>
  <c r="AH343" i="212"/>
  <c r="AG343" i="212"/>
  <c r="AF343" i="212"/>
  <c r="AE343" i="212"/>
  <c r="AQ343" i="217"/>
  <c r="AP343" i="217"/>
  <c r="AO343" i="217"/>
  <c r="AN343" i="217"/>
  <c r="AM343" i="217"/>
  <c r="AL343" i="217"/>
  <c r="AK343" i="217"/>
  <c r="AJ343" i="217"/>
  <c r="AI343" i="217"/>
  <c r="AH343" i="217"/>
  <c r="AG343" i="217"/>
  <c r="AF343" i="217"/>
  <c r="AE343" i="217"/>
  <c r="AQ343" i="277"/>
  <c r="AP343" i="277"/>
  <c r="AO343" i="277"/>
  <c r="AN343" i="277"/>
  <c r="AM343" i="277"/>
  <c r="AL343" i="277"/>
  <c r="AK343" i="277"/>
  <c r="AJ343" i="277"/>
  <c r="AI343" i="277"/>
  <c r="AH343" i="277"/>
  <c r="AG343" i="277"/>
  <c r="AF343" i="277"/>
  <c r="AE343" i="277"/>
  <c r="AQ343" i="278"/>
  <c r="AP343" i="278"/>
  <c r="AO343" i="278"/>
  <c r="AN343" i="278"/>
  <c r="AM343" i="278"/>
  <c r="AL343" i="278"/>
  <c r="AK343" i="278"/>
  <c r="AJ343" i="278"/>
  <c r="AI343" i="278"/>
  <c r="AH343" i="278"/>
  <c r="AG343" i="278"/>
  <c r="AF343" i="278"/>
  <c r="AE343" i="278"/>
  <c r="AQ343" i="279"/>
  <c r="AP343" i="279"/>
  <c r="AO343" i="279"/>
  <c r="AN343" i="279"/>
  <c r="AM343" i="279"/>
  <c r="AL343" i="279"/>
  <c r="AK343" i="279"/>
  <c r="AJ343" i="279"/>
  <c r="AI343" i="279"/>
  <c r="AH343" i="279"/>
  <c r="AG343" i="279"/>
  <c r="AF343" i="279"/>
  <c r="AE343" i="279"/>
  <c r="AQ343" i="280"/>
  <c r="AP343" i="280"/>
  <c r="AO343" i="280"/>
  <c r="AN343" i="280"/>
  <c r="AM343" i="280"/>
  <c r="AL343" i="280"/>
  <c r="AK343" i="280"/>
  <c r="AJ343" i="280"/>
  <c r="AI343" i="280"/>
  <c r="AH343" i="280"/>
  <c r="AG343" i="280"/>
  <c r="AF343" i="280"/>
  <c r="AE343" i="280"/>
  <c r="AQ343" i="281"/>
  <c r="AP343" i="281"/>
  <c r="AO343" i="281"/>
  <c r="AN343" i="281"/>
  <c r="AM343" i="281"/>
  <c r="AL343" i="281"/>
  <c r="AK343" i="281"/>
  <c r="AJ343" i="281"/>
  <c r="AI343" i="281"/>
  <c r="AH343" i="281"/>
  <c r="AG343" i="281"/>
  <c r="AF343" i="281"/>
  <c r="AE343" i="281"/>
  <c r="AQ343" i="282"/>
  <c r="AP343" i="282"/>
  <c r="AO343" i="282"/>
  <c r="AN343" i="282"/>
  <c r="AM343" i="282"/>
  <c r="AL343" i="282"/>
  <c r="AK343" i="282"/>
  <c r="AJ343" i="282"/>
  <c r="AI343" i="282"/>
  <c r="AH343" i="282"/>
  <c r="AG343" i="282"/>
  <c r="AF343" i="282"/>
  <c r="AE343" i="282"/>
  <c r="AQ343" i="205"/>
  <c r="AP343" i="205"/>
  <c r="AO343" i="205"/>
  <c r="AN343" i="205"/>
  <c r="AM343" i="205"/>
  <c r="AL343" i="205"/>
  <c r="AK343" i="205"/>
  <c r="AJ343" i="205"/>
  <c r="AI343" i="205"/>
  <c r="AH343" i="205"/>
  <c r="AG343" i="205"/>
  <c r="AF343" i="205"/>
  <c r="AE343" i="205"/>
  <c r="AJ462" i="204" l="1"/>
  <c r="AJ462" i="212"/>
  <c r="AJ462" i="217"/>
  <c r="AJ462" i="277"/>
  <c r="AJ462" i="278"/>
  <c r="AJ462" i="279"/>
  <c r="AJ462" i="280"/>
  <c r="AJ462" i="281"/>
  <c r="AJ462" i="282"/>
  <c r="AJ462" i="205"/>
  <c r="AJ451" i="189" l="1"/>
  <c r="AK451" i="189"/>
  <c r="AL451" i="189"/>
  <c r="AM451" i="189"/>
  <c r="AN451" i="189"/>
  <c r="AO451" i="189"/>
  <c r="AP451" i="189"/>
  <c r="AQ451" i="189"/>
  <c r="AJ441" i="189"/>
  <c r="AJ431" i="189"/>
  <c r="AK431" i="189"/>
  <c r="AL431" i="189"/>
  <c r="AM431" i="189"/>
  <c r="AN431" i="189"/>
  <c r="AO431" i="189"/>
  <c r="AP431" i="189"/>
  <c r="AQ431" i="189"/>
  <c r="AJ421" i="189"/>
  <c r="AK421" i="189"/>
  <c r="AL421" i="189"/>
  <c r="AM421" i="189"/>
  <c r="AN421" i="189"/>
  <c r="AO421" i="189"/>
  <c r="AP421" i="189"/>
  <c r="AQ421" i="189"/>
  <c r="AJ411" i="189"/>
  <c r="AK411" i="189"/>
  <c r="AL411" i="189"/>
  <c r="AM411" i="189"/>
  <c r="AN411" i="189"/>
  <c r="AO411" i="189"/>
  <c r="AP411" i="189"/>
  <c r="AQ411" i="189"/>
  <c r="AJ238" i="189"/>
  <c r="AK238" i="189"/>
  <c r="AL238" i="189"/>
  <c r="AM238" i="189"/>
  <c r="AN238" i="189"/>
  <c r="AO238" i="189"/>
  <c r="AP238" i="189"/>
  <c r="AQ238" i="189"/>
  <c r="AJ193" i="189"/>
  <c r="AK193" i="189"/>
  <c r="AL193" i="189"/>
  <c r="AM193" i="189"/>
  <c r="AN193" i="189"/>
  <c r="AO193" i="189"/>
  <c r="AP193" i="189"/>
  <c r="AQ193" i="189"/>
  <c r="AJ184" i="189"/>
  <c r="AK184" i="189"/>
  <c r="AL184" i="189"/>
  <c r="AM184" i="189"/>
  <c r="AN184" i="189"/>
  <c r="AO184" i="189"/>
  <c r="AP184" i="189"/>
  <c r="AQ184" i="189"/>
  <c r="AJ462" i="189" l="1"/>
  <c r="AK462" i="204" l="1"/>
  <c r="AK462" i="281"/>
  <c r="AK462" i="277"/>
  <c r="AK462" i="212"/>
  <c r="AK462" i="282"/>
  <c r="AK441" i="189"/>
  <c r="AK462" i="189" s="1"/>
  <c r="AK462" i="280"/>
  <c r="AK462" i="278"/>
  <c r="AK462" i="217"/>
  <c r="AK462" i="205"/>
  <c r="AK462" i="279"/>
  <c r="AK83" i="195"/>
  <c r="AL83" i="195"/>
  <c r="AM83" i="195"/>
  <c r="AN83" i="195"/>
  <c r="AO83" i="195"/>
  <c r="AP83" i="195"/>
  <c r="AQ83" i="195"/>
  <c r="AJ83" i="195"/>
  <c r="AJ71" i="195"/>
  <c r="AK57" i="195"/>
  <c r="AL57" i="195"/>
  <c r="AM57" i="195"/>
  <c r="AN57" i="195"/>
  <c r="AO57" i="195"/>
  <c r="AP57" i="195"/>
  <c r="AQ57" i="195"/>
  <c r="AJ57" i="195"/>
  <c r="AK45" i="195"/>
  <c r="AL45" i="195"/>
  <c r="AM45" i="195"/>
  <c r="AN45" i="195"/>
  <c r="AO45" i="195"/>
  <c r="AP45" i="195"/>
  <c r="AQ45" i="195"/>
  <c r="AJ45" i="195"/>
  <c r="AK33" i="195"/>
  <c r="AL33" i="195"/>
  <c r="AM33" i="195"/>
  <c r="AN33" i="195"/>
  <c r="AO33" i="195"/>
  <c r="AP33" i="195"/>
  <c r="AQ33" i="195"/>
  <c r="AJ33" i="195"/>
  <c r="AK255" i="205"/>
  <c r="AL255" i="205"/>
  <c r="AM255" i="205"/>
  <c r="AN255" i="205"/>
  <c r="AO255" i="205"/>
  <c r="AP255" i="205"/>
  <c r="AQ255" i="205"/>
  <c r="AK256" i="205"/>
  <c r="AL256" i="205"/>
  <c r="AM256" i="205"/>
  <c r="AN256" i="205"/>
  <c r="AO256" i="205"/>
  <c r="AP256" i="205"/>
  <c r="AQ256" i="205"/>
  <c r="AK255" i="212"/>
  <c r="AL255" i="212"/>
  <c r="AM255" i="212"/>
  <c r="AN255" i="212"/>
  <c r="AO255" i="212"/>
  <c r="AP255" i="212"/>
  <c r="AQ255" i="212"/>
  <c r="AK256" i="212"/>
  <c r="AL256" i="212"/>
  <c r="AM256" i="212"/>
  <c r="AN256" i="212"/>
  <c r="AO256" i="212"/>
  <c r="AP256" i="212"/>
  <c r="AQ256" i="212"/>
  <c r="AK255" i="217"/>
  <c r="AL255" i="217"/>
  <c r="AM255" i="217"/>
  <c r="AN255" i="217"/>
  <c r="AO255" i="217"/>
  <c r="AP255" i="217"/>
  <c r="AQ255" i="217"/>
  <c r="AK256" i="217"/>
  <c r="AL256" i="217"/>
  <c r="AM256" i="217"/>
  <c r="AN256" i="217"/>
  <c r="AO256" i="217"/>
  <c r="AP256" i="217"/>
  <c r="AQ256" i="217"/>
  <c r="AK255" i="277"/>
  <c r="AL255" i="277"/>
  <c r="AM255" i="277"/>
  <c r="AN255" i="277"/>
  <c r="AO255" i="277"/>
  <c r="AP255" i="277"/>
  <c r="AQ255" i="277"/>
  <c r="AK256" i="277"/>
  <c r="AL256" i="277"/>
  <c r="AM256" i="277"/>
  <c r="AN256" i="277"/>
  <c r="AO256" i="277"/>
  <c r="AP256" i="277"/>
  <c r="AQ256" i="277"/>
  <c r="AK255" i="278"/>
  <c r="AL255" i="278"/>
  <c r="AM255" i="278"/>
  <c r="AN255" i="278"/>
  <c r="AO255" i="278"/>
  <c r="AP255" i="278"/>
  <c r="AQ255" i="278"/>
  <c r="AK256" i="278"/>
  <c r="AL256" i="278"/>
  <c r="AM256" i="278"/>
  <c r="AN256" i="278"/>
  <c r="AO256" i="278"/>
  <c r="AP256" i="278"/>
  <c r="AQ256" i="278"/>
  <c r="AK255" i="279"/>
  <c r="AL255" i="279"/>
  <c r="AM255" i="279"/>
  <c r="AN255" i="279"/>
  <c r="AO255" i="279"/>
  <c r="AP255" i="279"/>
  <c r="AQ255" i="279"/>
  <c r="AK256" i="279"/>
  <c r="AL256" i="279"/>
  <c r="AM256" i="279"/>
  <c r="AN256" i="279"/>
  <c r="AO256" i="279"/>
  <c r="AP256" i="279"/>
  <c r="AQ256" i="279"/>
  <c r="AK255" i="280"/>
  <c r="AL255" i="280"/>
  <c r="AM255" i="280"/>
  <c r="AN255" i="280"/>
  <c r="AO255" i="280"/>
  <c r="AP255" i="280"/>
  <c r="AQ255" i="280"/>
  <c r="AK256" i="280"/>
  <c r="AL256" i="280"/>
  <c r="AM256" i="280"/>
  <c r="AN256" i="280"/>
  <c r="AO256" i="280"/>
  <c r="AP256" i="280"/>
  <c r="AQ256" i="280"/>
  <c r="AK255" i="281"/>
  <c r="AL255" i="281"/>
  <c r="AM255" i="281"/>
  <c r="AN255" i="281"/>
  <c r="AO255" i="281"/>
  <c r="AP255" i="281"/>
  <c r="AQ255" i="281"/>
  <c r="AK256" i="281"/>
  <c r="AL256" i="281"/>
  <c r="AM256" i="281"/>
  <c r="AN256" i="281"/>
  <c r="AO256" i="281"/>
  <c r="AP256" i="281"/>
  <c r="AQ256" i="281"/>
  <c r="AK255" i="282"/>
  <c r="AL255" i="282"/>
  <c r="AM255" i="282"/>
  <c r="AN255" i="282"/>
  <c r="AO255" i="282"/>
  <c r="AP255" i="282"/>
  <c r="AQ255" i="282"/>
  <c r="AK256" i="282"/>
  <c r="AL256" i="282"/>
  <c r="AM256" i="282"/>
  <c r="AN256" i="282"/>
  <c r="AO256" i="282"/>
  <c r="AP256" i="282"/>
  <c r="AQ256" i="282"/>
  <c r="AK255" i="204"/>
  <c r="AL255" i="204"/>
  <c r="AM255" i="204"/>
  <c r="AN255" i="204"/>
  <c r="AO255" i="204"/>
  <c r="AP255" i="204"/>
  <c r="AQ255" i="204"/>
  <c r="AK256" i="204"/>
  <c r="AL256" i="204"/>
  <c r="AM256" i="204"/>
  <c r="AN256" i="204"/>
  <c r="AO256" i="204"/>
  <c r="AP256" i="204"/>
  <c r="AQ256" i="204"/>
  <c r="AJ256" i="205"/>
  <c r="AJ256" i="212"/>
  <c r="AJ256" i="217"/>
  <c r="AJ256" i="277"/>
  <c r="AJ256" i="278"/>
  <c r="AJ256" i="279"/>
  <c r="AJ256" i="280"/>
  <c r="AJ256" i="281"/>
  <c r="AJ256" i="282"/>
  <c r="AJ256" i="204"/>
  <c r="AK256" i="189"/>
  <c r="AL256" i="189"/>
  <c r="AM256" i="189"/>
  <c r="AN256" i="189"/>
  <c r="AO256" i="189"/>
  <c r="AP256" i="189"/>
  <c r="AQ256" i="189"/>
  <c r="AJ256" i="189"/>
  <c r="AK71" i="195" l="1"/>
  <c r="AL462" i="279"/>
  <c r="AL462" i="205"/>
  <c r="AL462" i="217"/>
  <c r="AL462" i="278"/>
  <c r="AL462" i="280"/>
  <c r="AL462" i="282"/>
  <c r="AL441" i="189"/>
  <c r="AL462" i="212"/>
  <c r="AL462" i="277"/>
  <c r="AL462" i="281"/>
  <c r="AL462" i="204"/>
  <c r="AM462" i="204" l="1"/>
  <c r="AM462" i="281"/>
  <c r="AM462" i="277"/>
  <c r="AM462" i="212"/>
  <c r="AL462" i="189"/>
  <c r="AL71" i="195"/>
  <c r="AM462" i="282"/>
  <c r="AM441" i="189"/>
  <c r="AM462" i="280"/>
  <c r="AM462" i="278"/>
  <c r="AM462" i="217"/>
  <c r="AM462" i="205"/>
  <c r="AM462" i="279"/>
  <c r="AN462" i="279" l="1"/>
  <c r="AN462" i="205"/>
  <c r="AN462" i="217"/>
  <c r="AN462" i="278"/>
  <c r="AN462" i="280"/>
  <c r="AM462" i="189"/>
  <c r="AM71" i="195"/>
  <c r="AN462" i="282"/>
  <c r="AN441" i="189"/>
  <c r="AN462" i="212"/>
  <c r="AN462" i="277"/>
  <c r="AN462" i="281"/>
  <c r="AN462" i="204"/>
  <c r="AO462" i="204" l="1"/>
  <c r="AO462" i="281"/>
  <c r="AO462" i="277"/>
  <c r="AO462" i="212"/>
  <c r="AN462" i="189"/>
  <c r="AN71" i="195"/>
  <c r="AO462" i="282"/>
  <c r="AO441" i="189"/>
  <c r="AO462" i="280"/>
  <c r="AO462" i="278"/>
  <c r="AO462" i="217"/>
  <c r="AO462" i="205"/>
  <c r="AO462" i="279"/>
  <c r="AJ275" i="189" l="1"/>
  <c r="AQ462" i="279"/>
  <c r="AP462" i="279"/>
  <c r="AQ462" i="205"/>
  <c r="AP462" i="205"/>
  <c r="AQ462" i="217"/>
  <c r="AP462" i="217"/>
  <c r="AQ462" i="278"/>
  <c r="AP462" i="278"/>
  <c r="AQ462" i="280"/>
  <c r="AP462" i="280"/>
  <c r="AO462" i="189"/>
  <c r="AO71" i="195"/>
  <c r="AP462" i="282"/>
  <c r="AP441" i="189"/>
  <c r="AQ462" i="212"/>
  <c r="AP462" i="212"/>
  <c r="AQ462" i="277"/>
  <c r="AP462" i="277"/>
  <c r="AQ462" i="281"/>
  <c r="AP462" i="281"/>
  <c r="AQ462" i="204"/>
  <c r="AP462" i="204"/>
  <c r="AP462" i="189" l="1"/>
  <c r="AP71" i="195"/>
  <c r="AQ462" i="282"/>
  <c r="AQ441" i="189"/>
  <c r="AQ462" i="189" l="1"/>
  <c r="AQ71" i="195"/>
  <c r="E364" i="189" l="1"/>
  <c r="E275" i="189"/>
  <c r="E271" i="189"/>
  <c r="E272" i="205"/>
  <c r="E272" i="212"/>
  <c r="E272" i="204"/>
  <c r="E271" i="281" l="1"/>
  <c r="E271" i="279"/>
  <c r="E271" i="277"/>
  <c r="E271" i="282"/>
  <c r="E271" i="280"/>
  <c r="E271" i="278"/>
  <c r="E271" i="217"/>
  <c r="E364" i="212"/>
  <c r="E364" i="281"/>
  <c r="E364" i="279"/>
  <c r="E364" i="277"/>
  <c r="E364" i="282"/>
  <c r="E364" i="280"/>
  <c r="E364" i="278"/>
  <c r="E364" i="217"/>
  <c r="E275" i="282"/>
  <c r="E275" i="280"/>
  <c r="E275" i="278"/>
  <c r="E275" i="217"/>
  <c r="E275" i="281"/>
  <c r="E275" i="279"/>
  <c r="E275" i="277"/>
  <c r="E364" i="205"/>
  <c r="E364" i="204"/>
  <c r="E37" i="205" l="1"/>
  <c r="E36" i="205"/>
  <c r="E35" i="205"/>
  <c r="E37" i="212"/>
  <c r="E36" i="212"/>
  <c r="E35" i="212"/>
  <c r="E37" i="204"/>
  <c r="E36" i="204"/>
  <c r="E35" i="204"/>
  <c r="G276" i="205"/>
  <c r="G275" i="205"/>
  <c r="G274" i="205"/>
  <c r="G276" i="212"/>
  <c r="G275" i="212"/>
  <c r="G274" i="212"/>
  <c r="G276" i="217"/>
  <c r="G275" i="217"/>
  <c r="G274" i="217"/>
  <c r="G276" i="277"/>
  <c r="G275" i="277"/>
  <c r="G274" i="277"/>
  <c r="G276" i="278"/>
  <c r="G275" i="278"/>
  <c r="G274" i="278"/>
  <c r="G276" i="279"/>
  <c r="G275" i="279"/>
  <c r="G274" i="279"/>
  <c r="G276" i="280"/>
  <c r="G275" i="280"/>
  <c r="G274" i="280"/>
  <c r="G276" i="281"/>
  <c r="G275" i="281"/>
  <c r="G274" i="281"/>
  <c r="G276" i="282"/>
  <c r="G275" i="282"/>
  <c r="G274" i="282"/>
  <c r="G276" i="204"/>
  <c r="G275" i="204"/>
  <c r="G274" i="204"/>
  <c r="AE341" i="189" l="1"/>
  <c r="AF341" i="189"/>
  <c r="AG341" i="189"/>
  <c r="AH341" i="189"/>
  <c r="AI341" i="189"/>
  <c r="AE342" i="189"/>
  <c r="AF342" i="189"/>
  <c r="AG342" i="189"/>
  <c r="AH342" i="189"/>
  <c r="AI342" i="189"/>
  <c r="AF343" i="189" l="1"/>
  <c r="AH343" i="189"/>
  <c r="AI343" i="189"/>
  <c r="AG343" i="189"/>
  <c r="AE343" i="189"/>
  <c r="AI343" i="204" l="1"/>
  <c r="AH343" i="204"/>
  <c r="AG343" i="204"/>
  <c r="AF343" i="204"/>
  <c r="AE343" i="204"/>
  <c r="E276" i="204" l="1"/>
  <c r="E276" i="205"/>
  <c r="E276" i="212"/>
  <c r="AJ274" i="189"/>
  <c r="E275" i="205"/>
  <c r="E274" i="205"/>
  <c r="E274" i="212"/>
  <c r="E275" i="204"/>
  <c r="E274" i="204"/>
  <c r="E275" i="212" l="1"/>
  <c r="AQ343" i="204" l="1"/>
  <c r="AP343" i="204"/>
  <c r="AO343" i="204"/>
  <c r="AN343" i="204"/>
  <c r="AM343" i="204"/>
  <c r="AL343" i="204"/>
  <c r="AK343" i="204"/>
  <c r="AJ343" i="204"/>
  <c r="AL268" i="204" l="1"/>
  <c r="AQ72" i="187" l="1"/>
  <c r="AP72" i="187"/>
  <c r="AO72" i="187"/>
  <c r="AN72" i="187"/>
  <c r="AM72" i="187"/>
  <c r="AL72" i="187"/>
  <c r="AK72" i="187"/>
  <c r="AJ72" i="187"/>
  <c r="AJ140" i="187"/>
  <c r="AJ141" i="187"/>
  <c r="AJ142" i="187"/>
  <c r="AJ143" i="187"/>
  <c r="AJ144" i="187"/>
  <c r="AJ145" i="187"/>
  <c r="AJ146" i="187"/>
  <c r="AJ147" i="187"/>
  <c r="AJ148" i="187"/>
  <c r="AJ149" i="187"/>
  <c r="AJ150" i="187"/>
  <c r="AJ151" i="187"/>
  <c r="AJ152" i="187"/>
  <c r="AQ152" i="187"/>
  <c r="AP152" i="187"/>
  <c r="AO152" i="187"/>
  <c r="AN152" i="187"/>
  <c r="AM152" i="187"/>
  <c r="AL152" i="187"/>
  <c r="AK152" i="187"/>
  <c r="AQ151" i="187"/>
  <c r="AP151" i="187"/>
  <c r="AO151" i="187"/>
  <c r="AN151" i="187"/>
  <c r="AM151" i="187"/>
  <c r="AL151" i="187"/>
  <c r="AK151" i="187"/>
  <c r="AQ150" i="187"/>
  <c r="AP150" i="187"/>
  <c r="AO150" i="187"/>
  <c r="AN150" i="187"/>
  <c r="AM150" i="187"/>
  <c r="AL150" i="187"/>
  <c r="AK150" i="187"/>
  <c r="AJ84" i="187" l="1"/>
  <c r="AQ149" i="187"/>
  <c r="AP149" i="187"/>
  <c r="AO149" i="187"/>
  <c r="AN149" i="187"/>
  <c r="AM149" i="187"/>
  <c r="AL149" i="187"/>
  <c r="AK149" i="187"/>
  <c r="AQ148" i="187"/>
  <c r="AP148" i="187"/>
  <c r="AO148" i="187"/>
  <c r="AN148" i="187"/>
  <c r="AM148" i="187"/>
  <c r="AL148" i="187"/>
  <c r="AK148" i="187"/>
  <c r="AQ147" i="187"/>
  <c r="AP147" i="187"/>
  <c r="AO147" i="187"/>
  <c r="AN147" i="187"/>
  <c r="AM147" i="187"/>
  <c r="AL147" i="187"/>
  <c r="AK147" i="187"/>
  <c r="AQ146" i="187"/>
  <c r="AP146" i="187"/>
  <c r="AO146" i="187"/>
  <c r="AN146" i="187"/>
  <c r="AM146" i="187"/>
  <c r="AL146" i="187"/>
  <c r="AK146" i="187"/>
  <c r="AQ145" i="187"/>
  <c r="AP145" i="187"/>
  <c r="AO145" i="187"/>
  <c r="AN145" i="187"/>
  <c r="AM145" i="187"/>
  <c r="AL145" i="187"/>
  <c r="AK145" i="187"/>
  <c r="AQ144" i="187"/>
  <c r="AP144" i="187"/>
  <c r="AO144" i="187"/>
  <c r="AN144" i="187"/>
  <c r="AM144" i="187"/>
  <c r="AL144" i="187"/>
  <c r="AK144" i="187"/>
  <c r="AQ143" i="187"/>
  <c r="AP143" i="187"/>
  <c r="AO143" i="187"/>
  <c r="AN143" i="187"/>
  <c r="AM143" i="187"/>
  <c r="AL143" i="187"/>
  <c r="AK143" i="187"/>
  <c r="AQ142" i="187"/>
  <c r="AP142" i="187"/>
  <c r="AO142" i="187"/>
  <c r="AN142" i="187"/>
  <c r="AM142" i="187"/>
  <c r="AL142" i="187"/>
  <c r="AK142" i="187"/>
  <c r="AQ141" i="187"/>
  <c r="AP141" i="187"/>
  <c r="AO141" i="187"/>
  <c r="AN141" i="187"/>
  <c r="AM141" i="187"/>
  <c r="AL141" i="187"/>
  <c r="AK141" i="187"/>
  <c r="AQ140" i="187"/>
  <c r="AP140" i="187"/>
  <c r="AO140" i="187"/>
  <c r="AN140" i="187"/>
  <c r="AM140" i="187"/>
  <c r="AL140" i="187"/>
  <c r="AK140" i="187"/>
  <c r="AK84" i="187" l="1"/>
  <c r="AM84" i="187"/>
  <c r="AO84" i="187"/>
  <c r="AL84" i="187"/>
  <c r="AN84" i="187"/>
  <c r="AP84" i="187"/>
  <c r="AQ84" i="187"/>
  <c r="AJ342" i="189" l="1"/>
  <c r="AJ360" i="189" l="1"/>
  <c r="AK360" i="189"/>
  <c r="AL360" i="189"/>
  <c r="AM360" i="189"/>
  <c r="AN360" i="189"/>
  <c r="AO360" i="189"/>
  <c r="AP360" i="189"/>
  <c r="AQ360" i="189"/>
  <c r="AJ37" i="283" l="1"/>
  <c r="AI60" i="205" l="1"/>
  <c r="AJ60" i="205" s="1"/>
  <c r="AK60" i="205" s="1"/>
  <c r="AL60" i="205" s="1"/>
  <c r="AM60" i="205" s="1"/>
  <c r="AN60" i="205" s="1"/>
  <c r="AO60" i="205" s="1"/>
  <c r="AP60" i="205" s="1"/>
  <c r="AQ60" i="205" s="1"/>
  <c r="AI60" i="212"/>
  <c r="AJ60" i="212" s="1"/>
  <c r="AK60" i="212" s="1"/>
  <c r="AL60" i="212" s="1"/>
  <c r="AM60" i="212" s="1"/>
  <c r="AN60" i="212" s="1"/>
  <c r="AO60" i="212" s="1"/>
  <c r="AP60" i="212" s="1"/>
  <c r="AQ60" i="212" s="1"/>
  <c r="AI60" i="217"/>
  <c r="AJ60" i="217" s="1"/>
  <c r="AK60" i="217" s="1"/>
  <c r="AL60" i="217" s="1"/>
  <c r="AM60" i="217" s="1"/>
  <c r="AN60" i="217" s="1"/>
  <c r="AO60" i="217" s="1"/>
  <c r="AP60" i="217" s="1"/>
  <c r="AQ60" i="217" s="1"/>
  <c r="AI60" i="277"/>
  <c r="AJ60" i="277" s="1"/>
  <c r="AK60" i="277" s="1"/>
  <c r="AL60" i="277" s="1"/>
  <c r="AM60" i="277" s="1"/>
  <c r="AN60" i="277" s="1"/>
  <c r="AO60" i="277" s="1"/>
  <c r="AP60" i="277" s="1"/>
  <c r="AQ60" i="277" s="1"/>
  <c r="AI60" i="278"/>
  <c r="AJ60" i="278" s="1"/>
  <c r="AK60" i="278" s="1"/>
  <c r="AL60" i="278" s="1"/>
  <c r="AM60" i="278" s="1"/>
  <c r="AN60" i="278" s="1"/>
  <c r="AO60" i="278" s="1"/>
  <c r="AP60" i="278" s="1"/>
  <c r="AQ60" i="278" s="1"/>
  <c r="AI60" i="279"/>
  <c r="AJ60" i="279" s="1"/>
  <c r="AK60" i="279" s="1"/>
  <c r="AL60" i="279" s="1"/>
  <c r="AM60" i="279" s="1"/>
  <c r="AN60" i="279" s="1"/>
  <c r="AO60" i="279" s="1"/>
  <c r="AP60" i="279" s="1"/>
  <c r="AQ60" i="279" s="1"/>
  <c r="AI60" i="280"/>
  <c r="AJ60" i="280" s="1"/>
  <c r="AK60" i="280" s="1"/>
  <c r="AL60" i="280" s="1"/>
  <c r="AM60" i="280" s="1"/>
  <c r="AN60" i="280" s="1"/>
  <c r="AO60" i="280" s="1"/>
  <c r="AP60" i="280" s="1"/>
  <c r="AQ60" i="280" s="1"/>
  <c r="AI60" i="281"/>
  <c r="AJ60" i="281" s="1"/>
  <c r="AK60" i="281" s="1"/>
  <c r="AL60" i="281" s="1"/>
  <c r="AM60" i="281" s="1"/>
  <c r="AN60" i="281" s="1"/>
  <c r="AO60" i="281" s="1"/>
  <c r="AP60" i="281" s="1"/>
  <c r="AQ60" i="281" s="1"/>
  <c r="AI60" i="204"/>
  <c r="AJ60" i="204" s="1"/>
  <c r="AK60" i="204" s="1"/>
  <c r="AL60" i="204" s="1"/>
  <c r="AM60" i="204" s="1"/>
  <c r="AN60" i="204" s="1"/>
  <c r="AO60" i="204" s="1"/>
  <c r="AP60" i="204" s="1"/>
  <c r="AQ60" i="204" s="1"/>
  <c r="AI59" i="205"/>
  <c r="AJ59" i="205" s="1"/>
  <c r="AK59" i="205" s="1"/>
  <c r="AL59" i="205" s="1"/>
  <c r="AM59" i="205" s="1"/>
  <c r="AN59" i="205" s="1"/>
  <c r="AO59" i="205" s="1"/>
  <c r="AP59" i="205" s="1"/>
  <c r="AQ59" i="205" s="1"/>
  <c r="AI59" i="212"/>
  <c r="AJ59" i="212" s="1"/>
  <c r="AK59" i="212" s="1"/>
  <c r="AL59" i="212" s="1"/>
  <c r="AM59" i="212" s="1"/>
  <c r="AN59" i="212" s="1"/>
  <c r="AO59" i="212" s="1"/>
  <c r="AP59" i="212" s="1"/>
  <c r="AQ59" i="212" s="1"/>
  <c r="AI59" i="217"/>
  <c r="AI59" i="277"/>
  <c r="AI59" i="278"/>
  <c r="AJ59" i="278" s="1"/>
  <c r="AK59" i="278" s="1"/>
  <c r="AL59" i="278" s="1"/>
  <c r="AM59" i="278" s="1"/>
  <c r="AN59" i="278" s="1"/>
  <c r="AO59" i="278" s="1"/>
  <c r="AP59" i="278" s="1"/>
  <c r="AQ59" i="278" s="1"/>
  <c r="AI59" i="279"/>
  <c r="AJ59" i="279" s="1"/>
  <c r="AK59" i="279" s="1"/>
  <c r="AL59" i="279" s="1"/>
  <c r="AM59" i="279" s="1"/>
  <c r="AN59" i="279" s="1"/>
  <c r="AO59" i="279" s="1"/>
  <c r="AP59" i="279" s="1"/>
  <c r="AQ59" i="279" s="1"/>
  <c r="AI59" i="280"/>
  <c r="AI59" i="281"/>
  <c r="AJ59" i="281" s="1"/>
  <c r="AK59" i="281" s="1"/>
  <c r="AL59" i="281" s="1"/>
  <c r="AM59" i="281" s="1"/>
  <c r="AN59" i="281" s="1"/>
  <c r="AO59" i="281" s="1"/>
  <c r="AP59" i="281" s="1"/>
  <c r="AQ59" i="281" s="1"/>
  <c r="AI59" i="204"/>
  <c r="AJ278" i="204" s="1"/>
  <c r="AJ59" i="277" l="1"/>
  <c r="AK59" i="277" s="1"/>
  <c r="AL59" i="277" s="1"/>
  <c r="AM59" i="277" s="1"/>
  <c r="AN59" i="277" s="1"/>
  <c r="AO59" i="277" s="1"/>
  <c r="AP59" i="277" s="1"/>
  <c r="AQ59" i="277" s="1"/>
  <c r="AK281" i="277"/>
  <c r="AJ59" i="280"/>
  <c r="AK59" i="280" s="1"/>
  <c r="AL59" i="280" s="1"/>
  <c r="AM59" i="280" s="1"/>
  <c r="AN59" i="280" s="1"/>
  <c r="AO59" i="280" s="1"/>
  <c r="AP59" i="280" s="1"/>
  <c r="AQ59" i="280" s="1"/>
  <c r="AJ281" i="280"/>
  <c r="AJ59" i="217"/>
  <c r="AK59" i="217" s="1"/>
  <c r="AL59" i="217" s="1"/>
  <c r="AM59" i="217" s="1"/>
  <c r="AN59" i="217" s="1"/>
  <c r="AO59" i="217" s="1"/>
  <c r="AP59" i="217" s="1"/>
  <c r="AQ59" i="217" s="1"/>
  <c r="AK281" i="217"/>
  <c r="AJ59" i="204"/>
  <c r="AK59" i="204" s="1"/>
  <c r="AL59" i="204" s="1"/>
  <c r="AM59" i="204" s="1"/>
  <c r="AN59" i="204" s="1"/>
  <c r="AO59" i="204" s="1"/>
  <c r="AP59" i="204" s="1"/>
  <c r="AQ59" i="204" s="1"/>
  <c r="AJ278" i="189"/>
  <c r="E61" i="161"/>
  <c r="AK61" i="161" s="1"/>
  <c r="E60" i="161"/>
  <c r="AK60" i="161" s="1"/>
  <c r="AJ25" i="194" l="1"/>
  <c r="F14" i="157"/>
  <c r="F13" i="157"/>
  <c r="F12" i="157"/>
  <c r="F11" i="157"/>
  <c r="F10" i="157"/>
  <c r="F9" i="157"/>
  <c r="F8" i="157"/>
  <c r="G295" i="204" l="1"/>
  <c r="E295" i="204"/>
  <c r="G294" i="204"/>
  <c r="E294" i="204"/>
  <c r="G293" i="204"/>
  <c r="E293" i="204"/>
  <c r="G295" i="205"/>
  <c r="E295" i="205"/>
  <c r="G294" i="205"/>
  <c r="E294" i="205"/>
  <c r="G293" i="205"/>
  <c r="E293" i="205"/>
  <c r="G295" i="212"/>
  <c r="E295" i="212"/>
  <c r="G294" i="212"/>
  <c r="E294" i="212"/>
  <c r="G293" i="212"/>
  <c r="E293" i="212"/>
  <c r="G295" i="217"/>
  <c r="G294" i="217"/>
  <c r="G293" i="217"/>
  <c r="G295" i="277"/>
  <c r="G294" i="277"/>
  <c r="G293" i="277"/>
  <c r="G295" i="278"/>
  <c r="G294" i="278"/>
  <c r="G293" i="278"/>
  <c r="G295" i="279"/>
  <c r="G294" i="279"/>
  <c r="G293" i="279"/>
  <c r="G295" i="280"/>
  <c r="G294" i="280"/>
  <c r="G293" i="280"/>
  <c r="G295" i="281"/>
  <c r="G294" i="281"/>
  <c r="G293" i="281"/>
  <c r="G295" i="282"/>
  <c r="G294" i="282"/>
  <c r="G293" i="282"/>
  <c r="G299" i="204"/>
  <c r="E299" i="204"/>
  <c r="G298" i="204"/>
  <c r="E298" i="204"/>
  <c r="G297" i="204"/>
  <c r="E297" i="204"/>
  <c r="G299" i="205"/>
  <c r="E299" i="205"/>
  <c r="G298" i="205"/>
  <c r="E298" i="205"/>
  <c r="G297" i="205"/>
  <c r="E297" i="205"/>
  <c r="G299" i="212"/>
  <c r="E299" i="212"/>
  <c r="G298" i="212"/>
  <c r="E298" i="212"/>
  <c r="G297" i="212"/>
  <c r="E297" i="212"/>
  <c r="G299" i="217"/>
  <c r="G298" i="217"/>
  <c r="G297" i="217"/>
  <c r="G299" i="277"/>
  <c r="G298" i="277"/>
  <c r="G297" i="277"/>
  <c r="G299" i="278"/>
  <c r="G298" i="278"/>
  <c r="G297" i="278"/>
  <c r="G299" i="279"/>
  <c r="G298" i="279"/>
  <c r="G297" i="279"/>
  <c r="G299" i="280"/>
  <c r="G298" i="280"/>
  <c r="G297" i="280"/>
  <c r="G299" i="281"/>
  <c r="G298" i="281"/>
  <c r="G297" i="281"/>
  <c r="G299" i="282"/>
  <c r="G298" i="282"/>
  <c r="G297" i="282"/>
  <c r="G303" i="204"/>
  <c r="E303" i="204"/>
  <c r="G302" i="204"/>
  <c r="E302" i="204"/>
  <c r="G301" i="204"/>
  <c r="E301" i="204"/>
  <c r="G303" i="205"/>
  <c r="E303" i="205"/>
  <c r="G302" i="205"/>
  <c r="E302" i="205"/>
  <c r="G301" i="205"/>
  <c r="E301" i="205"/>
  <c r="G303" i="212"/>
  <c r="E303" i="212"/>
  <c r="G302" i="212"/>
  <c r="E302" i="212"/>
  <c r="G301" i="212"/>
  <c r="E301" i="212"/>
  <c r="G303" i="217"/>
  <c r="G302" i="217"/>
  <c r="G301" i="217"/>
  <c r="G303" i="277"/>
  <c r="G302" i="277"/>
  <c r="G301" i="277"/>
  <c r="G303" i="278"/>
  <c r="G302" i="278"/>
  <c r="G301" i="278"/>
  <c r="G303" i="279"/>
  <c r="G302" i="279"/>
  <c r="G301" i="279"/>
  <c r="G303" i="280"/>
  <c r="G302" i="280"/>
  <c r="G301" i="280"/>
  <c r="G303" i="281"/>
  <c r="G302" i="281"/>
  <c r="G301" i="281"/>
  <c r="G303" i="282"/>
  <c r="G302" i="282"/>
  <c r="G301" i="282"/>
  <c r="G307" i="204"/>
  <c r="E307" i="204"/>
  <c r="G306" i="204"/>
  <c r="E306" i="204"/>
  <c r="G305" i="204"/>
  <c r="E305" i="204"/>
  <c r="G307" i="205"/>
  <c r="E307" i="205"/>
  <c r="G306" i="205"/>
  <c r="E306" i="205"/>
  <c r="G305" i="205"/>
  <c r="E305" i="205"/>
  <c r="G307" i="212"/>
  <c r="E307" i="212"/>
  <c r="G306" i="212"/>
  <c r="E306" i="212"/>
  <c r="G305" i="212"/>
  <c r="E305" i="212"/>
  <c r="G307" i="217"/>
  <c r="G306" i="217"/>
  <c r="G305" i="217"/>
  <c r="G307" i="277"/>
  <c r="G306" i="277"/>
  <c r="G305" i="277"/>
  <c r="G307" i="278"/>
  <c r="G306" i="278"/>
  <c r="G305" i="278"/>
  <c r="G307" i="279"/>
  <c r="G306" i="279"/>
  <c r="G305" i="279"/>
  <c r="G307" i="280"/>
  <c r="G306" i="280"/>
  <c r="G305" i="280"/>
  <c r="G307" i="281"/>
  <c r="G306" i="281"/>
  <c r="G305" i="281"/>
  <c r="G307" i="282"/>
  <c r="G306" i="282"/>
  <c r="G305" i="282"/>
  <c r="G311" i="204"/>
  <c r="E311" i="204"/>
  <c r="G310" i="204"/>
  <c r="E310" i="204"/>
  <c r="G309" i="204"/>
  <c r="E309" i="204"/>
  <c r="G311" i="205"/>
  <c r="E311" i="205"/>
  <c r="G310" i="205"/>
  <c r="E310" i="205"/>
  <c r="G309" i="205"/>
  <c r="E309" i="205"/>
  <c r="G311" i="212"/>
  <c r="E311" i="212"/>
  <c r="G310" i="212"/>
  <c r="E310" i="212"/>
  <c r="G309" i="212"/>
  <c r="E309" i="212"/>
  <c r="G311" i="217"/>
  <c r="G310" i="217"/>
  <c r="G309" i="217"/>
  <c r="G311" i="277"/>
  <c r="G310" i="277"/>
  <c r="G309" i="277"/>
  <c r="G311" i="278"/>
  <c r="G310" i="278"/>
  <c r="G309" i="278"/>
  <c r="G311" i="279"/>
  <c r="G310" i="279"/>
  <c r="G309" i="279"/>
  <c r="G311" i="280"/>
  <c r="G310" i="280"/>
  <c r="G309" i="280"/>
  <c r="G311" i="281"/>
  <c r="G310" i="281"/>
  <c r="G309" i="281"/>
  <c r="G311" i="282"/>
  <c r="G310" i="282"/>
  <c r="G309" i="282"/>
  <c r="G315" i="204"/>
  <c r="E315" i="204"/>
  <c r="G314" i="204"/>
  <c r="E314" i="204"/>
  <c r="G313" i="204"/>
  <c r="E313" i="204"/>
  <c r="G315" i="205"/>
  <c r="E315" i="205"/>
  <c r="G314" i="205"/>
  <c r="E314" i="205"/>
  <c r="G313" i="205"/>
  <c r="E313" i="205"/>
  <c r="G315" i="212"/>
  <c r="E315" i="212"/>
  <c r="G314" i="212"/>
  <c r="E314" i="212"/>
  <c r="G313" i="212"/>
  <c r="E313" i="212"/>
  <c r="G315" i="217"/>
  <c r="G314" i="217"/>
  <c r="G313" i="217"/>
  <c r="G315" i="277"/>
  <c r="G314" i="277"/>
  <c r="G313" i="277"/>
  <c r="G315" i="278"/>
  <c r="G314" i="278"/>
  <c r="G313" i="278"/>
  <c r="G315" i="279"/>
  <c r="G314" i="279"/>
  <c r="G313" i="279"/>
  <c r="G315" i="280"/>
  <c r="G314" i="280"/>
  <c r="G313" i="280"/>
  <c r="G315" i="281"/>
  <c r="G314" i="281"/>
  <c r="G313" i="281"/>
  <c r="G315" i="282"/>
  <c r="G314" i="282"/>
  <c r="G313" i="282"/>
  <c r="G319" i="204"/>
  <c r="E319" i="204"/>
  <c r="G318" i="204"/>
  <c r="E318" i="204"/>
  <c r="G317" i="204"/>
  <c r="E317" i="204"/>
  <c r="G319" i="205"/>
  <c r="E319" i="205"/>
  <c r="G318" i="205"/>
  <c r="E318" i="205"/>
  <c r="G317" i="205"/>
  <c r="E317" i="205"/>
  <c r="G319" i="212"/>
  <c r="E319" i="212"/>
  <c r="G318" i="212"/>
  <c r="E318" i="212"/>
  <c r="G317" i="212"/>
  <c r="E317" i="212"/>
  <c r="G319" i="217"/>
  <c r="G318" i="217"/>
  <c r="G317" i="217"/>
  <c r="G319" i="277"/>
  <c r="G318" i="277"/>
  <c r="G317" i="277"/>
  <c r="G319" i="278"/>
  <c r="G318" i="278"/>
  <c r="G317" i="278"/>
  <c r="G319" i="279"/>
  <c r="G318" i="279"/>
  <c r="G317" i="279"/>
  <c r="G319" i="280"/>
  <c r="G318" i="280"/>
  <c r="G317" i="280"/>
  <c r="G319" i="281"/>
  <c r="G318" i="281"/>
  <c r="G317" i="281"/>
  <c r="G319" i="282"/>
  <c r="G318" i="282"/>
  <c r="G317" i="282"/>
  <c r="G323" i="204"/>
  <c r="E323" i="204"/>
  <c r="G322" i="204"/>
  <c r="E322" i="204"/>
  <c r="G321" i="204"/>
  <c r="E321" i="204"/>
  <c r="G323" i="205"/>
  <c r="E323" i="205"/>
  <c r="G322" i="205"/>
  <c r="E322" i="205"/>
  <c r="G321" i="205"/>
  <c r="E321" i="205"/>
  <c r="G323" i="212"/>
  <c r="E323" i="212"/>
  <c r="G322" i="212"/>
  <c r="E322" i="212"/>
  <c r="G321" i="212"/>
  <c r="E321" i="212"/>
  <c r="G323" i="217"/>
  <c r="G322" i="217"/>
  <c r="G321" i="217"/>
  <c r="G323" i="277"/>
  <c r="G322" i="277"/>
  <c r="G321" i="277"/>
  <c r="G323" i="278"/>
  <c r="G322" i="278"/>
  <c r="G321" i="278"/>
  <c r="G323" i="279"/>
  <c r="G322" i="279"/>
  <c r="G321" i="279"/>
  <c r="G323" i="280"/>
  <c r="G322" i="280"/>
  <c r="G321" i="280"/>
  <c r="G323" i="281"/>
  <c r="G322" i="281"/>
  <c r="G321" i="281"/>
  <c r="G323" i="282"/>
  <c r="G322" i="282"/>
  <c r="G321" i="282"/>
  <c r="G327" i="204"/>
  <c r="E327" i="204"/>
  <c r="G326" i="204"/>
  <c r="E326" i="204"/>
  <c r="G325" i="204"/>
  <c r="E325" i="204"/>
  <c r="G327" i="205"/>
  <c r="E327" i="205"/>
  <c r="G326" i="205"/>
  <c r="E326" i="205"/>
  <c r="G325" i="205"/>
  <c r="E325" i="205"/>
  <c r="G327" i="212"/>
  <c r="E327" i="212"/>
  <c r="G326" i="212"/>
  <c r="E326" i="212"/>
  <c r="G325" i="212"/>
  <c r="E325" i="212"/>
  <c r="G327" i="217"/>
  <c r="G326" i="217"/>
  <c r="G325" i="217"/>
  <c r="G327" i="277"/>
  <c r="G326" i="277"/>
  <c r="G325" i="277"/>
  <c r="G327" i="278"/>
  <c r="G326" i="278"/>
  <c r="G325" i="278"/>
  <c r="G327" i="279"/>
  <c r="G326" i="279"/>
  <c r="G325" i="279"/>
  <c r="G327" i="280"/>
  <c r="G326" i="280"/>
  <c r="G325" i="280"/>
  <c r="G327" i="281"/>
  <c r="G326" i="281"/>
  <c r="G325" i="281"/>
  <c r="G327" i="282"/>
  <c r="G326" i="282"/>
  <c r="G325" i="282"/>
  <c r="G331" i="204"/>
  <c r="E331" i="204"/>
  <c r="G330" i="204"/>
  <c r="E330" i="204"/>
  <c r="G329" i="204"/>
  <c r="E329" i="204"/>
  <c r="G331" i="205"/>
  <c r="E331" i="205"/>
  <c r="G330" i="205"/>
  <c r="E330" i="205"/>
  <c r="G329" i="205"/>
  <c r="E329" i="205"/>
  <c r="G331" i="212"/>
  <c r="E331" i="212"/>
  <c r="G330" i="212"/>
  <c r="E330" i="212"/>
  <c r="G329" i="212"/>
  <c r="E329" i="212"/>
  <c r="G331" i="217"/>
  <c r="G330" i="217"/>
  <c r="G329" i="217"/>
  <c r="G331" i="277"/>
  <c r="G330" i="277"/>
  <c r="G329" i="277"/>
  <c r="G331" i="278"/>
  <c r="G330" i="278"/>
  <c r="G329" i="278"/>
  <c r="G331" i="279"/>
  <c r="G330" i="279"/>
  <c r="G329" i="279"/>
  <c r="G331" i="280"/>
  <c r="G330" i="280"/>
  <c r="G329" i="280"/>
  <c r="G331" i="281"/>
  <c r="G330" i="281"/>
  <c r="G329" i="281"/>
  <c r="G331" i="282"/>
  <c r="G330" i="282"/>
  <c r="G329" i="282"/>
  <c r="G335" i="204"/>
  <c r="E335" i="204"/>
  <c r="G334" i="204"/>
  <c r="E334" i="204"/>
  <c r="G333" i="204"/>
  <c r="E333" i="204"/>
  <c r="G335" i="205"/>
  <c r="E335" i="205"/>
  <c r="G334" i="205"/>
  <c r="E334" i="205"/>
  <c r="G333" i="205"/>
  <c r="E333" i="205"/>
  <c r="G335" i="212"/>
  <c r="E335" i="212"/>
  <c r="G334" i="212"/>
  <c r="E334" i="212"/>
  <c r="G333" i="212"/>
  <c r="E333" i="212"/>
  <c r="G335" i="217"/>
  <c r="G334" i="217"/>
  <c r="G333" i="217"/>
  <c r="G335" i="277"/>
  <c r="G334" i="277"/>
  <c r="G333" i="277"/>
  <c r="G335" i="278"/>
  <c r="G334" i="278"/>
  <c r="G333" i="278"/>
  <c r="G335" i="279"/>
  <c r="G334" i="279"/>
  <c r="G333" i="279"/>
  <c r="G335" i="280"/>
  <c r="G334" i="280"/>
  <c r="G333" i="280"/>
  <c r="G335" i="281"/>
  <c r="G334" i="281"/>
  <c r="G333" i="281"/>
  <c r="G335" i="282"/>
  <c r="G334" i="282"/>
  <c r="G333" i="282"/>
  <c r="G339" i="204"/>
  <c r="E339" i="204"/>
  <c r="G338" i="204"/>
  <c r="E338" i="204"/>
  <c r="G339" i="205"/>
  <c r="E339" i="205"/>
  <c r="G338" i="205"/>
  <c r="E338" i="205"/>
  <c r="G339" i="212"/>
  <c r="E339" i="212"/>
  <c r="G338" i="212"/>
  <c r="E338" i="212"/>
  <c r="G339" i="217"/>
  <c r="G338" i="217"/>
  <c r="G339" i="277"/>
  <c r="G338" i="277"/>
  <c r="G339" i="278"/>
  <c r="G338" i="278"/>
  <c r="G339" i="279"/>
  <c r="G338" i="279"/>
  <c r="G339" i="280"/>
  <c r="G338" i="280"/>
  <c r="G339" i="281"/>
  <c r="G338" i="281"/>
  <c r="G339" i="282"/>
  <c r="G338" i="282"/>
  <c r="G343" i="204"/>
  <c r="E343" i="204"/>
  <c r="G343" i="205"/>
  <c r="E343" i="205"/>
  <c r="G343" i="212"/>
  <c r="E343" i="212"/>
  <c r="G343" i="217"/>
  <c r="G343" i="277"/>
  <c r="G343" i="278"/>
  <c r="G343" i="279"/>
  <c r="G343" i="280"/>
  <c r="G343" i="281"/>
  <c r="G343" i="282"/>
  <c r="G342" i="204"/>
  <c r="E342" i="204"/>
  <c r="G342" i="205"/>
  <c r="E342" i="205"/>
  <c r="G342" i="212"/>
  <c r="E342" i="212"/>
  <c r="G342" i="217"/>
  <c r="G342" i="277"/>
  <c r="G342" i="278"/>
  <c r="G342" i="279"/>
  <c r="G342" i="280"/>
  <c r="G342" i="281"/>
  <c r="G342" i="282"/>
  <c r="G341" i="204"/>
  <c r="E341" i="204"/>
  <c r="G341" i="205"/>
  <c r="E341" i="205"/>
  <c r="G341" i="212"/>
  <c r="E341" i="212"/>
  <c r="G341" i="217"/>
  <c r="G341" i="277"/>
  <c r="G341" i="278"/>
  <c r="G341" i="279"/>
  <c r="G341" i="280"/>
  <c r="G341" i="281"/>
  <c r="G341" i="282"/>
  <c r="AI399" i="189" l="1"/>
  <c r="AH399" i="189"/>
  <c r="AI398" i="189"/>
  <c r="AH398" i="189"/>
  <c r="E43" i="204"/>
  <c r="E43" i="205"/>
  <c r="E43" i="212"/>
  <c r="H11" i="204" l="1"/>
  <c r="H11" i="205"/>
  <c r="H11" i="212"/>
  <c r="H11" i="217"/>
  <c r="H11" i="277"/>
  <c r="H11" i="278"/>
  <c r="H11" i="279"/>
  <c r="H11" i="280"/>
  <c r="H11" i="281"/>
  <c r="H11" i="282"/>
  <c r="F11" i="204"/>
  <c r="F11" i="205"/>
  <c r="F11" i="212"/>
  <c r="F11" i="217"/>
  <c r="F11" i="277"/>
  <c r="F11" i="278"/>
  <c r="F11" i="279"/>
  <c r="F11" i="280"/>
  <c r="F11" i="281"/>
  <c r="F11" i="282"/>
  <c r="E42" i="204"/>
  <c r="E41" i="204"/>
  <c r="E40" i="204"/>
  <c r="E39" i="204"/>
  <c r="E38" i="204"/>
  <c r="E34" i="204"/>
  <c r="E33" i="204"/>
  <c r="E29" i="204"/>
  <c r="E197" i="204" s="1"/>
  <c r="E28" i="204"/>
  <c r="E27" i="204"/>
  <c r="E25" i="204"/>
  <c r="E24" i="204"/>
  <c r="E23" i="204"/>
  <c r="E22" i="204"/>
  <c r="E21" i="204"/>
  <c r="E20" i="204"/>
  <c r="E19" i="204"/>
  <c r="E18" i="204"/>
  <c r="E17" i="204"/>
  <c r="E15" i="204"/>
  <c r="E14" i="204"/>
  <c r="E13" i="204"/>
  <c r="E12" i="204"/>
  <c r="E42" i="205"/>
  <c r="E41" i="205"/>
  <c r="E40" i="205"/>
  <c r="E39" i="205"/>
  <c r="E38" i="205"/>
  <c r="E34" i="205"/>
  <c r="E33" i="205"/>
  <c r="E29" i="205"/>
  <c r="E197" i="205" s="1"/>
  <c r="E28" i="205"/>
  <c r="E27" i="205"/>
  <c r="E25" i="205"/>
  <c r="E24" i="205"/>
  <c r="E23" i="205"/>
  <c r="E22" i="205"/>
  <c r="E21" i="205"/>
  <c r="E20" i="205"/>
  <c r="E19" i="205"/>
  <c r="E18" i="205"/>
  <c r="E17" i="205"/>
  <c r="E15" i="205"/>
  <c r="E14" i="205"/>
  <c r="E13" i="205"/>
  <c r="E12" i="205"/>
  <c r="E42" i="212"/>
  <c r="E41" i="212"/>
  <c r="E40" i="212"/>
  <c r="E39" i="212"/>
  <c r="E38" i="212"/>
  <c r="E34" i="212"/>
  <c r="E33" i="212"/>
  <c r="E29" i="212"/>
  <c r="E197" i="212" s="1"/>
  <c r="E28" i="212"/>
  <c r="E27" i="212"/>
  <c r="E25" i="212"/>
  <c r="E24" i="212"/>
  <c r="E23" i="212"/>
  <c r="E22" i="212"/>
  <c r="E21" i="212"/>
  <c r="E20" i="212"/>
  <c r="E19" i="212"/>
  <c r="E18" i="212"/>
  <c r="E17" i="212"/>
  <c r="E15" i="212"/>
  <c r="E14" i="212"/>
  <c r="E13" i="212"/>
  <c r="E12" i="212"/>
  <c r="AN472" i="189" l="1"/>
  <c r="AN30" i="194" s="1"/>
  <c r="AJ473" i="189"/>
  <c r="AJ31" i="194" s="1"/>
  <c r="AJ482" i="189"/>
  <c r="AP472" i="189"/>
  <c r="AP30" i="194" s="1"/>
  <c r="AL472" i="189"/>
  <c r="AL30" i="194" s="1"/>
  <c r="AJ281" i="189" l="1"/>
  <c r="AK281" i="189"/>
  <c r="AK54" i="194" s="1"/>
  <c r="AK472" i="189"/>
  <c r="AK30" i="194" s="1"/>
  <c r="AM472" i="189"/>
  <c r="AM30" i="194" s="1"/>
  <c r="AO472" i="189"/>
  <c r="AO30" i="194" s="1"/>
  <c r="AQ472" i="189"/>
  <c r="AQ30" i="194" s="1"/>
  <c r="AK473" i="189"/>
  <c r="AK31" i="194" s="1"/>
  <c r="AM473" i="189"/>
  <c r="AM31" i="194" s="1"/>
  <c r="AO473" i="189"/>
  <c r="AO31" i="194" s="1"/>
  <c r="AQ473" i="189"/>
  <c r="AQ31" i="194" s="1"/>
  <c r="AL473" i="189"/>
  <c r="AL31" i="194" s="1"/>
  <c r="AN473" i="189"/>
  <c r="AN31" i="194" s="1"/>
  <c r="AP473" i="189"/>
  <c r="AP31" i="194" s="1"/>
  <c r="G57" i="23" l="1"/>
  <c r="AJ54" i="194"/>
  <c r="F57" i="23"/>
  <c r="AQ377" i="189"/>
  <c r="AP377" i="189"/>
  <c r="AO377" i="189"/>
  <c r="AN377" i="189"/>
  <c r="AM377" i="189"/>
  <c r="AL377" i="189"/>
  <c r="AK377" i="189"/>
  <c r="AJ377" i="189"/>
  <c r="N57" i="23" l="1"/>
  <c r="O57" i="23"/>
  <c r="I362" i="189" l="1"/>
  <c r="E257" i="283" l="1"/>
  <c r="E256" i="283"/>
  <c r="E255" i="283"/>
  <c r="E254" i="283"/>
  <c r="E253" i="283"/>
  <c r="E252" i="283"/>
  <c r="E251" i="283"/>
  <c r="E250" i="283"/>
  <c r="E249" i="283"/>
  <c r="E248" i="283"/>
  <c r="E247" i="283"/>
  <c r="E246" i="283"/>
  <c r="E245" i="283"/>
  <c r="E244" i="283"/>
  <c r="E243" i="283"/>
  <c r="E242" i="283"/>
  <c r="E241" i="283"/>
  <c r="E240" i="283"/>
  <c r="E239" i="283"/>
  <c r="E238" i="283"/>
  <c r="E237" i="283"/>
  <c r="E236" i="283"/>
  <c r="E235" i="283"/>
  <c r="E234" i="283"/>
  <c r="E233" i="283"/>
  <c r="E232" i="283"/>
  <c r="E231" i="283"/>
  <c r="E230" i="283"/>
  <c r="E229" i="283"/>
  <c r="E228" i="283"/>
  <c r="E227" i="283"/>
  <c r="E226" i="283"/>
  <c r="E225" i="283"/>
  <c r="G23" i="7"/>
  <c r="E41" i="194" l="1"/>
  <c r="E39" i="194" l="1"/>
  <c r="AQ468" i="189" l="1"/>
  <c r="AP468" i="189"/>
  <c r="AO468" i="189"/>
  <c r="AN468" i="189"/>
  <c r="AM468" i="189"/>
  <c r="AL468" i="189"/>
  <c r="AK468" i="189"/>
  <c r="AJ468" i="189"/>
  <c r="AQ453" i="189"/>
  <c r="AP453" i="189"/>
  <c r="AO453" i="189"/>
  <c r="AN453" i="189"/>
  <c r="AM453" i="189"/>
  <c r="AL453" i="189"/>
  <c r="AK453" i="189"/>
  <c r="AJ453" i="189"/>
  <c r="AQ450" i="189"/>
  <c r="AP450" i="189"/>
  <c r="AO450" i="189"/>
  <c r="AN450" i="189"/>
  <c r="AM450" i="189"/>
  <c r="AL450" i="189"/>
  <c r="AK450" i="189"/>
  <c r="AJ450" i="189"/>
  <c r="AQ449" i="189"/>
  <c r="AP449" i="189"/>
  <c r="AO449" i="189"/>
  <c r="AN449" i="189"/>
  <c r="AM449" i="189"/>
  <c r="AL449" i="189"/>
  <c r="AK449" i="189"/>
  <c r="AJ449" i="189"/>
  <c r="AQ448" i="189"/>
  <c r="AP448" i="189"/>
  <c r="AO448" i="189"/>
  <c r="AN448" i="189"/>
  <c r="AM448" i="189"/>
  <c r="AL448" i="189"/>
  <c r="AK448" i="189"/>
  <c r="AJ448" i="189"/>
  <c r="AQ447" i="189"/>
  <c r="AP447" i="189"/>
  <c r="AO447" i="189"/>
  <c r="AN447" i="189"/>
  <c r="AM447" i="189"/>
  <c r="AL447" i="189"/>
  <c r="AK447" i="189"/>
  <c r="AJ447" i="189"/>
  <c r="AQ443" i="189"/>
  <c r="AP443" i="189"/>
  <c r="AO443" i="189"/>
  <c r="AN443" i="189"/>
  <c r="AM443" i="189"/>
  <c r="AL443" i="189"/>
  <c r="AK443" i="189"/>
  <c r="AJ443" i="189"/>
  <c r="AQ440" i="189"/>
  <c r="AP440" i="189"/>
  <c r="AO440" i="189"/>
  <c r="AN440" i="189"/>
  <c r="AM440" i="189"/>
  <c r="AL440" i="189"/>
  <c r="AK440" i="189"/>
  <c r="AJ440" i="189"/>
  <c r="AQ439" i="189"/>
  <c r="AP439" i="189"/>
  <c r="AO439" i="189"/>
  <c r="AN439" i="189"/>
  <c r="AM439" i="189"/>
  <c r="AL439" i="189"/>
  <c r="AK439" i="189"/>
  <c r="AJ439" i="189"/>
  <c r="AQ438" i="189"/>
  <c r="AP438" i="189"/>
  <c r="AO438" i="189"/>
  <c r="AN438" i="189"/>
  <c r="AM438" i="189"/>
  <c r="AL438" i="189"/>
  <c r="AK438" i="189"/>
  <c r="AJ438" i="189"/>
  <c r="AQ437" i="189"/>
  <c r="AP437" i="189"/>
  <c r="AO437" i="189"/>
  <c r="AN437" i="189"/>
  <c r="AM437" i="189"/>
  <c r="AL437" i="189"/>
  <c r="AK437" i="189"/>
  <c r="AJ437" i="189"/>
  <c r="AQ433" i="189"/>
  <c r="AP433" i="189"/>
  <c r="AO433" i="189"/>
  <c r="AN433" i="189"/>
  <c r="AM433" i="189"/>
  <c r="AL433" i="189"/>
  <c r="AK433" i="189"/>
  <c r="AJ433" i="189"/>
  <c r="AQ430" i="189"/>
  <c r="AP430" i="189"/>
  <c r="AO430" i="189"/>
  <c r="AN430" i="189"/>
  <c r="AM430" i="189"/>
  <c r="AL430" i="189"/>
  <c r="AK430" i="189"/>
  <c r="AJ430" i="189"/>
  <c r="AQ429" i="189"/>
  <c r="AP429" i="189"/>
  <c r="AO429" i="189"/>
  <c r="AN429" i="189"/>
  <c r="AM429" i="189"/>
  <c r="AL429" i="189"/>
  <c r="AK429" i="189"/>
  <c r="AJ429" i="189"/>
  <c r="AQ428" i="189"/>
  <c r="AP428" i="189"/>
  <c r="AO428" i="189"/>
  <c r="AN428" i="189"/>
  <c r="AM428" i="189"/>
  <c r="AL428" i="189"/>
  <c r="AK428" i="189"/>
  <c r="AJ428" i="189"/>
  <c r="AQ427" i="189"/>
  <c r="AP427" i="189"/>
  <c r="AO427" i="189"/>
  <c r="AN427" i="189"/>
  <c r="AM427" i="189"/>
  <c r="AL427" i="189"/>
  <c r="AK427" i="189"/>
  <c r="AJ427" i="189"/>
  <c r="AQ423" i="189"/>
  <c r="AP423" i="189"/>
  <c r="AO423" i="189"/>
  <c r="AN423" i="189"/>
  <c r="AM423" i="189"/>
  <c r="AL423" i="189"/>
  <c r="AK423" i="189"/>
  <c r="AJ423" i="189"/>
  <c r="AQ420" i="189"/>
  <c r="AQ44" i="195" s="1"/>
  <c r="AP420" i="189"/>
  <c r="AP44" i="195" s="1"/>
  <c r="AO420" i="189"/>
  <c r="AO44" i="195" s="1"/>
  <c r="AN420" i="189"/>
  <c r="AN44" i="195" s="1"/>
  <c r="AM420" i="189"/>
  <c r="AM44" i="195" s="1"/>
  <c r="AL420" i="189"/>
  <c r="AL44" i="195" s="1"/>
  <c r="AK420" i="189"/>
  <c r="AK44" i="195" s="1"/>
  <c r="AJ420" i="189"/>
  <c r="AQ419" i="189"/>
  <c r="AP419" i="189"/>
  <c r="AO419" i="189"/>
  <c r="AN419" i="189"/>
  <c r="AM419" i="189"/>
  <c r="AL419" i="189"/>
  <c r="AK419" i="189"/>
  <c r="AJ419" i="189"/>
  <c r="AQ418" i="189"/>
  <c r="AP418" i="189"/>
  <c r="AO418" i="189"/>
  <c r="AN418" i="189"/>
  <c r="AM418" i="189"/>
  <c r="AL418" i="189"/>
  <c r="AK418" i="189"/>
  <c r="AJ418" i="189"/>
  <c r="AQ417" i="189"/>
  <c r="AP417" i="189"/>
  <c r="AO417" i="189"/>
  <c r="AN417" i="189"/>
  <c r="AM417" i="189"/>
  <c r="AL417" i="189"/>
  <c r="AK417" i="189"/>
  <c r="AJ417" i="189"/>
  <c r="AQ413" i="189"/>
  <c r="AP413" i="189"/>
  <c r="AO413" i="189"/>
  <c r="AN413" i="189"/>
  <c r="AM413" i="189"/>
  <c r="AL413" i="189"/>
  <c r="AK413" i="189"/>
  <c r="AJ413" i="189"/>
  <c r="AQ410" i="189"/>
  <c r="AP410" i="189"/>
  <c r="AO410" i="189"/>
  <c r="AN410" i="189"/>
  <c r="AM410" i="189"/>
  <c r="AL410" i="189"/>
  <c r="AK410" i="189"/>
  <c r="AJ410" i="189"/>
  <c r="AQ409" i="189"/>
  <c r="AP409" i="189"/>
  <c r="AO409" i="189"/>
  <c r="AN409" i="189"/>
  <c r="AM409" i="189"/>
  <c r="AL409" i="189"/>
  <c r="AK409" i="189"/>
  <c r="AJ409" i="189"/>
  <c r="AQ408" i="189"/>
  <c r="AP408" i="189"/>
  <c r="AO408" i="189"/>
  <c r="AN408" i="189"/>
  <c r="AM408" i="189"/>
  <c r="AL408" i="189"/>
  <c r="AK408" i="189"/>
  <c r="AJ408" i="189"/>
  <c r="AQ407" i="189"/>
  <c r="AP407" i="189"/>
  <c r="AO407" i="189"/>
  <c r="AN407" i="189"/>
  <c r="AM407" i="189"/>
  <c r="AL407" i="189"/>
  <c r="AK407" i="189"/>
  <c r="AJ407" i="189"/>
  <c r="AQ381" i="189"/>
  <c r="AP381" i="189"/>
  <c r="AO381" i="189"/>
  <c r="AN381" i="189"/>
  <c r="AM381" i="189"/>
  <c r="AL381" i="189"/>
  <c r="AK381" i="189"/>
  <c r="AJ381" i="189"/>
  <c r="AQ380" i="189"/>
  <c r="AP380" i="189"/>
  <c r="AO380" i="189"/>
  <c r="AN380" i="189"/>
  <c r="AM380" i="189"/>
  <c r="AL380" i="189"/>
  <c r="AK380" i="189"/>
  <c r="AJ380" i="189"/>
  <c r="AQ379" i="189"/>
  <c r="AP379" i="189"/>
  <c r="AO379" i="189"/>
  <c r="AN379" i="189"/>
  <c r="AM379" i="189"/>
  <c r="AL379" i="189"/>
  <c r="AK379" i="189"/>
  <c r="AJ379" i="189"/>
  <c r="AI368" i="189"/>
  <c r="AH368" i="189"/>
  <c r="AG368" i="189"/>
  <c r="AF368" i="189"/>
  <c r="AE368" i="189"/>
  <c r="AD368" i="189"/>
  <c r="AC368" i="189"/>
  <c r="AB368" i="189"/>
  <c r="AA368" i="189"/>
  <c r="Z368" i="189"/>
  <c r="Y368" i="189"/>
  <c r="X368" i="189"/>
  <c r="W368" i="189"/>
  <c r="V368" i="189"/>
  <c r="U368" i="189"/>
  <c r="T368" i="189"/>
  <c r="S368" i="189"/>
  <c r="R368" i="189"/>
  <c r="Q368" i="189"/>
  <c r="P368" i="189"/>
  <c r="O368" i="189"/>
  <c r="N368" i="189"/>
  <c r="M368" i="189"/>
  <c r="L368" i="189"/>
  <c r="K368" i="189"/>
  <c r="AQ366" i="189"/>
  <c r="AP366" i="189"/>
  <c r="AO366" i="189"/>
  <c r="AN366" i="189"/>
  <c r="AM366" i="189"/>
  <c r="AL366" i="189"/>
  <c r="AK366" i="189"/>
  <c r="AJ366" i="189"/>
  <c r="AG364" i="189"/>
  <c r="AF364" i="189"/>
  <c r="AE364" i="189"/>
  <c r="AD364" i="189"/>
  <c r="AC364" i="189"/>
  <c r="AB364" i="189"/>
  <c r="AA364" i="189"/>
  <c r="Z364" i="189"/>
  <c r="Y364" i="189"/>
  <c r="X364" i="189"/>
  <c r="W364" i="189"/>
  <c r="V364" i="189"/>
  <c r="U364" i="189"/>
  <c r="T364" i="189"/>
  <c r="S364" i="189"/>
  <c r="R364" i="189"/>
  <c r="Q364" i="189"/>
  <c r="P364" i="189"/>
  <c r="O364" i="189"/>
  <c r="N364" i="189"/>
  <c r="M364" i="189"/>
  <c r="L364" i="189"/>
  <c r="K364" i="189"/>
  <c r="I361" i="189"/>
  <c r="AI360" i="189"/>
  <c r="AH360" i="189"/>
  <c r="AG360" i="189"/>
  <c r="AF360" i="189"/>
  <c r="AE360" i="189"/>
  <c r="AD360" i="189"/>
  <c r="AC360" i="189"/>
  <c r="AB360" i="189"/>
  <c r="AA360" i="189"/>
  <c r="Z360" i="189"/>
  <c r="Y360" i="189"/>
  <c r="X360" i="189"/>
  <c r="W360" i="189"/>
  <c r="V360" i="189"/>
  <c r="U360" i="189"/>
  <c r="T360" i="189"/>
  <c r="S360" i="189"/>
  <c r="R360" i="189"/>
  <c r="Q360" i="189"/>
  <c r="P360" i="189"/>
  <c r="O360" i="189"/>
  <c r="N360" i="189"/>
  <c r="M360" i="189"/>
  <c r="L360" i="189"/>
  <c r="K360" i="189"/>
  <c r="AQ359" i="189"/>
  <c r="AP359" i="189"/>
  <c r="AO359" i="189"/>
  <c r="AN359" i="189"/>
  <c r="AN82" i="283" s="1"/>
  <c r="AM359" i="189"/>
  <c r="AL359" i="189"/>
  <c r="AK359" i="189"/>
  <c r="AK82" i="283" s="1"/>
  <c r="AJ359" i="189"/>
  <c r="AI359" i="189"/>
  <c r="AH359" i="189"/>
  <c r="AG359" i="189"/>
  <c r="AF359" i="189"/>
  <c r="AE359" i="189"/>
  <c r="AD359" i="189"/>
  <c r="AC359" i="189"/>
  <c r="AB359" i="189"/>
  <c r="AA359" i="189"/>
  <c r="Z359" i="189"/>
  <c r="Y359" i="189"/>
  <c r="X359" i="189"/>
  <c r="W359" i="189"/>
  <c r="V359" i="189"/>
  <c r="U359" i="189"/>
  <c r="T359" i="189"/>
  <c r="S359" i="189"/>
  <c r="R359" i="189"/>
  <c r="Q359" i="189"/>
  <c r="P359" i="189"/>
  <c r="O359" i="189"/>
  <c r="N359" i="189"/>
  <c r="M359" i="189"/>
  <c r="L359" i="189"/>
  <c r="K359" i="189"/>
  <c r="I352" i="189"/>
  <c r="I351" i="189"/>
  <c r="AQ342" i="189"/>
  <c r="AP342" i="189"/>
  <c r="AO342" i="189"/>
  <c r="AN342" i="189"/>
  <c r="AM342" i="189"/>
  <c r="AL342" i="189"/>
  <c r="AK342" i="189"/>
  <c r="AQ341" i="189"/>
  <c r="AP341" i="189"/>
  <c r="AO341" i="189"/>
  <c r="AN341" i="189"/>
  <c r="AM341" i="189"/>
  <c r="AL341" i="189"/>
  <c r="AK341" i="189"/>
  <c r="AJ341" i="189"/>
  <c r="AJ343" i="189" s="1"/>
  <c r="AQ240" i="189"/>
  <c r="AP240" i="189"/>
  <c r="AO240" i="189"/>
  <c r="AN240" i="189"/>
  <c r="AM240" i="189"/>
  <c r="AL240" i="189"/>
  <c r="AK240" i="189"/>
  <c r="AJ240" i="189"/>
  <c r="AQ239" i="189"/>
  <c r="AP239" i="189"/>
  <c r="AO239" i="189"/>
  <c r="AN239" i="189"/>
  <c r="AM239" i="189"/>
  <c r="AL239" i="189"/>
  <c r="AK239" i="189"/>
  <c r="AJ239" i="189"/>
  <c r="AQ237" i="189"/>
  <c r="AP237" i="189"/>
  <c r="AO237" i="189"/>
  <c r="AN237" i="189"/>
  <c r="AM237" i="189"/>
  <c r="AL237" i="189"/>
  <c r="AK237" i="189"/>
  <c r="AJ237" i="189"/>
  <c r="AQ236" i="189"/>
  <c r="AP236" i="189"/>
  <c r="AO236" i="189"/>
  <c r="AN236" i="189"/>
  <c r="AM236" i="189"/>
  <c r="AL236" i="189"/>
  <c r="AK236" i="189"/>
  <c r="AJ236" i="189"/>
  <c r="AQ235" i="189"/>
  <c r="AP235" i="189"/>
  <c r="AO235" i="189"/>
  <c r="AN235" i="189"/>
  <c r="AM235" i="189"/>
  <c r="AL235" i="189"/>
  <c r="AK235" i="189"/>
  <c r="AJ235" i="189"/>
  <c r="AQ234" i="189"/>
  <c r="AP234" i="189"/>
  <c r="AO234" i="189"/>
  <c r="AN234" i="189"/>
  <c r="AM234" i="189"/>
  <c r="AL234" i="189"/>
  <c r="AK234" i="189"/>
  <c r="AJ234" i="189"/>
  <c r="AQ195" i="189"/>
  <c r="AP195" i="189"/>
  <c r="AO195" i="189"/>
  <c r="AN195" i="189"/>
  <c r="AM195" i="189"/>
  <c r="AL195" i="189"/>
  <c r="AK195" i="189"/>
  <c r="AJ195" i="189"/>
  <c r="AQ194" i="189"/>
  <c r="AP194" i="189"/>
  <c r="AO194" i="189"/>
  <c r="AN194" i="189"/>
  <c r="AM194" i="189"/>
  <c r="AL194" i="189"/>
  <c r="AK194" i="189"/>
  <c r="AJ194" i="189"/>
  <c r="AQ192" i="189"/>
  <c r="AP192" i="189"/>
  <c r="AO192" i="189"/>
  <c r="AN192" i="189"/>
  <c r="AM192" i="189"/>
  <c r="AL192" i="189"/>
  <c r="AK192" i="189"/>
  <c r="AJ192" i="189"/>
  <c r="AQ191" i="189"/>
  <c r="AP191" i="189"/>
  <c r="AO191" i="189"/>
  <c r="AN191" i="189"/>
  <c r="AM191" i="189"/>
  <c r="AL191" i="189"/>
  <c r="AK191" i="189"/>
  <c r="AJ191" i="189"/>
  <c r="AQ190" i="189"/>
  <c r="AP190" i="189"/>
  <c r="AO190" i="189"/>
  <c r="AN190" i="189"/>
  <c r="AM190" i="189"/>
  <c r="AL190" i="189"/>
  <c r="AK190" i="189"/>
  <c r="AJ190" i="189"/>
  <c r="AQ189" i="189"/>
  <c r="AP189" i="189"/>
  <c r="AO189" i="189"/>
  <c r="AN189" i="189"/>
  <c r="AM189" i="189"/>
  <c r="AL189" i="189"/>
  <c r="AK189" i="189"/>
  <c r="AJ189" i="189"/>
  <c r="AQ186" i="189"/>
  <c r="AP186" i="189"/>
  <c r="AO186" i="189"/>
  <c r="AN186" i="189"/>
  <c r="AM186" i="189"/>
  <c r="AL186" i="189"/>
  <c r="AK186" i="189"/>
  <c r="AJ186" i="189"/>
  <c r="AQ185" i="189"/>
  <c r="AP185" i="189"/>
  <c r="AO185" i="189"/>
  <c r="AN185" i="189"/>
  <c r="AM185" i="189"/>
  <c r="AL185" i="189"/>
  <c r="AK185" i="189"/>
  <c r="AJ185" i="189"/>
  <c r="AQ183" i="189"/>
  <c r="AP183" i="189"/>
  <c r="AO183" i="189"/>
  <c r="AN183" i="189"/>
  <c r="AM183" i="189"/>
  <c r="AL183" i="189"/>
  <c r="AK183" i="189"/>
  <c r="AJ183" i="189"/>
  <c r="AQ182" i="189"/>
  <c r="AP182" i="189"/>
  <c r="AO182" i="189"/>
  <c r="AN182" i="189"/>
  <c r="AM182" i="189"/>
  <c r="AL182" i="189"/>
  <c r="AK182" i="189"/>
  <c r="AJ182" i="189"/>
  <c r="AQ181" i="189"/>
  <c r="AP181" i="189"/>
  <c r="AO181" i="189"/>
  <c r="AN181" i="189"/>
  <c r="AM181" i="189"/>
  <c r="AL181" i="189"/>
  <c r="AK181" i="189"/>
  <c r="AJ181" i="189"/>
  <c r="AQ180" i="189"/>
  <c r="AP180" i="189"/>
  <c r="AO180" i="189"/>
  <c r="AN180" i="189"/>
  <c r="AM180" i="189"/>
  <c r="AL180" i="189"/>
  <c r="AK180" i="189"/>
  <c r="AJ180" i="189"/>
  <c r="I73" i="189"/>
  <c r="I72" i="189"/>
  <c r="I70" i="189"/>
  <c r="I68" i="189"/>
  <c r="AQ66" i="189"/>
  <c r="AP66" i="189"/>
  <c r="AO66" i="189"/>
  <c r="AN66" i="189"/>
  <c r="AM66" i="189"/>
  <c r="AL66" i="189"/>
  <c r="AK66" i="189"/>
  <c r="AJ66" i="189"/>
  <c r="I64" i="189"/>
  <c r="AI364" i="189"/>
  <c r="AH364" i="189"/>
  <c r="AL343" i="189" l="1"/>
  <c r="AN343" i="189"/>
  <c r="AP343" i="189"/>
  <c r="AK343" i="189"/>
  <c r="AM343" i="189"/>
  <c r="AO343" i="189"/>
  <c r="AQ343" i="189"/>
  <c r="I13" i="197" l="1"/>
  <c r="E289" i="205" l="1"/>
  <c r="E288" i="205"/>
  <c r="E287" i="205"/>
  <c r="E289" i="212"/>
  <c r="E288" i="212"/>
  <c r="E287" i="212"/>
  <c r="E289" i="204"/>
  <c r="E288" i="204"/>
  <c r="E287" i="204"/>
  <c r="AH36" i="161" l="1"/>
  <c r="AI36" i="161"/>
  <c r="E280" i="205" l="1"/>
  <c r="E280" i="212"/>
  <c r="E280" i="204"/>
  <c r="AK53" i="194" l="1"/>
  <c r="AM53" i="194"/>
  <c r="AO53" i="194"/>
  <c r="AQ53" i="194"/>
  <c r="AL53" i="194"/>
  <c r="AN53" i="194"/>
  <c r="AP53" i="194"/>
  <c r="AJ53" i="194"/>
  <c r="G345" i="205" l="1"/>
  <c r="G345" i="212"/>
  <c r="G345" i="217"/>
  <c r="G345" i="277"/>
  <c r="G345" i="278"/>
  <c r="G345" i="279"/>
  <c r="G345" i="280"/>
  <c r="G345" i="281"/>
  <c r="G345" i="282"/>
  <c r="G345" i="204"/>
  <c r="G337" i="205"/>
  <c r="G337" i="212"/>
  <c r="G337" i="217"/>
  <c r="G337" i="277"/>
  <c r="G337" i="278"/>
  <c r="G337" i="279"/>
  <c r="G337" i="280"/>
  <c r="G337" i="281"/>
  <c r="G337" i="282"/>
  <c r="G337" i="204"/>
  <c r="E337" i="205"/>
  <c r="E337" i="212"/>
  <c r="E337" i="204"/>
  <c r="D291" i="204"/>
  <c r="D291" i="205"/>
  <c r="D291" i="212"/>
  <c r="E345" i="189"/>
  <c r="C43" i="194"/>
  <c r="E345" i="282" l="1"/>
  <c r="E345" i="280"/>
  <c r="E345" i="278"/>
  <c r="E345" i="217"/>
  <c r="E345" i="281"/>
  <c r="E345" i="279"/>
  <c r="E345" i="277"/>
  <c r="E210" i="161"/>
  <c r="E47" i="194"/>
  <c r="E345" i="204"/>
  <c r="E345" i="212"/>
  <c r="E345" i="205"/>
  <c r="E40" i="194" l="1"/>
  <c r="AI394" i="189" l="1"/>
  <c r="AH394" i="189"/>
  <c r="AH390" i="189" l="1"/>
  <c r="AI390" i="189"/>
  <c r="AI386" i="189" l="1"/>
  <c r="AH386" i="189"/>
  <c r="AH364" i="205"/>
  <c r="AI364" i="205"/>
  <c r="AH364" i="212"/>
  <c r="AI364" i="212"/>
  <c r="AH364" i="217"/>
  <c r="AI364" i="217"/>
  <c r="AH364" i="277"/>
  <c r="AI364" i="277"/>
  <c r="AH364" i="278"/>
  <c r="AI364" i="278"/>
  <c r="AH364" i="279"/>
  <c r="AI364" i="279"/>
  <c r="AH364" i="280"/>
  <c r="AI364" i="280"/>
  <c r="AH364" i="281"/>
  <c r="AI364" i="281"/>
  <c r="AH364" i="282"/>
  <c r="AI364" i="282"/>
  <c r="AH364" i="204"/>
  <c r="AI364" i="204"/>
  <c r="G31" i="183" l="1"/>
  <c r="G33" i="183"/>
  <c r="AQ463" i="279"/>
  <c r="AP463" i="279"/>
  <c r="AO463" i="279"/>
  <c r="AN463" i="279"/>
  <c r="AM463" i="279"/>
  <c r="AL463" i="279"/>
  <c r="AK463" i="279"/>
  <c r="AJ463" i="279"/>
  <c r="AQ463" i="280"/>
  <c r="AP463" i="280"/>
  <c r="AO463" i="280"/>
  <c r="AN463" i="280"/>
  <c r="AM463" i="280"/>
  <c r="AL463" i="280"/>
  <c r="AK463" i="280"/>
  <c r="AJ463" i="280"/>
  <c r="AQ461" i="205"/>
  <c r="AP461" i="205"/>
  <c r="AO461" i="205"/>
  <c r="AN461" i="205"/>
  <c r="AM461" i="205"/>
  <c r="AL461" i="205"/>
  <c r="AK461" i="205"/>
  <c r="AJ461" i="205"/>
  <c r="AQ461" i="212"/>
  <c r="AP461" i="212"/>
  <c r="AO461" i="212"/>
  <c r="AN461" i="212"/>
  <c r="AM461" i="212"/>
  <c r="AL461" i="212"/>
  <c r="AK461" i="212"/>
  <c r="AJ461" i="212"/>
  <c r="AQ461" i="217"/>
  <c r="AP461" i="217"/>
  <c r="AO461" i="217"/>
  <c r="AN461" i="217"/>
  <c r="AM461" i="217"/>
  <c r="AL461" i="217"/>
  <c r="AK461" i="217"/>
  <c r="AJ461" i="217"/>
  <c r="AQ461" i="277"/>
  <c r="AP461" i="277"/>
  <c r="AO461" i="277"/>
  <c r="AN461" i="277"/>
  <c r="AM461" i="277"/>
  <c r="AL461" i="277"/>
  <c r="AK461" i="277"/>
  <c r="AJ461" i="277"/>
  <c r="AQ461" i="278"/>
  <c r="AP461" i="278"/>
  <c r="AO461" i="278"/>
  <c r="AN461" i="278"/>
  <c r="AM461" i="278"/>
  <c r="AL461" i="278"/>
  <c r="AK461" i="278"/>
  <c r="AJ461" i="278"/>
  <c r="AQ461" i="279"/>
  <c r="AP461" i="279"/>
  <c r="AO461" i="279"/>
  <c r="AN461" i="279"/>
  <c r="AM461" i="279"/>
  <c r="AL461" i="279"/>
  <c r="AK461" i="279"/>
  <c r="AJ461" i="279"/>
  <c r="AQ461" i="280"/>
  <c r="AP461" i="280"/>
  <c r="AO461" i="280"/>
  <c r="AN461" i="280"/>
  <c r="AM461" i="280"/>
  <c r="AL461" i="280"/>
  <c r="AK461" i="280"/>
  <c r="AJ461" i="280"/>
  <c r="AQ461" i="281"/>
  <c r="AP461" i="281"/>
  <c r="AO461" i="281"/>
  <c r="AN461" i="281"/>
  <c r="AM461" i="281"/>
  <c r="AL461" i="281"/>
  <c r="AK461" i="281"/>
  <c r="AJ461" i="281"/>
  <c r="AQ461" i="282"/>
  <c r="AP461" i="282"/>
  <c r="AO461" i="282"/>
  <c r="AN461" i="282"/>
  <c r="AM461" i="282"/>
  <c r="AL461" i="282"/>
  <c r="AK461" i="282"/>
  <c r="AJ461" i="282"/>
  <c r="AQ461" i="204"/>
  <c r="AP461" i="204"/>
  <c r="AO461" i="204"/>
  <c r="AN461" i="204"/>
  <c r="AM461" i="204"/>
  <c r="AL461" i="204"/>
  <c r="AK461" i="204"/>
  <c r="AJ461" i="204"/>
  <c r="E464" i="205"/>
  <c r="E463" i="205"/>
  <c r="E461" i="205"/>
  <c r="E459" i="205"/>
  <c r="E458" i="205"/>
  <c r="E464" i="212"/>
  <c r="E463" i="212"/>
  <c r="E461" i="212"/>
  <c r="E459" i="212"/>
  <c r="E458" i="212"/>
  <c r="E464" i="204"/>
  <c r="E463" i="204"/>
  <c r="E461" i="204"/>
  <c r="E459" i="204"/>
  <c r="E458" i="204"/>
  <c r="E453" i="205"/>
  <c r="E452" i="205"/>
  <c r="E450" i="205"/>
  <c r="E448" i="205"/>
  <c r="E447" i="205"/>
  <c r="E453" i="212"/>
  <c r="E452" i="212"/>
  <c r="E450" i="212"/>
  <c r="E448" i="212"/>
  <c r="E447" i="212"/>
  <c r="E453" i="204"/>
  <c r="E452" i="204"/>
  <c r="E450" i="204"/>
  <c r="E448" i="204"/>
  <c r="E447" i="204"/>
  <c r="E443" i="205"/>
  <c r="E442" i="205"/>
  <c r="E440" i="205"/>
  <c r="E438" i="205"/>
  <c r="E437" i="205"/>
  <c r="E443" i="212"/>
  <c r="E442" i="212"/>
  <c r="E440" i="212"/>
  <c r="E438" i="212"/>
  <c r="E437" i="212"/>
  <c r="E443" i="204"/>
  <c r="E442" i="204"/>
  <c r="E440" i="204"/>
  <c r="E438" i="204"/>
  <c r="E437" i="204"/>
  <c r="E433" i="205"/>
  <c r="E432" i="205"/>
  <c r="E430" i="205"/>
  <c r="E428" i="205"/>
  <c r="E427" i="205"/>
  <c r="E433" i="212"/>
  <c r="E432" i="212"/>
  <c r="E430" i="212"/>
  <c r="E428" i="212"/>
  <c r="E427" i="212"/>
  <c r="E433" i="204"/>
  <c r="E432" i="204"/>
  <c r="E430" i="204"/>
  <c r="E428" i="204"/>
  <c r="E427" i="204"/>
  <c r="E423" i="205"/>
  <c r="E422" i="205"/>
  <c r="E420" i="205"/>
  <c r="E418" i="205"/>
  <c r="E417" i="205"/>
  <c r="E423" i="212"/>
  <c r="E422" i="212"/>
  <c r="E420" i="212"/>
  <c r="E418" i="212"/>
  <c r="E417" i="212"/>
  <c r="E423" i="204"/>
  <c r="E422" i="204"/>
  <c r="E420" i="204"/>
  <c r="E418" i="204"/>
  <c r="E417" i="204"/>
  <c r="E410" i="205"/>
  <c r="E412" i="205"/>
  <c r="E410" i="212"/>
  <c r="E412" i="212"/>
  <c r="E410" i="204"/>
  <c r="E412" i="204"/>
  <c r="AQ257" i="205"/>
  <c r="AP257" i="205"/>
  <c r="AO257" i="205"/>
  <c r="AN257" i="205"/>
  <c r="AM257" i="205"/>
  <c r="AL257" i="205"/>
  <c r="AK257" i="205"/>
  <c r="AJ257" i="205"/>
  <c r="E257" i="205"/>
  <c r="AQ257" i="212"/>
  <c r="AP257" i="212"/>
  <c r="AO257" i="212"/>
  <c r="AN257" i="212"/>
  <c r="AM257" i="212"/>
  <c r="AL257" i="212"/>
  <c r="AK257" i="212"/>
  <c r="AJ257" i="212"/>
  <c r="E257" i="212"/>
  <c r="AQ257" i="217"/>
  <c r="AP257" i="217"/>
  <c r="AO257" i="217"/>
  <c r="AN257" i="217"/>
  <c r="AM257" i="217"/>
  <c r="AL257" i="217"/>
  <c r="AK257" i="217"/>
  <c r="AJ257" i="217"/>
  <c r="AQ257" i="277"/>
  <c r="AP257" i="277"/>
  <c r="AO257" i="277"/>
  <c r="AN257" i="277"/>
  <c r="AM257" i="277"/>
  <c r="AL257" i="277"/>
  <c r="AK257" i="277"/>
  <c r="AJ257" i="277"/>
  <c r="AQ257" i="278"/>
  <c r="AP257" i="278"/>
  <c r="AO257" i="278"/>
  <c r="AN257" i="278"/>
  <c r="AM257" i="278"/>
  <c r="AL257" i="278"/>
  <c r="AK257" i="278"/>
  <c r="AJ257" i="278"/>
  <c r="AQ257" i="279"/>
  <c r="AP257" i="279"/>
  <c r="AO257" i="279"/>
  <c r="AN257" i="279"/>
  <c r="AM257" i="279"/>
  <c r="AL257" i="279"/>
  <c r="AK257" i="279"/>
  <c r="AJ257" i="279"/>
  <c r="AQ257" i="280"/>
  <c r="AP257" i="280"/>
  <c r="AO257" i="280"/>
  <c r="AN257" i="280"/>
  <c r="AM257" i="280"/>
  <c r="AL257" i="280"/>
  <c r="AK257" i="280"/>
  <c r="AJ257" i="280"/>
  <c r="AQ257" i="281"/>
  <c r="AP257" i="281"/>
  <c r="AO257" i="281"/>
  <c r="AN257" i="281"/>
  <c r="AM257" i="281"/>
  <c r="AL257" i="281"/>
  <c r="AK257" i="281"/>
  <c r="AJ257" i="281"/>
  <c r="AQ257" i="282"/>
  <c r="AP257" i="282"/>
  <c r="AO257" i="282"/>
  <c r="AN257" i="282"/>
  <c r="AM257" i="282"/>
  <c r="AL257" i="282"/>
  <c r="AK257" i="282"/>
  <c r="AJ257" i="282"/>
  <c r="AQ257" i="204"/>
  <c r="AP257" i="204"/>
  <c r="AO257" i="204"/>
  <c r="AN257" i="204"/>
  <c r="AM257" i="204"/>
  <c r="AL257" i="204"/>
  <c r="AK257" i="204"/>
  <c r="AJ257" i="204"/>
  <c r="E257" i="204"/>
  <c r="AJ255" i="205"/>
  <c r="E255" i="205"/>
  <c r="AJ255" i="212"/>
  <c r="E255" i="212"/>
  <c r="AJ255" i="217"/>
  <c r="AJ255" i="277"/>
  <c r="AJ255" i="278"/>
  <c r="AJ255" i="279"/>
  <c r="AJ255" i="280"/>
  <c r="AJ255" i="281"/>
  <c r="AJ255" i="282"/>
  <c r="AJ255" i="204"/>
  <c r="E255" i="204"/>
  <c r="E247" i="205"/>
  <c r="E247" i="212"/>
  <c r="E247" i="204"/>
  <c r="E245" i="205"/>
  <c r="E245" i="212"/>
  <c r="E245" i="204"/>
  <c r="E240" i="205"/>
  <c r="E239" i="205"/>
  <c r="E237" i="205"/>
  <c r="E236" i="205"/>
  <c r="E235" i="205"/>
  <c r="E234" i="205"/>
  <c r="E240" i="212"/>
  <c r="E239" i="212"/>
  <c r="E237" i="212"/>
  <c r="E236" i="212"/>
  <c r="E235" i="212"/>
  <c r="E234" i="212"/>
  <c r="E240" i="204"/>
  <c r="E239" i="204"/>
  <c r="E237" i="204"/>
  <c r="E236" i="204"/>
  <c r="E235" i="204"/>
  <c r="E234" i="204"/>
  <c r="E231" i="205"/>
  <c r="E230" i="205"/>
  <c r="E228" i="205"/>
  <c r="E227" i="205"/>
  <c r="E226" i="205"/>
  <c r="E225" i="205"/>
  <c r="E231" i="212"/>
  <c r="E230" i="212"/>
  <c r="E228" i="212"/>
  <c r="E227" i="212"/>
  <c r="E226" i="212"/>
  <c r="E225" i="212"/>
  <c r="E231" i="204"/>
  <c r="E230" i="204"/>
  <c r="E228" i="204"/>
  <c r="E227" i="204"/>
  <c r="E226" i="204"/>
  <c r="E225" i="204"/>
  <c r="E195" i="205"/>
  <c r="E194" i="205"/>
  <c r="E192" i="205"/>
  <c r="E191" i="205"/>
  <c r="E190" i="205"/>
  <c r="E189" i="205"/>
  <c r="E195" i="212"/>
  <c r="E194" i="212"/>
  <c r="E192" i="212"/>
  <c r="E191" i="212"/>
  <c r="E190" i="212"/>
  <c r="E189" i="212"/>
  <c r="E195" i="204"/>
  <c r="E194" i="204"/>
  <c r="E192" i="204"/>
  <c r="E191" i="204"/>
  <c r="E190" i="204"/>
  <c r="E189" i="204"/>
  <c r="E186" i="205"/>
  <c r="E185" i="205"/>
  <c r="E183" i="205"/>
  <c r="E182" i="205"/>
  <c r="E181" i="205"/>
  <c r="E180" i="205"/>
  <c r="E186" i="212"/>
  <c r="E185" i="212"/>
  <c r="E183" i="212"/>
  <c r="E182" i="212"/>
  <c r="E181" i="212"/>
  <c r="E180" i="212"/>
  <c r="E186" i="204"/>
  <c r="E185" i="204"/>
  <c r="E183" i="204"/>
  <c r="E182" i="204"/>
  <c r="E181" i="204"/>
  <c r="E180" i="204"/>
  <c r="E168" i="205"/>
  <c r="E167" i="205"/>
  <c r="E165" i="205"/>
  <c r="E164" i="205"/>
  <c r="E163" i="205"/>
  <c r="E162" i="205"/>
  <c r="E168" i="212"/>
  <c r="E167" i="212"/>
  <c r="E165" i="212"/>
  <c r="E164" i="212"/>
  <c r="E163" i="212"/>
  <c r="E162" i="212"/>
  <c r="E168" i="204"/>
  <c r="E167" i="204"/>
  <c r="E165" i="204"/>
  <c r="E164" i="204"/>
  <c r="E163" i="204"/>
  <c r="E162" i="204"/>
  <c r="E159" i="205"/>
  <c r="E158" i="205"/>
  <c r="E156" i="205"/>
  <c r="E155" i="205"/>
  <c r="E154" i="205"/>
  <c r="E153" i="205"/>
  <c r="E159" i="212"/>
  <c r="E158" i="212"/>
  <c r="E156" i="212"/>
  <c r="E155" i="212"/>
  <c r="E154" i="212"/>
  <c r="E153" i="212"/>
  <c r="E159" i="204"/>
  <c r="E158" i="204"/>
  <c r="E156" i="204"/>
  <c r="E155" i="204"/>
  <c r="E154" i="204"/>
  <c r="E153" i="204"/>
  <c r="E150" i="205"/>
  <c r="E149" i="205"/>
  <c r="E147" i="205"/>
  <c r="E146" i="205"/>
  <c r="E145" i="205"/>
  <c r="E144" i="205"/>
  <c r="E150" i="212"/>
  <c r="E149" i="212"/>
  <c r="E147" i="212"/>
  <c r="E146" i="212"/>
  <c r="E145" i="212"/>
  <c r="E144" i="212"/>
  <c r="E150" i="204"/>
  <c r="E149" i="204"/>
  <c r="E147" i="204"/>
  <c r="E146" i="204"/>
  <c r="E145" i="204"/>
  <c r="E144" i="204"/>
  <c r="E141" i="205"/>
  <c r="E140" i="205"/>
  <c r="E138" i="205"/>
  <c r="E137" i="205"/>
  <c r="E136" i="205"/>
  <c r="E135" i="205"/>
  <c r="E141" i="212"/>
  <c r="E140" i="212"/>
  <c r="E138" i="212"/>
  <c r="E137" i="212"/>
  <c r="E136" i="212"/>
  <c r="E135" i="212"/>
  <c r="E141" i="204"/>
  <c r="E140" i="204"/>
  <c r="E138" i="204"/>
  <c r="E137" i="204"/>
  <c r="E136" i="204"/>
  <c r="E135" i="204"/>
  <c r="E129" i="205"/>
  <c r="E131" i="205"/>
  <c r="E129" i="212"/>
  <c r="E131" i="212"/>
  <c r="E129" i="204"/>
  <c r="E131" i="204"/>
  <c r="E120" i="205"/>
  <c r="E122" i="205"/>
  <c r="E120" i="212"/>
  <c r="E122" i="212"/>
  <c r="E120" i="204"/>
  <c r="E122" i="204"/>
  <c r="E111" i="205"/>
  <c r="E113" i="205"/>
  <c r="E111" i="212"/>
  <c r="E113" i="212"/>
  <c r="E111" i="204"/>
  <c r="E113" i="204"/>
  <c r="E100" i="205"/>
  <c r="E102" i="205"/>
  <c r="E100" i="212"/>
  <c r="E102" i="212"/>
  <c r="E100" i="204"/>
  <c r="E102" i="204"/>
  <c r="AQ82" i="195"/>
  <c r="AP82" i="195"/>
  <c r="AO82" i="195"/>
  <c r="AN82" i="195"/>
  <c r="AM82" i="195"/>
  <c r="AL82" i="195"/>
  <c r="AK82" i="195"/>
  <c r="AJ82" i="195"/>
  <c r="AQ70" i="195"/>
  <c r="AP70" i="195"/>
  <c r="AO70" i="195"/>
  <c r="AN70" i="195"/>
  <c r="AM70" i="195"/>
  <c r="AL70" i="195"/>
  <c r="AK70" i="195"/>
  <c r="AJ70" i="195"/>
  <c r="AQ56" i="195"/>
  <c r="AP56" i="195"/>
  <c r="AO56" i="195"/>
  <c r="AN56" i="195"/>
  <c r="AM56" i="195"/>
  <c r="AL56" i="195"/>
  <c r="AK56" i="195"/>
  <c r="AJ56" i="195"/>
  <c r="AJ44" i="195"/>
  <c r="AQ32" i="195"/>
  <c r="AP32" i="195"/>
  <c r="AO32" i="195"/>
  <c r="AN32" i="195"/>
  <c r="AM32" i="195"/>
  <c r="AL32" i="195"/>
  <c r="AK32" i="195"/>
  <c r="AJ32" i="195"/>
  <c r="AQ257" i="189"/>
  <c r="AP257" i="189"/>
  <c r="AO257" i="189"/>
  <c r="AN257" i="189"/>
  <c r="AM257" i="189"/>
  <c r="AL257" i="189"/>
  <c r="AK257" i="189"/>
  <c r="AJ257" i="189"/>
  <c r="AQ255" i="189"/>
  <c r="AP255" i="189"/>
  <c r="AO255" i="189"/>
  <c r="AN255" i="189"/>
  <c r="AM255" i="189"/>
  <c r="AL255" i="189"/>
  <c r="AK255" i="189"/>
  <c r="AJ255" i="189"/>
  <c r="AJ461" i="189" l="1"/>
  <c r="AL461" i="189"/>
  <c r="AN461" i="189"/>
  <c r="AP461" i="189"/>
  <c r="AK461" i="189"/>
  <c r="AM461" i="189"/>
  <c r="AO461" i="189"/>
  <c r="AQ461" i="189"/>
  <c r="AH387" i="189" l="1"/>
  <c r="AI387" i="189"/>
  <c r="AH397" i="189" l="1"/>
  <c r="AH385" i="189"/>
  <c r="AJ96" i="195" s="1"/>
  <c r="AH393" i="189"/>
  <c r="AH401" i="189"/>
  <c r="AH389" i="189"/>
  <c r="AH395" i="189"/>
  <c r="AI395" i="189"/>
  <c r="AH391" i="189"/>
  <c r="AI391" i="189"/>
  <c r="AJ175" i="161" l="1"/>
  <c r="AJ219" i="161" s="1"/>
  <c r="AJ106" i="195"/>
  <c r="AJ116" i="195"/>
  <c r="AJ458" i="279" l="1"/>
  <c r="AJ458" i="280"/>
  <c r="E188" i="189" l="1"/>
  <c r="E233" i="189"/>
  <c r="AQ188" i="189" l="1"/>
  <c r="AP188" i="189"/>
  <c r="AO188" i="189"/>
  <c r="AN188" i="189"/>
  <c r="AM188" i="189"/>
  <c r="AL188" i="189"/>
  <c r="AK188" i="189"/>
  <c r="AJ188" i="189"/>
  <c r="G11" i="205"/>
  <c r="G11" i="212"/>
  <c r="G11" i="217"/>
  <c r="G11" i="277"/>
  <c r="G11" i="278"/>
  <c r="G11" i="279"/>
  <c r="G11" i="280"/>
  <c r="G11" i="281"/>
  <c r="G11" i="282"/>
  <c r="G11" i="204"/>
  <c r="E188" i="204"/>
  <c r="E188" i="205"/>
  <c r="E188" i="212"/>
  <c r="I354" i="189" l="1"/>
  <c r="L363" i="189"/>
  <c r="L17" i="283" s="1"/>
  <c r="N363" i="189"/>
  <c r="N17" i="283" s="1"/>
  <c r="P363" i="189"/>
  <c r="P17" i="283" s="1"/>
  <c r="R363" i="189"/>
  <c r="R17" i="283" s="1"/>
  <c r="T363" i="189"/>
  <c r="T17" i="283" s="1"/>
  <c r="V363" i="189"/>
  <c r="V17" i="283" s="1"/>
  <c r="X363" i="189"/>
  <c r="X17" i="283" s="1"/>
  <c r="Z363" i="189"/>
  <c r="Z17" i="283" s="1"/>
  <c r="AB363" i="189"/>
  <c r="AB17" i="283" s="1"/>
  <c r="AD363" i="189"/>
  <c r="AD17" i="283" s="1"/>
  <c r="K363" i="189"/>
  <c r="K17" i="283" s="1"/>
  <c r="M363" i="189"/>
  <c r="M17" i="283" s="1"/>
  <c r="O363" i="189"/>
  <c r="O17" i="283" s="1"/>
  <c r="Q363" i="189"/>
  <c r="Q17" i="283" s="1"/>
  <c r="S363" i="189"/>
  <c r="S17" i="283" s="1"/>
  <c r="U363" i="189"/>
  <c r="U17" i="283" s="1"/>
  <c r="W363" i="189"/>
  <c r="W17" i="283" s="1"/>
  <c r="Y363" i="189"/>
  <c r="Y17" i="283" s="1"/>
  <c r="AA363" i="189"/>
  <c r="AA17" i="283" s="1"/>
  <c r="AC363" i="189"/>
  <c r="AC17" i="283" s="1"/>
  <c r="AJ49" i="217"/>
  <c r="AJ49" i="277"/>
  <c r="AJ49" i="278"/>
  <c r="AJ49" i="280"/>
  <c r="AJ49" i="281"/>
  <c r="AJ49" i="282"/>
  <c r="AI51" i="189" l="1"/>
  <c r="I84" i="189"/>
  <c r="I24" i="197" l="1"/>
  <c r="AH363" i="189" l="1"/>
  <c r="AH17" i="283" s="1"/>
  <c r="G257" i="283" l="1"/>
  <c r="AJ76" i="15" l="1"/>
  <c r="E352" i="205" l="1"/>
  <c r="E352" i="212"/>
  <c r="E352" i="204"/>
  <c r="I30" i="283"/>
  <c r="AG59" i="189" l="1"/>
  <c r="AG60" i="189"/>
  <c r="E413" i="205"/>
  <c r="E408" i="205"/>
  <c r="E407" i="205"/>
  <c r="E413" i="212"/>
  <c r="E408" i="212"/>
  <c r="E407" i="212"/>
  <c r="E413" i="204"/>
  <c r="E408" i="204"/>
  <c r="E407" i="204"/>
  <c r="E258" i="205"/>
  <c r="E254" i="205"/>
  <c r="E253" i="205"/>
  <c r="E252" i="205"/>
  <c r="E258" i="212"/>
  <c r="E254" i="212"/>
  <c r="E253" i="212"/>
  <c r="E252" i="212"/>
  <c r="E258" i="204"/>
  <c r="E254" i="204"/>
  <c r="E253" i="204"/>
  <c r="E252" i="204"/>
  <c r="E248" i="205"/>
  <c r="E244" i="205"/>
  <c r="E243" i="205"/>
  <c r="E242" i="205"/>
  <c r="E248" i="212"/>
  <c r="E244" i="212"/>
  <c r="E243" i="212"/>
  <c r="E242" i="212"/>
  <c r="E248" i="204"/>
  <c r="E244" i="204"/>
  <c r="E243" i="204"/>
  <c r="E242" i="204"/>
  <c r="AI59" i="282" l="1"/>
  <c r="AJ59" i="282" s="1"/>
  <c r="AK59" i="282" s="1"/>
  <c r="AL59" i="282" s="1"/>
  <c r="AM59" i="282" s="1"/>
  <c r="AN59" i="282" s="1"/>
  <c r="AO59" i="282" s="1"/>
  <c r="AP59" i="282" s="1"/>
  <c r="AQ59" i="282" s="1"/>
  <c r="AI60" i="282"/>
  <c r="AJ60" i="282" s="1"/>
  <c r="AK60" i="282" s="1"/>
  <c r="AL60" i="282" s="1"/>
  <c r="AM60" i="282" s="1"/>
  <c r="AN60" i="282" s="1"/>
  <c r="AO60" i="282" s="1"/>
  <c r="AP60" i="282" s="1"/>
  <c r="AQ60" i="282" s="1"/>
  <c r="AH60" i="189" l="1"/>
  <c r="AH59" i="189"/>
  <c r="E98" i="205"/>
  <c r="E97" i="205"/>
  <c r="E98" i="212"/>
  <c r="E97" i="212"/>
  <c r="E98" i="204"/>
  <c r="E97" i="204"/>
  <c r="G10" i="7"/>
  <c r="AI59" i="189" l="1"/>
  <c r="AI60" i="189"/>
  <c r="AJ60" i="189" l="1"/>
  <c r="AJ59" i="189"/>
  <c r="M133" i="283"/>
  <c r="N133" i="283"/>
  <c r="M82" i="283"/>
  <c r="N82" i="283"/>
  <c r="M37" i="283"/>
  <c r="N37" i="283"/>
  <c r="M23" i="283"/>
  <c r="N23" i="283"/>
  <c r="I7" i="283"/>
  <c r="E368" i="205"/>
  <c r="E363" i="205"/>
  <c r="E362" i="205"/>
  <c r="E361" i="205"/>
  <c r="E360" i="205"/>
  <c r="E359" i="205"/>
  <c r="E358" i="205"/>
  <c r="E351" i="205"/>
  <c r="E368" i="212"/>
  <c r="E363" i="212"/>
  <c r="E362" i="212"/>
  <c r="E361" i="212"/>
  <c r="E360" i="212"/>
  <c r="E359" i="212"/>
  <c r="E358" i="212"/>
  <c r="E351" i="212"/>
  <c r="E351" i="204"/>
  <c r="AQ43" i="15"/>
  <c r="AP43" i="15"/>
  <c r="AO43" i="15"/>
  <c r="AN43" i="15"/>
  <c r="AM43" i="15"/>
  <c r="AL43" i="15"/>
  <c r="AK43" i="15"/>
  <c r="AJ43" i="15"/>
  <c r="AK60" i="189" l="1"/>
  <c r="AK59" i="189"/>
  <c r="AI23" i="283"/>
  <c r="AH23" i="283"/>
  <c r="AG23" i="283"/>
  <c r="AF23" i="283"/>
  <c r="AE23" i="283"/>
  <c r="AD23" i="283"/>
  <c r="AC23" i="283"/>
  <c r="AB23" i="283"/>
  <c r="AA23" i="283"/>
  <c r="Z23" i="283"/>
  <c r="Y23" i="283"/>
  <c r="X23" i="283"/>
  <c r="W23" i="283"/>
  <c r="V23" i="283"/>
  <c r="U23" i="283"/>
  <c r="T23" i="283"/>
  <c r="S23" i="283"/>
  <c r="R23" i="283"/>
  <c r="Q23" i="283"/>
  <c r="P23" i="283"/>
  <c r="O23" i="283"/>
  <c r="L23" i="283"/>
  <c r="K23" i="283"/>
  <c r="E368" i="204"/>
  <c r="E363" i="204"/>
  <c r="E362" i="204"/>
  <c r="E361" i="204"/>
  <c r="AQ37" i="283"/>
  <c r="AP37" i="283"/>
  <c r="AO37" i="283"/>
  <c r="AN37" i="283"/>
  <c r="AM37" i="283"/>
  <c r="AL37" i="283"/>
  <c r="AK37" i="283"/>
  <c r="AI37" i="283"/>
  <c r="AH37" i="283"/>
  <c r="AG37" i="283"/>
  <c r="AF37" i="283"/>
  <c r="AE37" i="283"/>
  <c r="AD37" i="283"/>
  <c r="AC37" i="283"/>
  <c r="AB37" i="283"/>
  <c r="AA37" i="283"/>
  <c r="Z37" i="283"/>
  <c r="Y37" i="283"/>
  <c r="X37" i="283"/>
  <c r="W37" i="283"/>
  <c r="V37" i="283"/>
  <c r="U37" i="283"/>
  <c r="T37" i="283"/>
  <c r="S37" i="283"/>
  <c r="R37" i="283"/>
  <c r="Q37" i="283"/>
  <c r="P37" i="283"/>
  <c r="O37" i="283"/>
  <c r="L37" i="283"/>
  <c r="K37" i="283"/>
  <c r="E360" i="204"/>
  <c r="AQ82" i="283"/>
  <c r="AP82" i="283"/>
  <c r="AO82" i="283"/>
  <c r="AM82" i="283"/>
  <c r="AL82" i="283"/>
  <c r="AJ82" i="283"/>
  <c r="E359" i="204"/>
  <c r="E358" i="204"/>
  <c r="AL60" i="189" l="1"/>
  <c r="AL59" i="189"/>
  <c r="K134" i="283"/>
  <c r="I28" i="283"/>
  <c r="I29" i="283"/>
  <c r="K82" i="283"/>
  <c r="L82" i="283"/>
  <c r="O82" i="283"/>
  <c r="P82" i="283"/>
  <c r="Q82" i="283"/>
  <c r="R82" i="283"/>
  <c r="S82" i="283"/>
  <c r="T82" i="283"/>
  <c r="U82" i="283"/>
  <c r="V82" i="283"/>
  <c r="W82" i="283"/>
  <c r="X82" i="283"/>
  <c r="Y82" i="283"/>
  <c r="Z82" i="283"/>
  <c r="AA82" i="283"/>
  <c r="AB82" i="283"/>
  <c r="AC82" i="283"/>
  <c r="AD82" i="283"/>
  <c r="AE82" i="283"/>
  <c r="AF82" i="283"/>
  <c r="AG82" i="283"/>
  <c r="AH82" i="283"/>
  <c r="AI82" i="283"/>
  <c r="I128" i="283"/>
  <c r="K133" i="283"/>
  <c r="L133" i="283"/>
  <c r="O133" i="283"/>
  <c r="P133" i="283"/>
  <c r="Q133" i="283"/>
  <c r="R133" i="283"/>
  <c r="S133" i="283"/>
  <c r="T133" i="283"/>
  <c r="U133" i="283"/>
  <c r="V133" i="283"/>
  <c r="W133" i="283"/>
  <c r="X133" i="283"/>
  <c r="Y133" i="283"/>
  <c r="Z133" i="283"/>
  <c r="AA133" i="283"/>
  <c r="AB133" i="283"/>
  <c r="AC133" i="283"/>
  <c r="AD133" i="283"/>
  <c r="AE133" i="283"/>
  <c r="AF133" i="283"/>
  <c r="AG133" i="283"/>
  <c r="AH133" i="283"/>
  <c r="AI133" i="283"/>
  <c r="AJ133" i="283"/>
  <c r="AK133" i="283"/>
  <c r="AL133" i="283"/>
  <c r="AM133" i="283"/>
  <c r="AN133" i="283"/>
  <c r="AO133" i="283"/>
  <c r="AP133" i="283"/>
  <c r="AQ133" i="283"/>
  <c r="Z83" i="283" l="1"/>
  <c r="Z127" i="283" s="1"/>
  <c r="AM60" i="189"/>
  <c r="AM59" i="189"/>
  <c r="AP38" i="283"/>
  <c r="AC83" i="283"/>
  <c r="AQ129" i="283"/>
  <c r="AN129" i="283"/>
  <c r="AL129" i="283"/>
  <c r="AJ129" i="283"/>
  <c r="AH129" i="283"/>
  <c r="AF129" i="283"/>
  <c r="AD129" i="283"/>
  <c r="AB129" i="283"/>
  <c r="Z129" i="283"/>
  <c r="X129" i="283"/>
  <c r="V129" i="283"/>
  <c r="T129" i="283"/>
  <c r="R129" i="283"/>
  <c r="P129" i="283"/>
  <c r="N129" i="283"/>
  <c r="L129" i="283"/>
  <c r="AP129" i="283"/>
  <c r="AM129" i="283"/>
  <c r="AK129" i="283"/>
  <c r="AI129" i="283"/>
  <c r="AG129" i="283"/>
  <c r="AE129" i="283"/>
  <c r="AC129" i="283"/>
  <c r="AA129" i="283"/>
  <c r="Y129" i="283"/>
  <c r="W129" i="283"/>
  <c r="U129" i="283"/>
  <c r="S129" i="283"/>
  <c r="Q129" i="283"/>
  <c r="O129" i="283"/>
  <c r="M129" i="283"/>
  <c r="AO129" i="283"/>
  <c r="AQ83" i="283"/>
  <c r="AO83" i="283"/>
  <c r="AM83" i="283"/>
  <c r="AK83" i="283"/>
  <c r="AI83" i="283"/>
  <c r="AG83" i="283"/>
  <c r="AE83" i="283"/>
  <c r="AA83" i="283"/>
  <c r="X83" i="283"/>
  <c r="V83" i="283"/>
  <c r="T83" i="283"/>
  <c r="R83" i="283"/>
  <c r="P83" i="283"/>
  <c r="N83" i="283"/>
  <c r="L83" i="283"/>
  <c r="AQ38" i="283"/>
  <c r="AO38" i="283"/>
  <c r="AM38" i="283"/>
  <c r="AK38" i="283"/>
  <c r="AI38" i="283"/>
  <c r="AG38" i="283"/>
  <c r="AE38" i="283"/>
  <c r="AC38" i="283"/>
  <c r="AA38" i="283"/>
  <c r="M38" i="283"/>
  <c r="O38" i="283"/>
  <c r="Q38" i="283"/>
  <c r="S38" i="283"/>
  <c r="U38" i="283"/>
  <c r="W38" i="283"/>
  <c r="Y38" i="283"/>
  <c r="AP83" i="283"/>
  <c r="AN83" i="283"/>
  <c r="AL83" i="283"/>
  <c r="AJ83" i="283"/>
  <c r="AH83" i="283"/>
  <c r="AF83" i="283"/>
  <c r="AD83" i="283"/>
  <c r="AB83" i="283"/>
  <c r="Y83" i="283"/>
  <c r="W83" i="283"/>
  <c r="U83" i="283"/>
  <c r="S83" i="283"/>
  <c r="Q83" i="283"/>
  <c r="O83" i="283"/>
  <c r="M83" i="283"/>
  <c r="AN38" i="283"/>
  <c r="AL38" i="283"/>
  <c r="AJ38" i="283"/>
  <c r="AH38" i="283"/>
  <c r="AF38" i="283"/>
  <c r="AD38" i="283"/>
  <c r="AB38" i="283"/>
  <c r="L38" i="283"/>
  <c r="N38" i="283"/>
  <c r="P38" i="283"/>
  <c r="R38" i="283"/>
  <c r="T38" i="283"/>
  <c r="V38" i="283"/>
  <c r="X38" i="283"/>
  <c r="Z38" i="283"/>
  <c r="AN60" i="189" l="1"/>
  <c r="AN59" i="189"/>
  <c r="Z134" i="283"/>
  <c r="L127" i="283"/>
  <c r="L134" i="283" s="1"/>
  <c r="O127" i="283"/>
  <c r="O134" i="283" s="1"/>
  <c r="S127" i="283"/>
  <c r="S134" i="283" s="1"/>
  <c r="W127" i="283"/>
  <c r="W134" i="283" s="1"/>
  <c r="AA127" i="283"/>
  <c r="AA134" i="283" s="1"/>
  <c r="AE127" i="283"/>
  <c r="AE134" i="283" s="1"/>
  <c r="AI127" i="283"/>
  <c r="AI134" i="283" s="1"/>
  <c r="AM127" i="283"/>
  <c r="AM134" i="283" s="1"/>
  <c r="AQ127" i="283"/>
  <c r="AQ134" i="283" s="1"/>
  <c r="N127" i="283"/>
  <c r="N134" i="283" s="1"/>
  <c r="M127" i="283"/>
  <c r="M134" i="283" s="1"/>
  <c r="V127" i="283"/>
  <c r="V134" i="283" s="1"/>
  <c r="X127" i="283"/>
  <c r="X134" i="283" s="1"/>
  <c r="AF127" i="283"/>
  <c r="AF134" i="283" s="1"/>
  <c r="T127" i="283"/>
  <c r="T134" i="283" s="1"/>
  <c r="AJ127" i="283"/>
  <c r="AJ134" i="283" s="1"/>
  <c r="AH127" i="283"/>
  <c r="AH134" i="283" s="1"/>
  <c r="AL127" i="283"/>
  <c r="AL134" i="283" s="1"/>
  <c r="Q127" i="283"/>
  <c r="Q134" i="283" s="1"/>
  <c r="U127" i="283"/>
  <c r="U134" i="283" s="1"/>
  <c r="Y127" i="283"/>
  <c r="Y134" i="283" s="1"/>
  <c r="AC127" i="283"/>
  <c r="AC134" i="283" s="1"/>
  <c r="AG127" i="283"/>
  <c r="AG134" i="283" s="1"/>
  <c r="AK127" i="283"/>
  <c r="AK134" i="283" s="1"/>
  <c r="AO127" i="283"/>
  <c r="AO134" i="283" s="1"/>
  <c r="R127" i="283"/>
  <c r="R134" i="283" s="1"/>
  <c r="P127" i="283"/>
  <c r="P134" i="283" s="1"/>
  <c r="AB127" i="283"/>
  <c r="AB134" i="283" s="1"/>
  <c r="AD127" i="283"/>
  <c r="AD134" i="283" s="1"/>
  <c r="AN127" i="283"/>
  <c r="AN134" i="283" s="1"/>
  <c r="AP127" i="283"/>
  <c r="AP134" i="283" s="1"/>
  <c r="AJ60" i="161"/>
  <c r="AQ460" i="282"/>
  <c r="AP460" i="282"/>
  <c r="AO460" i="282"/>
  <c r="AN460" i="282"/>
  <c r="AM460" i="282"/>
  <c r="AL460" i="282"/>
  <c r="AK460" i="282"/>
  <c r="AJ460" i="282"/>
  <c r="AQ464" i="282"/>
  <c r="AP464" i="282"/>
  <c r="AO464" i="282"/>
  <c r="AN464" i="282"/>
  <c r="AM464" i="282"/>
  <c r="AL464" i="282"/>
  <c r="AK464" i="282"/>
  <c r="AJ464" i="282"/>
  <c r="AQ459" i="282"/>
  <c r="AP459" i="282"/>
  <c r="AO459" i="282"/>
  <c r="AN459" i="282"/>
  <c r="AM459" i="282"/>
  <c r="AL459" i="282"/>
  <c r="AK459" i="282"/>
  <c r="AJ459" i="282"/>
  <c r="AQ458" i="282"/>
  <c r="AP458" i="282"/>
  <c r="AO458" i="282"/>
  <c r="AN458" i="282"/>
  <c r="AM458" i="282"/>
  <c r="AL458" i="282"/>
  <c r="AK458" i="282"/>
  <c r="AJ458" i="282"/>
  <c r="AQ49" i="282"/>
  <c r="AP49" i="282"/>
  <c r="AO49" i="282"/>
  <c r="AN49" i="282"/>
  <c r="AM49" i="282"/>
  <c r="AL49" i="282"/>
  <c r="AK49" i="282"/>
  <c r="AQ268" i="282"/>
  <c r="AP268" i="282"/>
  <c r="AO268" i="282"/>
  <c r="AN268" i="282"/>
  <c r="AM268" i="282"/>
  <c r="AL268" i="282"/>
  <c r="AK268" i="282"/>
  <c r="AJ268" i="282"/>
  <c r="AQ375" i="282"/>
  <c r="AP375" i="282"/>
  <c r="AO375" i="282"/>
  <c r="AN375" i="282"/>
  <c r="AM375" i="282"/>
  <c r="AL375" i="282"/>
  <c r="AK375" i="282"/>
  <c r="AJ375" i="282"/>
  <c r="AQ374" i="282"/>
  <c r="AP374" i="282"/>
  <c r="AO374" i="282"/>
  <c r="AN374" i="282"/>
  <c r="AM374" i="282"/>
  <c r="AL374" i="282"/>
  <c r="AK374" i="282"/>
  <c r="AJ374" i="282"/>
  <c r="AQ254" i="282"/>
  <c r="AP254" i="282"/>
  <c r="AO254" i="282"/>
  <c r="AN254" i="282"/>
  <c r="AM254" i="282"/>
  <c r="AL254" i="282"/>
  <c r="AK254" i="282"/>
  <c r="AJ254" i="282"/>
  <c r="AQ258" i="282"/>
  <c r="AP258" i="282"/>
  <c r="AO258" i="282"/>
  <c r="AN258" i="282"/>
  <c r="AM258" i="282"/>
  <c r="AL258" i="282"/>
  <c r="AK258" i="282"/>
  <c r="AJ258" i="282"/>
  <c r="AQ253" i="282"/>
  <c r="AP253" i="282"/>
  <c r="AO253" i="282"/>
  <c r="AN253" i="282"/>
  <c r="AM253" i="282"/>
  <c r="AL253" i="282"/>
  <c r="AK253" i="282"/>
  <c r="AJ253" i="282"/>
  <c r="AQ252" i="282"/>
  <c r="AP252" i="282"/>
  <c r="AO252" i="282"/>
  <c r="AN252" i="282"/>
  <c r="AM252" i="282"/>
  <c r="AL252" i="282"/>
  <c r="AK252" i="282"/>
  <c r="AJ252" i="282"/>
  <c r="AQ460" i="281"/>
  <c r="AP460" i="281"/>
  <c r="AO460" i="281"/>
  <c r="AN460" i="281"/>
  <c r="AM460" i="281"/>
  <c r="AL460" i="281"/>
  <c r="AK460" i="281"/>
  <c r="AJ460" i="281"/>
  <c r="AQ464" i="281"/>
  <c r="AP464" i="281"/>
  <c r="AO464" i="281"/>
  <c r="AN464" i="281"/>
  <c r="AM464" i="281"/>
  <c r="AL464" i="281"/>
  <c r="AK464" i="281"/>
  <c r="AJ464" i="281"/>
  <c r="AQ459" i="281"/>
  <c r="AP459" i="281"/>
  <c r="AO459" i="281"/>
  <c r="AN459" i="281"/>
  <c r="AM459" i="281"/>
  <c r="AL459" i="281"/>
  <c r="AK459" i="281"/>
  <c r="AJ459" i="281"/>
  <c r="AQ458" i="281"/>
  <c r="AP458" i="281"/>
  <c r="AO458" i="281"/>
  <c r="AN458" i="281"/>
  <c r="AM458" i="281"/>
  <c r="AL458" i="281"/>
  <c r="AK458" i="281"/>
  <c r="AJ458" i="281"/>
  <c r="AQ49" i="281"/>
  <c r="AP49" i="281"/>
  <c r="AO49" i="281"/>
  <c r="AN49" i="281"/>
  <c r="AM49" i="281"/>
  <c r="AL49" i="281"/>
  <c r="AK49" i="281"/>
  <c r="AQ268" i="281"/>
  <c r="AP268" i="281"/>
  <c r="AO268" i="281"/>
  <c r="AN268" i="281"/>
  <c r="AM268" i="281"/>
  <c r="AL268" i="281"/>
  <c r="AK268" i="281"/>
  <c r="AJ268" i="281"/>
  <c r="AQ375" i="281"/>
  <c r="AP375" i="281"/>
  <c r="AO375" i="281"/>
  <c r="AN375" i="281"/>
  <c r="AM375" i="281"/>
  <c r="AL375" i="281"/>
  <c r="AK375" i="281"/>
  <c r="AJ375" i="281"/>
  <c r="AQ374" i="281"/>
  <c r="AP374" i="281"/>
  <c r="AO374" i="281"/>
  <c r="AN374" i="281"/>
  <c r="AM374" i="281"/>
  <c r="AL374" i="281"/>
  <c r="AK374" i="281"/>
  <c r="AJ374" i="281"/>
  <c r="AQ254" i="281"/>
  <c r="AP254" i="281"/>
  <c r="AO254" i="281"/>
  <c r="AN254" i="281"/>
  <c r="AM254" i="281"/>
  <c r="AL254" i="281"/>
  <c r="AK254" i="281"/>
  <c r="AJ254" i="281"/>
  <c r="AQ258" i="281"/>
  <c r="AP258" i="281"/>
  <c r="AO258" i="281"/>
  <c r="AN258" i="281"/>
  <c r="AM258" i="281"/>
  <c r="AL258" i="281"/>
  <c r="AK258" i="281"/>
  <c r="AJ258" i="281"/>
  <c r="AQ253" i="281"/>
  <c r="AP253" i="281"/>
  <c r="AO253" i="281"/>
  <c r="AN253" i="281"/>
  <c r="AM253" i="281"/>
  <c r="AL253" i="281"/>
  <c r="AK253" i="281"/>
  <c r="AJ253" i="281"/>
  <c r="AQ252" i="281"/>
  <c r="AP252" i="281"/>
  <c r="AO252" i="281"/>
  <c r="AN252" i="281"/>
  <c r="AM252" i="281"/>
  <c r="AL252" i="281"/>
  <c r="AK252" i="281"/>
  <c r="AJ252" i="281"/>
  <c r="AQ460" i="280"/>
  <c r="AP460" i="280"/>
  <c r="AO460" i="280"/>
  <c r="AN460" i="280"/>
  <c r="AM460" i="280"/>
  <c r="AL460" i="280"/>
  <c r="AK460" i="280"/>
  <c r="AJ460" i="280"/>
  <c r="AQ464" i="280"/>
  <c r="AP464" i="280"/>
  <c r="AO464" i="280"/>
  <c r="AN464" i="280"/>
  <c r="AM464" i="280"/>
  <c r="AL464" i="280"/>
  <c r="AK464" i="280"/>
  <c r="AJ464" i="280"/>
  <c r="AQ459" i="280"/>
  <c r="AP459" i="280"/>
  <c r="AO459" i="280"/>
  <c r="AN459" i="280"/>
  <c r="AM459" i="280"/>
  <c r="AL459" i="280"/>
  <c r="AK459" i="280"/>
  <c r="AJ459" i="280"/>
  <c r="AQ458" i="280"/>
  <c r="AP458" i="280"/>
  <c r="AO458" i="280"/>
  <c r="AN458" i="280"/>
  <c r="AM458" i="280"/>
  <c r="AL458" i="280"/>
  <c r="AK458" i="280"/>
  <c r="AQ49" i="280"/>
  <c r="AP49" i="280"/>
  <c r="AO49" i="280"/>
  <c r="AN49" i="280"/>
  <c r="AM49" i="280"/>
  <c r="AL49" i="280"/>
  <c r="AK49" i="280"/>
  <c r="AQ268" i="280"/>
  <c r="AP268" i="280"/>
  <c r="AO268" i="280"/>
  <c r="AN268" i="280"/>
  <c r="AM268" i="280"/>
  <c r="AL268" i="280"/>
  <c r="AK268" i="280"/>
  <c r="AJ268" i="280"/>
  <c r="AQ375" i="280"/>
  <c r="AP375" i="280"/>
  <c r="AO375" i="280"/>
  <c r="AN375" i="280"/>
  <c r="AM375" i="280"/>
  <c r="AL375" i="280"/>
  <c r="AK375" i="280"/>
  <c r="AJ375" i="280"/>
  <c r="AQ374" i="280"/>
  <c r="AP374" i="280"/>
  <c r="AO374" i="280"/>
  <c r="AN374" i="280"/>
  <c r="AM374" i="280"/>
  <c r="AL374" i="280"/>
  <c r="AK374" i="280"/>
  <c r="AJ374" i="280"/>
  <c r="AQ254" i="280"/>
  <c r="AP254" i="280"/>
  <c r="AO254" i="280"/>
  <c r="AN254" i="280"/>
  <c r="AM254" i="280"/>
  <c r="AL254" i="280"/>
  <c r="AK254" i="280"/>
  <c r="AJ254" i="280"/>
  <c r="AQ258" i="280"/>
  <c r="AP258" i="280"/>
  <c r="AO258" i="280"/>
  <c r="AN258" i="280"/>
  <c r="AM258" i="280"/>
  <c r="AL258" i="280"/>
  <c r="AK258" i="280"/>
  <c r="AJ258" i="280"/>
  <c r="AQ253" i="280"/>
  <c r="AP253" i="280"/>
  <c r="AO253" i="280"/>
  <c r="AN253" i="280"/>
  <c r="AM253" i="280"/>
  <c r="AL253" i="280"/>
  <c r="AK253" i="280"/>
  <c r="AJ253" i="280"/>
  <c r="AQ252" i="280"/>
  <c r="AP252" i="280"/>
  <c r="AO252" i="280"/>
  <c r="AN252" i="280"/>
  <c r="AM252" i="280"/>
  <c r="AL252" i="280"/>
  <c r="AK252" i="280"/>
  <c r="AJ252" i="280"/>
  <c r="AQ460" i="279"/>
  <c r="AP460" i="279"/>
  <c r="AO460" i="279"/>
  <c r="AN460" i="279"/>
  <c r="AM460" i="279"/>
  <c r="AL460" i="279"/>
  <c r="AK460" i="279"/>
  <c r="AJ460" i="279"/>
  <c r="AQ464" i="279"/>
  <c r="AP464" i="279"/>
  <c r="AO464" i="279"/>
  <c r="AN464" i="279"/>
  <c r="AM464" i="279"/>
  <c r="AL464" i="279"/>
  <c r="AK464" i="279"/>
  <c r="AJ464" i="279"/>
  <c r="AQ459" i="279"/>
  <c r="AP459" i="279"/>
  <c r="AO459" i="279"/>
  <c r="AN459" i="279"/>
  <c r="AM459" i="279"/>
  <c r="AL459" i="279"/>
  <c r="AK459" i="279"/>
  <c r="AJ459" i="279"/>
  <c r="AQ458" i="279"/>
  <c r="AP458" i="279"/>
  <c r="AO458" i="279"/>
  <c r="AN458" i="279"/>
  <c r="AM458" i="279"/>
  <c r="AL458" i="279"/>
  <c r="AK458" i="279"/>
  <c r="AQ49" i="279"/>
  <c r="AP49" i="279"/>
  <c r="AO49" i="279"/>
  <c r="AN49" i="279"/>
  <c r="AM49" i="279"/>
  <c r="AL49" i="279"/>
  <c r="AK49" i="279"/>
  <c r="AQ268" i="279"/>
  <c r="AP268" i="279"/>
  <c r="AO268" i="279"/>
  <c r="AN268" i="279"/>
  <c r="AM268" i="279"/>
  <c r="AL268" i="279"/>
  <c r="AK268" i="279"/>
  <c r="AJ268" i="279"/>
  <c r="AQ375" i="279"/>
  <c r="AP375" i="279"/>
  <c r="AO375" i="279"/>
  <c r="AN375" i="279"/>
  <c r="AM375" i="279"/>
  <c r="AL375" i="279"/>
  <c r="AK375" i="279"/>
  <c r="AJ375" i="279"/>
  <c r="AQ374" i="279"/>
  <c r="AP374" i="279"/>
  <c r="AO374" i="279"/>
  <c r="AN374" i="279"/>
  <c r="AM374" i="279"/>
  <c r="AL374" i="279"/>
  <c r="AK374" i="279"/>
  <c r="AJ374" i="279"/>
  <c r="AQ254" i="279"/>
  <c r="AP254" i="279"/>
  <c r="AO254" i="279"/>
  <c r="AN254" i="279"/>
  <c r="AM254" i="279"/>
  <c r="AL254" i="279"/>
  <c r="AK254" i="279"/>
  <c r="AJ254" i="279"/>
  <c r="AQ258" i="279"/>
  <c r="AP258" i="279"/>
  <c r="AO258" i="279"/>
  <c r="AN258" i="279"/>
  <c r="AM258" i="279"/>
  <c r="AL258" i="279"/>
  <c r="AK258" i="279"/>
  <c r="AJ258" i="279"/>
  <c r="AQ253" i="279"/>
  <c r="AP253" i="279"/>
  <c r="AO253" i="279"/>
  <c r="AN253" i="279"/>
  <c r="AM253" i="279"/>
  <c r="AL253" i="279"/>
  <c r="AK253" i="279"/>
  <c r="AJ253" i="279"/>
  <c r="AQ252" i="279"/>
  <c r="AP252" i="279"/>
  <c r="AO252" i="279"/>
  <c r="AN252" i="279"/>
  <c r="AM252" i="279"/>
  <c r="AL252" i="279"/>
  <c r="AK252" i="279"/>
  <c r="AJ252" i="279"/>
  <c r="AQ460" i="278"/>
  <c r="AP460" i="278"/>
  <c r="AO460" i="278"/>
  <c r="AN460" i="278"/>
  <c r="AM460" i="278"/>
  <c r="AL460" i="278"/>
  <c r="AK460" i="278"/>
  <c r="AJ460" i="278"/>
  <c r="AQ464" i="278"/>
  <c r="AP464" i="278"/>
  <c r="AO464" i="278"/>
  <c r="AN464" i="278"/>
  <c r="AM464" i="278"/>
  <c r="AL464" i="278"/>
  <c r="AK464" i="278"/>
  <c r="AJ464" i="278"/>
  <c r="AQ459" i="278"/>
  <c r="AP459" i="278"/>
  <c r="AO459" i="278"/>
  <c r="AN459" i="278"/>
  <c r="AM459" i="278"/>
  <c r="AL459" i="278"/>
  <c r="AK459" i="278"/>
  <c r="AJ459" i="278"/>
  <c r="AQ458" i="278"/>
  <c r="AP458" i="278"/>
  <c r="AO458" i="278"/>
  <c r="AN458" i="278"/>
  <c r="AM458" i="278"/>
  <c r="AL458" i="278"/>
  <c r="AK458" i="278"/>
  <c r="AJ458" i="278"/>
  <c r="AQ49" i="278"/>
  <c r="AP49" i="278"/>
  <c r="AO49" i="278"/>
  <c r="AN49" i="278"/>
  <c r="AM49" i="278"/>
  <c r="AL49" i="278"/>
  <c r="AK49" i="278"/>
  <c r="AQ268" i="278"/>
  <c r="AP268" i="278"/>
  <c r="AO268" i="278"/>
  <c r="AN268" i="278"/>
  <c r="AM268" i="278"/>
  <c r="AL268" i="278"/>
  <c r="AK268" i="278"/>
  <c r="AJ268" i="278"/>
  <c r="AQ375" i="278"/>
  <c r="AP375" i="278"/>
  <c r="AO375" i="278"/>
  <c r="AN375" i="278"/>
  <c r="AM375" i="278"/>
  <c r="AL375" i="278"/>
  <c r="AK375" i="278"/>
  <c r="AJ375" i="278"/>
  <c r="AQ374" i="278"/>
  <c r="AP374" i="278"/>
  <c r="AO374" i="278"/>
  <c r="AN374" i="278"/>
  <c r="AM374" i="278"/>
  <c r="AL374" i="278"/>
  <c r="AK374" i="278"/>
  <c r="AJ374" i="278"/>
  <c r="AQ254" i="278"/>
  <c r="AP254" i="278"/>
  <c r="AO254" i="278"/>
  <c r="AN254" i="278"/>
  <c r="AM254" i="278"/>
  <c r="AL254" i="278"/>
  <c r="AK254" i="278"/>
  <c r="AJ254" i="278"/>
  <c r="AQ258" i="278"/>
  <c r="AP258" i="278"/>
  <c r="AO258" i="278"/>
  <c r="AN258" i="278"/>
  <c r="AM258" i="278"/>
  <c r="AL258" i="278"/>
  <c r="AK258" i="278"/>
  <c r="AJ258" i="278"/>
  <c r="AQ253" i="278"/>
  <c r="AP253" i="278"/>
  <c r="AO253" i="278"/>
  <c r="AN253" i="278"/>
  <c r="AM253" i="278"/>
  <c r="AL253" i="278"/>
  <c r="AK253" i="278"/>
  <c r="AJ253" i="278"/>
  <c r="AQ252" i="278"/>
  <c r="AP252" i="278"/>
  <c r="AO252" i="278"/>
  <c r="AN252" i="278"/>
  <c r="AM252" i="278"/>
  <c r="AL252" i="278"/>
  <c r="AK252" i="278"/>
  <c r="AJ252" i="278"/>
  <c r="AQ460" i="277"/>
  <c r="AP460" i="277"/>
  <c r="AO460" i="277"/>
  <c r="AN460" i="277"/>
  <c r="AM460" i="277"/>
  <c r="AL460" i="277"/>
  <c r="AK460" i="277"/>
  <c r="AJ460" i="277"/>
  <c r="AQ464" i="277"/>
  <c r="AP464" i="277"/>
  <c r="AO464" i="277"/>
  <c r="AN464" i="277"/>
  <c r="AM464" i="277"/>
  <c r="AL464" i="277"/>
  <c r="AK464" i="277"/>
  <c r="AJ464" i="277"/>
  <c r="AQ459" i="277"/>
  <c r="AP459" i="277"/>
  <c r="AO459" i="277"/>
  <c r="AN459" i="277"/>
  <c r="AM459" i="277"/>
  <c r="AL459" i="277"/>
  <c r="AK459" i="277"/>
  <c r="AJ459" i="277"/>
  <c r="AQ458" i="277"/>
  <c r="AP458" i="277"/>
  <c r="AO458" i="277"/>
  <c r="AN458" i="277"/>
  <c r="AM458" i="277"/>
  <c r="AL458" i="277"/>
  <c r="AK458" i="277"/>
  <c r="AJ458" i="277"/>
  <c r="AQ49" i="277"/>
  <c r="AP49" i="277"/>
  <c r="AO49" i="277"/>
  <c r="AN49" i="277"/>
  <c r="AM49" i="277"/>
  <c r="AL49" i="277"/>
  <c r="AK49" i="277"/>
  <c r="AQ268" i="277"/>
  <c r="AP268" i="277"/>
  <c r="AO268" i="277"/>
  <c r="AN268" i="277"/>
  <c r="AM268" i="277"/>
  <c r="AL268" i="277"/>
  <c r="AK268" i="277"/>
  <c r="AJ268" i="277"/>
  <c r="AQ375" i="277"/>
  <c r="AP375" i="277"/>
  <c r="AO375" i="277"/>
  <c r="AN375" i="277"/>
  <c r="AM375" i="277"/>
  <c r="AL375" i="277"/>
  <c r="AK375" i="277"/>
  <c r="AJ375" i="277"/>
  <c r="AQ374" i="277"/>
  <c r="AP374" i="277"/>
  <c r="AO374" i="277"/>
  <c r="AN374" i="277"/>
  <c r="AM374" i="277"/>
  <c r="AL374" i="277"/>
  <c r="AK374" i="277"/>
  <c r="AJ374" i="277"/>
  <c r="AQ254" i="277"/>
  <c r="AP254" i="277"/>
  <c r="AO254" i="277"/>
  <c r="AN254" i="277"/>
  <c r="AM254" i="277"/>
  <c r="AL254" i="277"/>
  <c r="AK254" i="277"/>
  <c r="AJ254" i="277"/>
  <c r="AQ258" i="277"/>
  <c r="AP258" i="277"/>
  <c r="AO258" i="277"/>
  <c r="AN258" i="277"/>
  <c r="AM258" i="277"/>
  <c r="AL258" i="277"/>
  <c r="AK258" i="277"/>
  <c r="AJ258" i="277"/>
  <c r="AQ253" i="277"/>
  <c r="AP253" i="277"/>
  <c r="AO253" i="277"/>
  <c r="AN253" i="277"/>
  <c r="AM253" i="277"/>
  <c r="AL253" i="277"/>
  <c r="AK253" i="277"/>
  <c r="AJ253" i="277"/>
  <c r="AQ252" i="277"/>
  <c r="AP252" i="277"/>
  <c r="AO252" i="277"/>
  <c r="AN252" i="277"/>
  <c r="AM252" i="277"/>
  <c r="AL252" i="277"/>
  <c r="AK252" i="277"/>
  <c r="AJ252" i="277"/>
  <c r="AO60" i="189" l="1"/>
  <c r="AO59" i="189"/>
  <c r="I171" i="283"/>
  <c r="AP60" i="189" l="1"/>
  <c r="AP59" i="189"/>
  <c r="E375" i="189"/>
  <c r="E374" i="189"/>
  <c r="E268" i="189"/>
  <c r="E13" i="267"/>
  <c r="E12" i="267"/>
  <c r="E11" i="267"/>
  <c r="E9" i="267"/>
  <c r="E66" i="205"/>
  <c r="E66" i="212"/>
  <c r="E66" i="204"/>
  <c r="AL49" i="189"/>
  <c r="AN49" i="189"/>
  <c r="AP49" i="189"/>
  <c r="AJ49" i="189"/>
  <c r="AQ49" i="189"/>
  <c r="AO49" i="189"/>
  <c r="AM49" i="189"/>
  <c r="AK49" i="189"/>
  <c r="AP375" i="217"/>
  <c r="AO375" i="217"/>
  <c r="AN375" i="217"/>
  <c r="AL375" i="217"/>
  <c r="AK375" i="217"/>
  <c r="AJ375" i="217"/>
  <c r="AP374" i="217"/>
  <c r="AO374" i="217"/>
  <c r="AN374" i="217"/>
  <c r="AL374" i="217"/>
  <c r="AK374" i="217"/>
  <c r="AJ374" i="217"/>
  <c r="AP254" i="217"/>
  <c r="AN254" i="217"/>
  <c r="AL254" i="217"/>
  <c r="AJ258" i="217"/>
  <c r="AP253" i="217"/>
  <c r="AN253" i="217"/>
  <c r="AL253" i="217"/>
  <c r="AQ375" i="212"/>
  <c r="AP375" i="212"/>
  <c r="AO375" i="212"/>
  <c r="AN375" i="212"/>
  <c r="AM375" i="212"/>
  <c r="AL375" i="212"/>
  <c r="AK375" i="212"/>
  <c r="AJ375" i="212"/>
  <c r="AQ374" i="212"/>
  <c r="AP374" i="212"/>
  <c r="AO374" i="212"/>
  <c r="AN374" i="212"/>
  <c r="AM374" i="212"/>
  <c r="AL374" i="212"/>
  <c r="AK374" i="212"/>
  <c r="AJ374" i="212"/>
  <c r="AQ254" i="212"/>
  <c r="AP254" i="212"/>
  <c r="AO254" i="212"/>
  <c r="AN254" i="212"/>
  <c r="AM254" i="212"/>
  <c r="AL254" i="212"/>
  <c r="AK254" i="212"/>
  <c r="AJ254" i="212"/>
  <c r="AQ258" i="212"/>
  <c r="AP258" i="212"/>
  <c r="AO258" i="212"/>
  <c r="AN258" i="212"/>
  <c r="AM258" i="212"/>
  <c r="AL258" i="212"/>
  <c r="AK258" i="212"/>
  <c r="AJ258" i="212"/>
  <c r="AQ253" i="212"/>
  <c r="AP253" i="212"/>
  <c r="AN253" i="212"/>
  <c r="AM253" i="212"/>
  <c r="AL253" i="212"/>
  <c r="AK253" i="212"/>
  <c r="AJ253" i="212"/>
  <c r="AQ252" i="212"/>
  <c r="AP252" i="212"/>
  <c r="AO252" i="212"/>
  <c r="AN252" i="212"/>
  <c r="AM252" i="212"/>
  <c r="AL252" i="212"/>
  <c r="AK252" i="212"/>
  <c r="AJ252" i="212"/>
  <c r="AQ375" i="205"/>
  <c r="AP375" i="205"/>
  <c r="AO375" i="205"/>
  <c r="AN375" i="205"/>
  <c r="AL375" i="205"/>
  <c r="AJ375" i="205"/>
  <c r="AQ374" i="205"/>
  <c r="AO374" i="205"/>
  <c r="AM374" i="205"/>
  <c r="AK374" i="205"/>
  <c r="AQ254" i="205"/>
  <c r="AP254" i="205"/>
  <c r="AO254" i="205"/>
  <c r="AN254" i="205"/>
  <c r="AM254" i="205"/>
  <c r="AL254" i="205"/>
  <c r="AK254" i="205"/>
  <c r="AJ254" i="205"/>
  <c r="AQ258" i="205"/>
  <c r="AP258" i="205"/>
  <c r="AO258" i="205"/>
  <c r="AN258" i="205"/>
  <c r="AM258" i="205"/>
  <c r="AL258" i="205"/>
  <c r="AK258" i="205"/>
  <c r="AJ258" i="205"/>
  <c r="AQ253" i="205"/>
  <c r="AP253" i="205"/>
  <c r="AO253" i="205"/>
  <c r="AN253" i="205"/>
  <c r="AM253" i="205"/>
  <c r="AL253" i="205"/>
  <c r="AK253" i="205"/>
  <c r="AJ253" i="205"/>
  <c r="AQ252" i="205"/>
  <c r="AP252" i="205"/>
  <c r="AO252" i="205"/>
  <c r="AN252" i="205"/>
  <c r="AM252" i="205"/>
  <c r="AL252" i="205"/>
  <c r="AK252" i="205"/>
  <c r="AJ252" i="205"/>
  <c r="AP123" i="187"/>
  <c r="AP126" i="187" s="1"/>
  <c r="AN123" i="187"/>
  <c r="AN126" i="187" s="1"/>
  <c r="AM123" i="187"/>
  <c r="AM126" i="187" s="1"/>
  <c r="AL123" i="187"/>
  <c r="AK123" i="187"/>
  <c r="AK126" i="187" s="1"/>
  <c r="AJ123" i="187"/>
  <c r="AQ113" i="187"/>
  <c r="AQ116" i="187" s="1"/>
  <c r="AP113" i="187"/>
  <c r="AP116" i="187" s="1"/>
  <c r="AO113" i="187"/>
  <c r="AN113" i="187"/>
  <c r="AN116" i="187" s="1"/>
  <c r="AM113" i="187"/>
  <c r="AM116" i="187" s="1"/>
  <c r="AL113" i="187"/>
  <c r="AL116" i="187" s="1"/>
  <c r="AK113" i="187"/>
  <c r="AK116" i="187" s="1"/>
  <c r="AJ113" i="187"/>
  <c r="AJ116" i="187" s="1"/>
  <c r="AQ103" i="187"/>
  <c r="AQ106" i="187" s="1"/>
  <c r="AP103" i="187"/>
  <c r="AP106" i="187" s="1"/>
  <c r="AO103" i="187"/>
  <c r="AN103" i="187"/>
  <c r="AN106" i="187" s="1"/>
  <c r="AM103" i="187"/>
  <c r="AL103" i="187"/>
  <c r="AL106" i="187" s="1"/>
  <c r="AK103" i="187"/>
  <c r="AJ103" i="187"/>
  <c r="AJ106" i="187" s="1"/>
  <c r="AQ91" i="187"/>
  <c r="AQ94" i="187" s="1"/>
  <c r="AO91" i="187"/>
  <c r="AO94" i="187" s="1"/>
  <c r="AL91" i="187"/>
  <c r="AL94" i="187" s="1"/>
  <c r="AJ91" i="187"/>
  <c r="AJ94" i="187" s="1"/>
  <c r="I18" i="197"/>
  <c r="I55" i="183"/>
  <c r="AQ375" i="189"/>
  <c r="AO375" i="189"/>
  <c r="AM375" i="189"/>
  <c r="AK375" i="189"/>
  <c r="AQ374" i="189"/>
  <c r="AO374" i="189"/>
  <c r="AM374" i="189"/>
  <c r="AK374" i="189"/>
  <c r="AP253" i="189"/>
  <c r="B231" i="161"/>
  <c r="E233" i="204"/>
  <c r="E374" i="204"/>
  <c r="E375" i="204"/>
  <c r="E268" i="204"/>
  <c r="E233" i="205"/>
  <c r="E374" i="205"/>
  <c r="E375" i="205"/>
  <c r="E268" i="205"/>
  <c r="E233" i="212"/>
  <c r="E374" i="212"/>
  <c r="E375" i="212"/>
  <c r="E268" i="212"/>
  <c r="E11" i="204"/>
  <c r="E11" i="205"/>
  <c r="E11" i="212"/>
  <c r="E270" i="204"/>
  <c r="E270" i="205"/>
  <c r="E270" i="212"/>
  <c r="I59" i="187"/>
  <c r="I65" i="187"/>
  <c r="F10" i="23"/>
  <c r="E128" i="204"/>
  <c r="E132" i="204"/>
  <c r="E127" i="204"/>
  <c r="E126" i="204"/>
  <c r="E128" i="205"/>
  <c r="E132" i="205"/>
  <c r="E127" i="205"/>
  <c r="E126" i="205"/>
  <c r="E128" i="212"/>
  <c r="E132" i="212"/>
  <c r="E127" i="212"/>
  <c r="E126" i="212"/>
  <c r="E119" i="204"/>
  <c r="E123" i="204"/>
  <c r="E118" i="204"/>
  <c r="E117" i="204"/>
  <c r="E119" i="205"/>
  <c r="E123" i="205"/>
  <c r="E118" i="205"/>
  <c r="E117" i="205"/>
  <c r="E119" i="212"/>
  <c r="E123" i="212"/>
  <c r="E118" i="212"/>
  <c r="E117" i="212"/>
  <c r="E108" i="204"/>
  <c r="E109" i="204"/>
  <c r="E114" i="204"/>
  <c r="E110" i="204"/>
  <c r="E108" i="205"/>
  <c r="E109" i="205"/>
  <c r="E114" i="205"/>
  <c r="E110" i="205"/>
  <c r="E108" i="212"/>
  <c r="E109" i="212"/>
  <c r="E114" i="212"/>
  <c r="E110" i="212"/>
  <c r="E179" i="189"/>
  <c r="E161" i="189"/>
  <c r="E152" i="189"/>
  <c r="E143" i="189"/>
  <c r="E134" i="189"/>
  <c r="E125" i="189"/>
  <c r="E116" i="189"/>
  <c r="E107" i="189"/>
  <c r="G17" i="7"/>
  <c r="E19" i="23" s="1"/>
  <c r="C3" i="186"/>
  <c r="AQ375" i="217"/>
  <c r="AM375" i="217"/>
  <c r="AQ374" i="217"/>
  <c r="AM374" i="217"/>
  <c r="AQ49" i="217"/>
  <c r="AP49" i="217"/>
  <c r="AO49" i="217"/>
  <c r="AN49" i="217"/>
  <c r="AM49" i="217"/>
  <c r="AL49" i="217"/>
  <c r="AK49" i="217"/>
  <c r="AQ49" i="212"/>
  <c r="AP49" i="212"/>
  <c r="AO49" i="212"/>
  <c r="AN49" i="212"/>
  <c r="AM49" i="212"/>
  <c r="AL49" i="212"/>
  <c r="AK49" i="212"/>
  <c r="AJ49" i="212"/>
  <c r="AM375" i="205"/>
  <c r="AN375" i="204"/>
  <c r="AJ375" i="204"/>
  <c r="AL374" i="204"/>
  <c r="AQ49" i="204"/>
  <c r="AP49" i="204"/>
  <c r="AO49" i="204"/>
  <c r="AN49" i="204"/>
  <c r="AM49" i="204"/>
  <c r="AL49" i="204"/>
  <c r="AK49" i="204"/>
  <c r="E60" i="7"/>
  <c r="E42" i="7"/>
  <c r="G30" i="183"/>
  <c r="G34" i="183"/>
  <c r="G29" i="183"/>
  <c r="G28" i="183"/>
  <c r="E10" i="157"/>
  <c r="E9" i="157"/>
  <c r="E8" i="157"/>
  <c r="E51" i="23"/>
  <c r="E50" i="23"/>
  <c r="E49" i="23"/>
  <c r="E48" i="23"/>
  <c r="E47" i="23"/>
  <c r="E46" i="23"/>
  <c r="E45" i="23"/>
  <c r="E44" i="23"/>
  <c r="F12" i="23"/>
  <c r="H62" i="23" s="1"/>
  <c r="AJ253" i="217"/>
  <c r="AJ253" i="204"/>
  <c r="AJ254" i="217"/>
  <c r="AQ252" i="217"/>
  <c r="AQ254" i="217"/>
  <c r="AQ258" i="217"/>
  <c r="AQ253" i="217"/>
  <c r="AP252" i="217"/>
  <c r="AL258" i="217"/>
  <c r="AK252" i="217"/>
  <c r="AK254" i="217"/>
  <c r="AK258" i="217"/>
  <c r="AK253" i="217"/>
  <c r="AJ252" i="217"/>
  <c r="AO253" i="212"/>
  <c r="AL253" i="204"/>
  <c r="AJ254" i="204"/>
  <c r="AN258" i="217"/>
  <c r="AM252" i="217"/>
  <c r="AM254" i="217"/>
  <c r="AM258" i="217"/>
  <c r="AM253" i="217"/>
  <c r="AL252" i="217"/>
  <c r="AP258" i="217"/>
  <c r="AO252" i="217"/>
  <c r="AO254" i="217"/>
  <c r="AO258" i="217"/>
  <c r="AO253" i="217"/>
  <c r="AN252" i="217"/>
  <c r="AP252" i="204"/>
  <c r="AP258" i="204"/>
  <c r="AN252" i="204"/>
  <c r="AN253" i="204"/>
  <c r="H19" i="23"/>
  <c r="AO49" i="205"/>
  <c r="AP49" i="205"/>
  <c r="AQ49" i="205"/>
  <c r="AM49" i="205"/>
  <c r="AN49" i="205"/>
  <c r="AK49" i="205"/>
  <c r="AL49" i="205"/>
  <c r="AJ49" i="205"/>
  <c r="F29" i="23"/>
  <c r="G29" i="23"/>
  <c r="H29" i="23"/>
  <c r="I29" i="23"/>
  <c r="J29" i="23"/>
  <c r="K29" i="23"/>
  <c r="L29" i="23"/>
  <c r="M29" i="23"/>
  <c r="I143" i="161"/>
  <c r="AJ268" i="217"/>
  <c r="AK268" i="217"/>
  <c r="AL268" i="217"/>
  <c r="AM268" i="217"/>
  <c r="AN268" i="217"/>
  <c r="AO268" i="217"/>
  <c r="AP268" i="217"/>
  <c r="AQ268" i="217"/>
  <c r="AP459" i="217"/>
  <c r="AL460" i="217"/>
  <c r="AJ268" i="212"/>
  <c r="AK268" i="212"/>
  <c r="AL268" i="212"/>
  <c r="AM268" i="212"/>
  <c r="AN268" i="212"/>
  <c r="AO268" i="212"/>
  <c r="AP268" i="212"/>
  <c r="AQ268" i="212"/>
  <c r="AJ458" i="205"/>
  <c r="AO459" i="205"/>
  <c r="AK460" i="205"/>
  <c r="AO460" i="205"/>
  <c r="AK460" i="212"/>
  <c r="AK459" i="217"/>
  <c r="AQ464" i="205"/>
  <c r="AQ458" i="205"/>
  <c r="AM374" i="204"/>
  <c r="AQ374" i="204"/>
  <c r="AM375" i="204"/>
  <c r="AQ375" i="204"/>
  <c r="AJ464" i="217"/>
  <c r="AJ458" i="217"/>
  <c r="AP459" i="212"/>
  <c r="AO464" i="217"/>
  <c r="AO458" i="217"/>
  <c r="AN464" i="212"/>
  <c r="AN458" i="212"/>
  <c r="AM460" i="217"/>
  <c r="AM464" i="217"/>
  <c r="AM459" i="217"/>
  <c r="AM458" i="217"/>
  <c r="E107" i="281" l="1"/>
  <c r="E107" i="279"/>
  <c r="E107" i="277"/>
  <c r="E107" i="282"/>
  <c r="E107" i="280"/>
  <c r="E107" i="278"/>
  <c r="E107" i="217"/>
  <c r="E125" i="281"/>
  <c r="E125" i="279"/>
  <c r="E125" i="277"/>
  <c r="E125" i="282"/>
  <c r="E125" i="280"/>
  <c r="E125" i="278"/>
  <c r="E125" i="217"/>
  <c r="E143" i="281"/>
  <c r="E143" i="279"/>
  <c r="E143" i="277"/>
  <c r="E143" i="282"/>
  <c r="E143" i="280"/>
  <c r="E143" i="278"/>
  <c r="E143" i="217"/>
  <c r="E161" i="281"/>
  <c r="E161" i="279"/>
  <c r="E161" i="277"/>
  <c r="E161" i="282"/>
  <c r="E161" i="280"/>
  <c r="E161" i="278"/>
  <c r="E161" i="217"/>
  <c r="E116" i="282"/>
  <c r="E116" i="280"/>
  <c r="E116" i="278"/>
  <c r="E116" i="217"/>
  <c r="E116" i="281"/>
  <c r="E116" i="279"/>
  <c r="E116" i="277"/>
  <c r="E134" i="204"/>
  <c r="E134" i="282"/>
  <c r="E134" i="280"/>
  <c r="E134" i="278"/>
  <c r="E134" i="217"/>
  <c r="E134" i="281"/>
  <c r="E134" i="279"/>
  <c r="E134" i="277"/>
  <c r="E152" i="204"/>
  <c r="E152" i="282"/>
  <c r="E152" i="280"/>
  <c r="E152" i="278"/>
  <c r="E152" i="217"/>
  <c r="E152" i="281"/>
  <c r="E152" i="279"/>
  <c r="E152" i="277"/>
  <c r="E179" i="212"/>
  <c r="E179" i="281"/>
  <c r="E179" i="279"/>
  <c r="E179" i="277"/>
  <c r="E179" i="282"/>
  <c r="E179" i="280"/>
  <c r="E179" i="278"/>
  <c r="E179" i="217"/>
  <c r="F62" i="23"/>
  <c r="E271" i="212"/>
  <c r="E134" i="205"/>
  <c r="E116" i="212"/>
  <c r="E143" i="204"/>
  <c r="C15" i="23"/>
  <c r="K62" i="23"/>
  <c r="AK53" i="205"/>
  <c r="AK270" i="205" s="1"/>
  <c r="E116" i="205"/>
  <c r="AQ60" i="189"/>
  <c r="AQ59" i="189"/>
  <c r="AM98" i="161"/>
  <c r="AM121" i="161" s="1"/>
  <c r="AO98" i="161"/>
  <c r="AO121" i="161" s="1"/>
  <c r="AK98" i="161"/>
  <c r="AK121" i="161" s="1"/>
  <c r="E179" i="204"/>
  <c r="M62" i="23"/>
  <c r="I62" i="23"/>
  <c r="L62" i="23"/>
  <c r="J62" i="23"/>
  <c r="G62" i="23"/>
  <c r="AJ53" i="204"/>
  <c r="AP87" i="205"/>
  <c r="E134" i="212"/>
  <c r="E152" i="205"/>
  <c r="E179" i="205"/>
  <c r="E125" i="212"/>
  <c r="E143" i="205"/>
  <c r="E161" i="204"/>
  <c r="E271" i="204"/>
  <c r="AQ53" i="204"/>
  <c r="AK87" i="205"/>
  <c r="AQ87" i="205"/>
  <c r="AJ87" i="204"/>
  <c r="AK87" i="204"/>
  <c r="AM87" i="204"/>
  <c r="AO87" i="204"/>
  <c r="AQ87" i="204"/>
  <c r="AL87" i="205"/>
  <c r="AJ87" i="205"/>
  <c r="AM87" i="205"/>
  <c r="AN87" i="205"/>
  <c r="AL87" i="204"/>
  <c r="AN87" i="204"/>
  <c r="AP87" i="204"/>
  <c r="E152" i="212"/>
  <c r="AL53" i="204"/>
  <c r="AN53" i="204"/>
  <c r="AP53" i="204"/>
  <c r="AL53" i="205"/>
  <c r="F7" i="282"/>
  <c r="B2" i="183"/>
  <c r="AN98" i="161"/>
  <c r="AN121" i="161" s="1"/>
  <c r="AQ98" i="161"/>
  <c r="AQ121" i="161" s="1"/>
  <c r="B2" i="197"/>
  <c r="B2" i="161"/>
  <c r="B2" i="189"/>
  <c r="B2" i="9"/>
  <c r="AQ460" i="205"/>
  <c r="AQ459" i="205"/>
  <c r="AO458" i="205"/>
  <c r="AM464" i="212"/>
  <c r="AQ459" i="212"/>
  <c r="AK459" i="212"/>
  <c r="AO53" i="205"/>
  <c r="AK458" i="205"/>
  <c r="AL374" i="189"/>
  <c r="E107" i="205"/>
  <c r="E161" i="205"/>
  <c r="E161" i="212"/>
  <c r="E143" i="212"/>
  <c r="E125" i="205"/>
  <c r="AN375" i="189"/>
  <c r="E107" i="204"/>
  <c r="E125" i="204"/>
  <c r="E271" i="205"/>
  <c r="B2" i="283"/>
  <c r="AJ53" i="205"/>
  <c r="O29" i="23"/>
  <c r="N29" i="23"/>
  <c r="AO252" i="189"/>
  <c r="AQ252" i="189"/>
  <c r="AK253" i="189"/>
  <c r="AM253" i="189"/>
  <c r="AQ253" i="189"/>
  <c r="AK258" i="189"/>
  <c r="AM258" i="189"/>
  <c r="AQ258" i="189"/>
  <c r="AK254" i="189"/>
  <c r="AM254" i="189"/>
  <c r="AQ254" i="189"/>
  <c r="AK179" i="189"/>
  <c r="AM179" i="189"/>
  <c r="AO179" i="189"/>
  <c r="AQ179" i="189"/>
  <c r="AK233" i="189"/>
  <c r="AM233" i="189"/>
  <c r="AO233" i="189"/>
  <c r="AJ374" i="204"/>
  <c r="AJ374" i="189"/>
  <c r="AN374" i="204"/>
  <c r="AN374" i="189"/>
  <c r="AP374" i="204"/>
  <c r="AJ375" i="189"/>
  <c r="AL375" i="204"/>
  <c r="AL375" i="189"/>
  <c r="AP375" i="204"/>
  <c r="AP375" i="189"/>
  <c r="I17" i="197"/>
  <c r="AP374" i="189"/>
  <c r="AJ252" i="189"/>
  <c r="AN252" i="189"/>
  <c r="AP252" i="189"/>
  <c r="AJ253" i="189"/>
  <c r="AL253" i="189"/>
  <c r="AN253" i="189"/>
  <c r="AJ258" i="204"/>
  <c r="AL254" i="189"/>
  <c r="AN254" i="189"/>
  <c r="AP254" i="204"/>
  <c r="AP254" i="189"/>
  <c r="AN179" i="189"/>
  <c r="AP179" i="189"/>
  <c r="AJ233" i="189"/>
  <c r="AL233" i="189"/>
  <c r="AN233" i="189"/>
  <c r="AP233" i="189"/>
  <c r="AQ233" i="189"/>
  <c r="AQ123" i="187"/>
  <c r="AQ126" i="187" s="1"/>
  <c r="E107" i="212"/>
  <c r="E116" i="204"/>
  <c r="E35" i="23"/>
  <c r="E37" i="23"/>
  <c r="E39" i="23"/>
  <c r="E41" i="23"/>
  <c r="E36" i="23"/>
  <c r="E38" i="23"/>
  <c r="E40" i="23"/>
  <c r="E42" i="23"/>
  <c r="G9" i="267"/>
  <c r="I7" i="282"/>
  <c r="I7" i="281"/>
  <c r="I7" i="280"/>
  <c r="I7" i="279"/>
  <c r="I7" i="278"/>
  <c r="I7" i="277"/>
  <c r="I7" i="197"/>
  <c r="I7" i="195"/>
  <c r="I7" i="194"/>
  <c r="I7" i="212"/>
  <c r="I7" i="9"/>
  <c r="F19" i="23"/>
  <c r="I7" i="267"/>
  <c r="I7" i="204"/>
  <c r="I7" i="205"/>
  <c r="I7" i="189"/>
  <c r="I7" i="161"/>
  <c r="I7" i="15"/>
  <c r="I7" i="217"/>
  <c r="I7" i="183"/>
  <c r="AM57" i="183" s="1"/>
  <c r="I8" i="187"/>
  <c r="AO87" i="205"/>
  <c r="AN53" i="205"/>
  <c r="AP53" i="205"/>
  <c r="AM53" i="204"/>
  <c r="AK53" i="204"/>
  <c r="AK479" i="204" s="1"/>
  <c r="AO53" i="204"/>
  <c r="F7" i="280"/>
  <c r="F7" i="281"/>
  <c r="F7" i="278"/>
  <c r="F7" i="279"/>
  <c r="F7" i="277"/>
  <c r="AP91" i="187"/>
  <c r="AP94" i="187" s="1"/>
  <c r="AP460" i="217"/>
  <c r="AJ460" i="217"/>
  <c r="AL464" i="217"/>
  <c r="AJ459" i="217"/>
  <c r="AJ464" i="205"/>
  <c r="AN458" i="205"/>
  <c r="AP460" i="212"/>
  <c r="AN460" i="212"/>
  <c r="AL464" i="212"/>
  <c r="AN459" i="212"/>
  <c r="AL459" i="212"/>
  <c r="AL458" i="212"/>
  <c r="B2" i="15"/>
  <c r="B2" i="187"/>
  <c r="AN91" i="187"/>
  <c r="AN94" i="187" s="1"/>
  <c r="B2" i="195"/>
  <c r="B2" i="267"/>
  <c r="B2" i="194"/>
  <c r="AQ460" i="217"/>
  <c r="AO460" i="217"/>
  <c r="AK460" i="217"/>
  <c r="AQ464" i="217"/>
  <c r="AQ459" i="217"/>
  <c r="AO459" i="217"/>
  <c r="AQ458" i="217"/>
  <c r="AK458" i="217"/>
  <c r="AN460" i="217"/>
  <c r="AP464" i="217"/>
  <c r="AN464" i="217"/>
  <c r="AN459" i="217"/>
  <c r="AL459" i="217"/>
  <c r="AP458" i="217"/>
  <c r="AN458" i="217"/>
  <c r="AL458" i="217"/>
  <c r="AL460" i="205"/>
  <c r="AJ460" i="205"/>
  <c r="AP464" i="205"/>
  <c r="AP458" i="205"/>
  <c r="AQ464" i="212"/>
  <c r="AK464" i="212"/>
  <c r="AM458" i="212"/>
  <c r="AK458" i="212"/>
  <c r="AK91" i="187"/>
  <c r="AK94" i="187" s="1"/>
  <c r="AO375" i="204"/>
  <c r="AK375" i="204"/>
  <c r="AO374" i="204"/>
  <c r="AK374" i="204"/>
  <c r="AM91" i="187"/>
  <c r="AM94" i="187" s="1"/>
  <c r="AN254" i="204"/>
  <c r="AP253" i="204"/>
  <c r="AJ252" i="204"/>
  <c r="AL254" i="204"/>
  <c r="AM460" i="205"/>
  <c r="AO464" i="205"/>
  <c r="AM464" i="205"/>
  <c r="AK464" i="205"/>
  <c r="AM459" i="205"/>
  <c r="AK459" i="205"/>
  <c r="AM458" i="205"/>
  <c r="AL460" i="212"/>
  <c r="AJ460" i="212"/>
  <c r="AP464" i="212"/>
  <c r="AJ464" i="212"/>
  <c r="AJ459" i="212"/>
  <c r="AP458" i="212"/>
  <c r="AJ458" i="212"/>
  <c r="AQ254" i="204"/>
  <c r="AQ252" i="204"/>
  <c r="AK253" i="204"/>
  <c r="AN464" i="205"/>
  <c r="AP459" i="205"/>
  <c r="AL459" i="205"/>
  <c r="AL458" i="205"/>
  <c r="AO460" i="212"/>
  <c r="AM460" i="212"/>
  <c r="AO464" i="212"/>
  <c r="AO459" i="212"/>
  <c r="AM459" i="212"/>
  <c r="AQ458" i="212"/>
  <c r="AO458" i="212"/>
  <c r="AL98" i="161"/>
  <c r="AL121" i="161" s="1"/>
  <c r="AJ98" i="161"/>
  <c r="F7" i="205"/>
  <c r="AK254" i="204"/>
  <c r="AO123" i="187"/>
  <c r="AO126" i="187" s="1"/>
  <c r="AQ460" i="212"/>
  <c r="AK258" i="204"/>
  <c r="AK464" i="217"/>
  <c r="F7" i="217"/>
  <c r="F7" i="212"/>
  <c r="AJ459" i="205"/>
  <c r="AN460" i="205"/>
  <c r="AL464" i="205"/>
  <c r="AN459" i="205"/>
  <c r="AL252" i="189"/>
  <c r="AL252" i="204"/>
  <c r="AO253" i="204"/>
  <c r="AL258" i="189"/>
  <c r="AL258" i="204"/>
  <c r="AN258" i="189"/>
  <c r="AN258" i="204"/>
  <c r="AO254" i="189"/>
  <c r="AO254" i="204"/>
  <c r="AK375" i="205"/>
  <c r="AP460" i="205"/>
  <c r="AM252" i="189"/>
  <c r="AM252" i="204"/>
  <c r="AO258" i="189"/>
  <c r="AO258" i="204"/>
  <c r="AJ374" i="205"/>
  <c r="AL374" i="205"/>
  <c r="AN374" i="205"/>
  <c r="AP374" i="205"/>
  <c r="AP258" i="189"/>
  <c r="AQ53" i="205"/>
  <c r="AO106" i="187"/>
  <c r="AL126" i="187"/>
  <c r="F7" i="204"/>
  <c r="F7" i="189"/>
  <c r="AK252" i="204"/>
  <c r="AO252" i="204"/>
  <c r="AM253" i="204"/>
  <c r="AQ253" i="204"/>
  <c r="AM258" i="204"/>
  <c r="AQ258" i="204"/>
  <c r="AM254" i="204"/>
  <c r="AP50" i="189"/>
  <c r="AM50" i="189"/>
  <c r="AL179" i="189"/>
  <c r="AO116" i="187"/>
  <c r="AK106" i="187"/>
  <c r="AM106" i="187"/>
  <c r="AJ126" i="187"/>
  <c r="AP98" i="161"/>
  <c r="AP121" i="161" s="1"/>
  <c r="AN271" i="204" l="1"/>
  <c r="AL271" i="204"/>
  <c r="AN270" i="204"/>
  <c r="AO270" i="204"/>
  <c r="AK271" i="204"/>
  <c r="AP271" i="204"/>
  <c r="AL270" i="204"/>
  <c r="AK270" i="204"/>
  <c r="AM271" i="204"/>
  <c r="AO271" i="204"/>
  <c r="AM270" i="204"/>
  <c r="AP270" i="204"/>
  <c r="AQ271" i="204"/>
  <c r="AQ270" i="204"/>
  <c r="AN274" i="204"/>
  <c r="AL274" i="204"/>
  <c r="AM274" i="204"/>
  <c r="AK274" i="204"/>
  <c r="AP274" i="204"/>
  <c r="AO274" i="204"/>
  <c r="AQ274" i="204"/>
  <c r="AN275" i="204"/>
  <c r="AK275" i="204"/>
  <c r="AL275" i="204"/>
  <c r="AM275" i="204"/>
  <c r="AQ275" i="204"/>
  <c r="AO275" i="204"/>
  <c r="AP275" i="204"/>
  <c r="AK275" i="205"/>
  <c r="AK274" i="205"/>
  <c r="AL275" i="205"/>
  <c r="AL274" i="205"/>
  <c r="AL270" i="205"/>
  <c r="AJ276" i="205"/>
  <c r="AJ276" i="204"/>
  <c r="AM479" i="204"/>
  <c r="AM486" i="204" s="1"/>
  <c r="AM474" i="204" s="1"/>
  <c r="AK479" i="205"/>
  <c r="AK486" i="205" s="1"/>
  <c r="AK486" i="204"/>
  <c r="AK474" i="204" s="1"/>
  <c r="AQ479" i="204"/>
  <c r="AQ486" i="204" s="1"/>
  <c r="AQ474" i="204" s="1"/>
  <c r="AJ479" i="204"/>
  <c r="AK50" i="189"/>
  <c r="AQ50" i="189"/>
  <c r="AN50" i="189"/>
  <c r="AO50" i="189"/>
  <c r="AJ50" i="189"/>
  <c r="AL50" i="189"/>
  <c r="AJ272" i="204"/>
  <c r="AQ479" i="205"/>
  <c r="AO479" i="204"/>
  <c r="AN479" i="205"/>
  <c r="AJ479" i="205"/>
  <c r="AO479" i="205"/>
  <c r="AL479" i="205"/>
  <c r="AP479" i="204"/>
  <c r="AL479" i="204"/>
  <c r="AP479" i="205"/>
  <c r="AN479" i="204"/>
  <c r="AM56" i="183"/>
  <c r="AP56" i="183"/>
  <c r="AJ121" i="161"/>
  <c r="O62" i="23"/>
  <c r="N62" i="23"/>
  <c r="AQ80" i="187"/>
  <c r="AO80" i="187"/>
  <c r="AM80" i="187"/>
  <c r="AK80" i="187"/>
  <c r="AP80" i="187"/>
  <c r="AN80" i="187"/>
  <c r="AL80" i="187"/>
  <c r="AJ80" i="187"/>
  <c r="AM53" i="205"/>
  <c r="AM275" i="205" s="1"/>
  <c r="AL57" i="183"/>
  <c r="AQ57" i="183"/>
  <c r="AO57" i="183"/>
  <c r="AK56" i="183"/>
  <c r="AJ57" i="183"/>
  <c r="AL56" i="183"/>
  <c r="AL65" i="183" s="1"/>
  <c r="AK57" i="183"/>
  <c r="AN56" i="183"/>
  <c r="AN65" i="183" s="1"/>
  <c r="AP57" i="183"/>
  <c r="AJ56" i="183"/>
  <c r="AJ65" i="183" s="1"/>
  <c r="AN57" i="183"/>
  <c r="AQ56" i="183"/>
  <c r="AQ65" i="183" s="1"/>
  <c r="AO56" i="183"/>
  <c r="AO65" i="183" s="1"/>
  <c r="H66" i="23"/>
  <c r="H68" i="23"/>
  <c r="H70" i="23"/>
  <c r="F76" i="23"/>
  <c r="F79" i="23"/>
  <c r="F78" i="23"/>
  <c r="F65" i="23"/>
  <c r="F67" i="23"/>
  <c r="F69" i="23"/>
  <c r="G66" i="23"/>
  <c r="G68" i="23"/>
  <c r="G70" i="23"/>
  <c r="G54" i="23"/>
  <c r="G80" i="23"/>
  <c r="G78" i="23"/>
  <c r="G76" i="23"/>
  <c r="H54" i="23"/>
  <c r="H78" i="23"/>
  <c r="H76" i="23"/>
  <c r="H74" i="23"/>
  <c r="I65" i="23"/>
  <c r="I67" i="23"/>
  <c r="I69" i="23"/>
  <c r="I75" i="23"/>
  <c r="I79" i="23"/>
  <c r="I77" i="23"/>
  <c r="J65" i="23"/>
  <c r="J67" i="23"/>
  <c r="J69" i="23"/>
  <c r="J76" i="23"/>
  <c r="J75" i="23"/>
  <c r="J78" i="23"/>
  <c r="K65" i="23"/>
  <c r="K67" i="23"/>
  <c r="K69" i="23"/>
  <c r="K77" i="23"/>
  <c r="K76" i="23"/>
  <c r="K79" i="23"/>
  <c r="L65" i="23"/>
  <c r="L67" i="23"/>
  <c r="L69" i="23"/>
  <c r="L54" i="23"/>
  <c r="L76" i="23"/>
  <c r="L74" i="23"/>
  <c r="L80" i="23"/>
  <c r="M66" i="23"/>
  <c r="M68" i="23"/>
  <c r="M70" i="23"/>
  <c r="M79" i="23"/>
  <c r="M77" i="23"/>
  <c r="M75" i="23"/>
  <c r="F80" i="23"/>
  <c r="F74" i="23"/>
  <c r="M54" i="23"/>
  <c r="G74" i="23"/>
  <c r="I76" i="23"/>
  <c r="K78" i="23"/>
  <c r="G71" i="23"/>
  <c r="I71" i="23"/>
  <c r="K71" i="23"/>
  <c r="M71" i="23"/>
  <c r="H65" i="23"/>
  <c r="H67" i="23"/>
  <c r="H69" i="23"/>
  <c r="F54" i="23"/>
  <c r="F77" i="23"/>
  <c r="F66" i="23"/>
  <c r="F68" i="23"/>
  <c r="F70" i="23"/>
  <c r="G65" i="23"/>
  <c r="G67" i="23"/>
  <c r="G69" i="23"/>
  <c r="G79" i="23"/>
  <c r="G77" i="23"/>
  <c r="G75" i="23"/>
  <c r="H80" i="23"/>
  <c r="H79" i="23"/>
  <c r="H77" i="23"/>
  <c r="I66" i="23"/>
  <c r="I68" i="23"/>
  <c r="I70" i="23"/>
  <c r="I54" i="23"/>
  <c r="I74" i="23"/>
  <c r="I80" i="23"/>
  <c r="I78" i="23"/>
  <c r="J66" i="23"/>
  <c r="J68" i="23"/>
  <c r="J70" i="23"/>
  <c r="J54" i="23"/>
  <c r="J74" i="23"/>
  <c r="J80" i="23"/>
  <c r="J79" i="23"/>
  <c r="K66" i="23"/>
  <c r="K68" i="23"/>
  <c r="K70" i="23"/>
  <c r="K54" i="23"/>
  <c r="K75" i="23"/>
  <c r="K74" i="23"/>
  <c r="K80" i="23"/>
  <c r="L66" i="23"/>
  <c r="L68" i="23"/>
  <c r="L70" i="23"/>
  <c r="L78" i="23"/>
  <c r="L77" i="23"/>
  <c r="L75" i="23"/>
  <c r="M65" i="23"/>
  <c r="M67" i="23"/>
  <c r="M69" i="23"/>
  <c r="M78" i="23"/>
  <c r="M76" i="23"/>
  <c r="M74" i="23"/>
  <c r="F75" i="23"/>
  <c r="H75" i="23"/>
  <c r="J77" i="23"/>
  <c r="L79" i="23"/>
  <c r="F71" i="23"/>
  <c r="H71" i="23"/>
  <c r="J71" i="23"/>
  <c r="L71" i="23"/>
  <c r="M80" i="23"/>
  <c r="AO43" i="9"/>
  <c r="AN43" i="9"/>
  <c r="AN60" i="9"/>
  <c r="AQ60" i="9"/>
  <c r="AP34" i="9"/>
  <c r="AO34" i="9"/>
  <c r="AM34" i="9"/>
  <c r="AK60" i="9"/>
  <c r="AJ34" i="9"/>
  <c r="AL43" i="9"/>
  <c r="AM43" i="9"/>
  <c r="AK52" i="9"/>
  <c r="AL47" i="9"/>
  <c r="AL53" i="9" s="1"/>
  <c r="AM52" i="9"/>
  <c r="AN47" i="9"/>
  <c r="AN53" i="9" s="1"/>
  <c r="AO52" i="9"/>
  <c r="AP47" i="9"/>
  <c r="AP53" i="9" s="1"/>
  <c r="AQ52" i="9"/>
  <c r="AM33" i="9"/>
  <c r="AM35" i="9" s="1"/>
  <c r="AM45" i="9" s="1"/>
  <c r="AJ33" i="9"/>
  <c r="AN33" i="9"/>
  <c r="AQ47" i="9"/>
  <c r="AQ53" i="9" s="1"/>
  <c r="AJ43" i="9"/>
  <c r="AL34" i="9"/>
  <c r="AN34" i="9"/>
  <c r="AP60" i="9"/>
  <c r="AO60" i="9"/>
  <c r="AM60" i="9"/>
  <c r="AL60" i="9"/>
  <c r="AK34" i="9"/>
  <c r="AP43" i="9"/>
  <c r="AK43" i="9"/>
  <c r="AK47" i="9"/>
  <c r="AK53" i="9" s="1"/>
  <c r="AL52" i="9"/>
  <c r="AM47" i="9"/>
  <c r="AM53" i="9" s="1"/>
  <c r="AN52" i="9"/>
  <c r="AO47" i="9"/>
  <c r="AO53" i="9" s="1"/>
  <c r="AP52" i="9"/>
  <c r="AO33" i="9"/>
  <c r="AK33" i="9"/>
  <c r="AL33" i="9"/>
  <c r="AP33" i="9"/>
  <c r="AK252" i="189"/>
  <c r="AO253" i="189"/>
  <c r="AJ254" i="189"/>
  <c r="AJ258" i="189"/>
  <c r="AJ179" i="189"/>
  <c r="AL87" i="212"/>
  <c r="AL53" i="212"/>
  <c r="AM87" i="212"/>
  <c r="AM53" i="212"/>
  <c r="AN87" i="212"/>
  <c r="AN53" i="212"/>
  <c r="AO53" i="212"/>
  <c r="AO87" i="212"/>
  <c r="AJ87" i="212"/>
  <c r="AJ53" i="212"/>
  <c r="AK87" i="212"/>
  <c r="AK53" i="212"/>
  <c r="AK270" i="212" s="1"/>
  <c r="AQ87" i="212"/>
  <c r="AQ53" i="212"/>
  <c r="AP53" i="212"/>
  <c r="AP87" i="212"/>
  <c r="AJ486" i="204" l="1"/>
  <c r="AM276" i="204"/>
  <c r="AQ276" i="204"/>
  <c r="AQ272" i="204"/>
  <c r="AO276" i="204"/>
  <c r="AL276" i="205"/>
  <c r="AK276" i="205"/>
  <c r="AN272" i="204"/>
  <c r="AN276" i="204"/>
  <c r="AP276" i="204"/>
  <c r="AK276" i="204"/>
  <c r="AL272" i="204"/>
  <c r="AO272" i="204"/>
  <c r="AL276" i="204"/>
  <c r="AP272" i="204"/>
  <c r="AK272" i="204"/>
  <c r="AN271" i="212"/>
  <c r="AN270" i="212"/>
  <c r="AN275" i="212"/>
  <c r="AN274" i="212"/>
  <c r="AO271" i="212"/>
  <c r="AK271" i="212"/>
  <c r="AO270" i="212"/>
  <c r="AO275" i="212"/>
  <c r="AK275" i="212"/>
  <c r="AO274" i="212"/>
  <c r="AK274" i="212"/>
  <c r="AP271" i="212"/>
  <c r="AL271" i="212"/>
  <c r="AP270" i="212"/>
  <c r="AL270" i="212"/>
  <c r="AP275" i="212"/>
  <c r="AL275" i="212"/>
  <c r="AP274" i="212"/>
  <c r="AL274" i="212"/>
  <c r="AQ271" i="212"/>
  <c r="AM271" i="212"/>
  <c r="AQ270" i="212"/>
  <c r="AM270" i="212"/>
  <c r="AQ275" i="212"/>
  <c r="AM275" i="212"/>
  <c r="AQ274" i="212"/>
  <c r="AM274" i="212"/>
  <c r="AQ274" i="205"/>
  <c r="AP274" i="205"/>
  <c r="AO274" i="205"/>
  <c r="AN275" i="205"/>
  <c r="AM274" i="205"/>
  <c r="AM276" i="205" s="1"/>
  <c r="AN274" i="205"/>
  <c r="AQ275" i="205"/>
  <c r="AP275" i="205"/>
  <c r="AO275" i="205"/>
  <c r="AQ270" i="205"/>
  <c r="AN270" i="205"/>
  <c r="AP270" i="205"/>
  <c r="AM270" i="205"/>
  <c r="AO270" i="205"/>
  <c r="AK35" i="9"/>
  <c r="AK45" i="9" s="1"/>
  <c r="AK62" i="183"/>
  <c r="AK65" i="183"/>
  <c r="AP66" i="183"/>
  <c r="AP65" i="183"/>
  <c r="AM66" i="183"/>
  <c r="AM65" i="183"/>
  <c r="AJ276" i="212"/>
  <c r="AP479" i="212"/>
  <c r="AP486" i="212" s="1"/>
  <c r="AP474" i="212" s="1"/>
  <c r="AN479" i="212"/>
  <c r="AN486" i="212" s="1"/>
  <c r="AN474" i="212" s="1"/>
  <c r="AM479" i="212"/>
  <c r="AM486" i="212" s="1"/>
  <c r="AM474" i="212" s="1"/>
  <c r="AL479" i="212"/>
  <c r="AL486" i="212" s="1"/>
  <c r="AL474" i="212" s="1"/>
  <c r="AQ479" i="212"/>
  <c r="AQ486" i="212" s="1"/>
  <c r="AQ474" i="212" s="1"/>
  <c r="AK479" i="212"/>
  <c r="AK486" i="212" s="1"/>
  <c r="AK474" i="212" s="1"/>
  <c r="AJ479" i="212"/>
  <c r="AJ486" i="212" s="1"/>
  <c r="AJ474" i="212" s="1"/>
  <c r="AO479" i="212"/>
  <c r="AO486" i="212" s="1"/>
  <c r="AO474" i="212" s="1"/>
  <c r="AO68" i="9"/>
  <c r="AM68" i="9"/>
  <c r="AQ68" i="9"/>
  <c r="AP68" i="9"/>
  <c r="AN68" i="9"/>
  <c r="AL68" i="9"/>
  <c r="AP61" i="183"/>
  <c r="AM62" i="183"/>
  <c r="AM479" i="205"/>
  <c r="AN486" i="204"/>
  <c r="AN474" i="204" s="1"/>
  <c r="AP486" i="205"/>
  <c r="AL486" i="204"/>
  <c r="AL474" i="204" s="1"/>
  <c r="AP486" i="204"/>
  <c r="AP474" i="204" s="1"/>
  <c r="AL486" i="205"/>
  <c r="AO486" i="205"/>
  <c r="AJ486" i="205"/>
  <c r="AN486" i="205"/>
  <c r="AO486" i="204"/>
  <c r="AO474" i="204" s="1"/>
  <c r="AQ486" i="205"/>
  <c r="AM61" i="183"/>
  <c r="AM64" i="183"/>
  <c r="AM67" i="183"/>
  <c r="AM63" i="183"/>
  <c r="AP67" i="183"/>
  <c r="AP62" i="183"/>
  <c r="AP63" i="183"/>
  <c r="AP64" i="183"/>
  <c r="AK68" i="9"/>
  <c r="AQ61" i="183"/>
  <c r="AQ66" i="183"/>
  <c r="AQ64" i="183"/>
  <c r="AJ67" i="183"/>
  <c r="AJ66" i="183"/>
  <c r="AJ64" i="183"/>
  <c r="AN62" i="183"/>
  <c r="AN66" i="183"/>
  <c r="AN64" i="183"/>
  <c r="AL62" i="183"/>
  <c r="AL66" i="183"/>
  <c r="AL64" i="183"/>
  <c r="AK61" i="183"/>
  <c r="AK66" i="183"/>
  <c r="AK64" i="183"/>
  <c r="AO61" i="183"/>
  <c r="AO66" i="183"/>
  <c r="AO64" i="183"/>
  <c r="AK63" i="183"/>
  <c r="AK67" i="183"/>
  <c r="AL67" i="183"/>
  <c r="AL35" i="9"/>
  <c r="AL45" i="9" s="1"/>
  <c r="AO35" i="9"/>
  <c r="AO45" i="9" s="1"/>
  <c r="AN61" i="183"/>
  <c r="AL61" i="183"/>
  <c r="AQ62" i="183"/>
  <c r="AJ62" i="183"/>
  <c r="AQ63" i="183"/>
  <c r="AL63" i="183"/>
  <c r="AN67" i="183"/>
  <c r="AJ61" i="183"/>
  <c r="AJ63" i="183"/>
  <c r="AN63" i="183"/>
  <c r="AQ67" i="183"/>
  <c r="AO67" i="183"/>
  <c r="AO63" i="183"/>
  <c r="AO62" i="183"/>
  <c r="AP35" i="9"/>
  <c r="AP45" i="9" s="1"/>
  <c r="AP54" i="9"/>
  <c r="AP59" i="9" s="1"/>
  <c r="AP61" i="9" s="1"/>
  <c r="AN54" i="9"/>
  <c r="AN59" i="9" s="1"/>
  <c r="AN61" i="9" s="1"/>
  <c r="AL54" i="9"/>
  <c r="AL59" i="9" s="1"/>
  <c r="AL61" i="9" s="1"/>
  <c r="AJ35" i="9"/>
  <c r="AJ45" i="9" s="1"/>
  <c r="J73" i="23"/>
  <c r="N70" i="23"/>
  <c r="O70" i="23"/>
  <c r="O66" i="23"/>
  <c r="N66" i="23"/>
  <c r="F73" i="23"/>
  <c r="O54" i="23"/>
  <c r="N54" i="23"/>
  <c r="H73" i="23"/>
  <c r="G73" i="23"/>
  <c r="N69" i="23"/>
  <c r="O69" i="23"/>
  <c r="N65" i="23"/>
  <c r="O65" i="23"/>
  <c r="AP122" i="187"/>
  <c r="AP115" i="187"/>
  <c r="AP105" i="187"/>
  <c r="AP125" i="187"/>
  <c r="AP90" i="187"/>
  <c r="AP102" i="187"/>
  <c r="AP93" i="187"/>
  <c r="AP112" i="187"/>
  <c r="AP132" i="187"/>
  <c r="AP135" i="187" s="1"/>
  <c r="AP57" i="187" s="1"/>
  <c r="AM90" i="187"/>
  <c r="AM125" i="187"/>
  <c r="AM105" i="187"/>
  <c r="AM132" i="187"/>
  <c r="AM135" i="187" s="1"/>
  <c r="AM57" i="187" s="1"/>
  <c r="AM93" i="187"/>
  <c r="AM115" i="187"/>
  <c r="AM102" i="187"/>
  <c r="AM108" i="187" s="1"/>
  <c r="AM94" i="195" s="1"/>
  <c r="AM112" i="187"/>
  <c r="AM122" i="187"/>
  <c r="AQ112" i="187"/>
  <c r="AQ132" i="187"/>
  <c r="AQ135" i="187" s="1"/>
  <c r="AQ57" i="187" s="1"/>
  <c r="AQ115" i="187"/>
  <c r="AQ125" i="187"/>
  <c r="AQ122" i="187"/>
  <c r="AQ93" i="187"/>
  <c r="AQ90" i="187"/>
  <c r="AQ105" i="187"/>
  <c r="AQ102" i="187"/>
  <c r="AK90" i="187"/>
  <c r="AK122" i="187"/>
  <c r="AK132" i="187"/>
  <c r="AK135" i="187" s="1"/>
  <c r="AK57" i="187" s="1"/>
  <c r="AK93" i="187"/>
  <c r="AK102" i="187"/>
  <c r="AK112" i="187"/>
  <c r="AK125" i="187"/>
  <c r="AK105" i="187"/>
  <c r="AK115" i="187"/>
  <c r="AN35" i="9"/>
  <c r="AN45" i="9" s="1"/>
  <c r="N74" i="23"/>
  <c r="N79" i="23"/>
  <c r="N71" i="23"/>
  <c r="O71" i="23"/>
  <c r="K73" i="23"/>
  <c r="I73" i="23"/>
  <c r="N68" i="23"/>
  <c r="O68" i="23"/>
  <c r="M73" i="23"/>
  <c r="L73" i="23"/>
  <c r="N67" i="23"/>
  <c r="O67" i="23"/>
  <c r="AJ102" i="187"/>
  <c r="AJ90" i="187"/>
  <c r="AJ112" i="187"/>
  <c r="AJ93" i="187"/>
  <c r="AJ132" i="187"/>
  <c r="AJ135" i="187" s="1"/>
  <c r="AJ57" i="187" s="1"/>
  <c r="AJ125" i="187"/>
  <c r="AJ115" i="187"/>
  <c r="AJ105" i="187"/>
  <c r="AJ122" i="187"/>
  <c r="AO90" i="187"/>
  <c r="AO112" i="187"/>
  <c r="AO105" i="187"/>
  <c r="AO115" i="187"/>
  <c r="AO93" i="187"/>
  <c r="AO102" i="187"/>
  <c r="AO125" i="187"/>
  <c r="AO132" i="187"/>
  <c r="AO135" i="187" s="1"/>
  <c r="AO57" i="187" s="1"/>
  <c r="AO122" i="187"/>
  <c r="AL115" i="187"/>
  <c r="AL105" i="187"/>
  <c r="AL102" i="187"/>
  <c r="AL90" i="187"/>
  <c r="AL132" i="187"/>
  <c r="AL135" i="187" s="1"/>
  <c r="AL57" i="187" s="1"/>
  <c r="AL125" i="187"/>
  <c r="AL122" i="187"/>
  <c r="AL112" i="187"/>
  <c r="AL93" i="187"/>
  <c r="AN90" i="187"/>
  <c r="AN93" i="187"/>
  <c r="AN105" i="187"/>
  <c r="AN115" i="187"/>
  <c r="AN102" i="187"/>
  <c r="AN132" i="187"/>
  <c r="AN135" i="187" s="1"/>
  <c r="AN57" i="187" s="1"/>
  <c r="AN112" i="187"/>
  <c r="AN122" i="187"/>
  <c r="AN125" i="187"/>
  <c r="AQ54" i="9"/>
  <c r="AQ59" i="9" s="1"/>
  <c r="AQ61" i="9" s="1"/>
  <c r="AO54" i="9"/>
  <c r="AO59" i="9" s="1"/>
  <c r="AO61" i="9" s="1"/>
  <c r="AM54" i="9"/>
  <c r="AM59" i="9" s="1"/>
  <c r="AM61" i="9" s="1"/>
  <c r="AK54" i="9"/>
  <c r="AK59" i="9" s="1"/>
  <c r="AK61" i="9" s="1"/>
  <c r="N75" i="23"/>
  <c r="N77" i="23"/>
  <c r="N80" i="23"/>
  <c r="N78" i="23"/>
  <c r="N76" i="23"/>
  <c r="AM272" i="204"/>
  <c r="AJ474" i="204" l="1"/>
  <c r="AP118" i="187"/>
  <c r="AP104" i="195" s="1"/>
  <c r="AM276" i="212"/>
  <c r="AL276" i="212"/>
  <c r="AK276" i="212"/>
  <c r="AO276" i="212"/>
  <c r="AQ276" i="212"/>
  <c r="AP276" i="212"/>
  <c r="AN276" i="212"/>
  <c r="AP272" i="212"/>
  <c r="AL272" i="212"/>
  <c r="AO272" i="212"/>
  <c r="AN276" i="205"/>
  <c r="AQ276" i="205"/>
  <c r="AK272" i="212"/>
  <c r="AQ272" i="212"/>
  <c r="AP276" i="205"/>
  <c r="AO276" i="205"/>
  <c r="AM272" i="212"/>
  <c r="AN272" i="212"/>
  <c r="AM118" i="187"/>
  <c r="AM104" i="195" s="1"/>
  <c r="AN108" i="187"/>
  <c r="AN94" i="195" s="1"/>
  <c r="AO128" i="187"/>
  <c r="AO114" i="195" s="1"/>
  <c r="AM486" i="205"/>
  <c r="AJ99" i="161"/>
  <c r="AM128" i="187"/>
  <c r="AM114" i="195" s="1"/>
  <c r="AN118" i="187"/>
  <c r="AN104" i="195" s="1"/>
  <c r="AN96" i="187"/>
  <c r="AL118" i="187"/>
  <c r="AL104" i="195" s="1"/>
  <c r="AP128" i="187"/>
  <c r="AP114" i="195" s="1"/>
  <c r="AQ108" i="187"/>
  <c r="AQ94" i="195" s="1"/>
  <c r="AQ96" i="187"/>
  <c r="AQ128" i="187"/>
  <c r="AQ114" i="195" s="1"/>
  <c r="AK12" i="267"/>
  <c r="AN128" i="187"/>
  <c r="AN114" i="195" s="1"/>
  <c r="AL96" i="187"/>
  <c r="AL128" i="187"/>
  <c r="AL114" i="195" s="1"/>
  <c r="AL108" i="187"/>
  <c r="AL94" i="195" s="1"/>
  <c r="AO108" i="187"/>
  <c r="AO94" i="195" s="1"/>
  <c r="AO118" i="187"/>
  <c r="AO104" i="195" s="1"/>
  <c r="AJ128" i="187"/>
  <c r="AJ114" i="195" s="1"/>
  <c r="AJ118" i="187"/>
  <c r="AJ104" i="195" s="1"/>
  <c r="AJ108" i="187"/>
  <c r="AJ94" i="195" s="1"/>
  <c r="AK118" i="187"/>
  <c r="AK104" i="195" s="1"/>
  <c r="AK128" i="187"/>
  <c r="AK114" i="195" s="1"/>
  <c r="AK108" i="187"/>
  <c r="AK94" i="195" s="1"/>
  <c r="AK96" i="187"/>
  <c r="AM96" i="187"/>
  <c r="AP108" i="187"/>
  <c r="AP94" i="195" s="1"/>
  <c r="N73" i="23"/>
  <c r="AP12" i="267"/>
  <c r="AQ12" i="267"/>
  <c r="AM12" i="267"/>
  <c r="AO12" i="267"/>
  <c r="AL12" i="267"/>
  <c r="AN12" i="267"/>
  <c r="AO96" i="187"/>
  <c r="AJ96" i="187"/>
  <c r="AQ118" i="187"/>
  <c r="AQ104" i="195" s="1"/>
  <c r="AP96" i="187"/>
  <c r="I85" i="189"/>
  <c r="AJ101" i="161" l="1"/>
  <c r="AJ113" i="161" s="1"/>
  <c r="AJ186" i="161"/>
  <c r="AP228" i="161"/>
  <c r="AP186" i="161"/>
  <c r="AP189" i="161" s="1"/>
  <c r="AP50" i="187" s="1"/>
  <c r="AJ228" i="161"/>
  <c r="AM228" i="161"/>
  <c r="AM186" i="161"/>
  <c r="AM189" i="161" s="1"/>
  <c r="AM50" i="187" s="1"/>
  <c r="AL228" i="161"/>
  <c r="AL186" i="161"/>
  <c r="AL189" i="161" s="1"/>
  <c r="AL50" i="187" s="1"/>
  <c r="AQ228" i="161"/>
  <c r="AQ186" i="161"/>
  <c r="AQ189" i="161" s="1"/>
  <c r="AQ50" i="187" s="1"/>
  <c r="AN228" i="161"/>
  <c r="AN186" i="161"/>
  <c r="AN189" i="161" s="1"/>
  <c r="AN50" i="187" s="1"/>
  <c r="AO228" i="161"/>
  <c r="AO186" i="161"/>
  <c r="AO189" i="161" s="1"/>
  <c r="AO50" i="187" s="1"/>
  <c r="AK228" i="161"/>
  <c r="AK186" i="161"/>
  <c r="AK189" i="161" s="1"/>
  <c r="AK50" i="187" s="1"/>
  <c r="AK99" i="161"/>
  <c r="AQ89" i="189"/>
  <c r="AJ89" i="189"/>
  <c r="AM89" i="189"/>
  <c r="AK89" i="189"/>
  <c r="AL89" i="189"/>
  <c r="AN89" i="189"/>
  <c r="AP89" i="189"/>
  <c r="AO89" i="189"/>
  <c r="I83" i="189"/>
  <c r="AM51" i="189"/>
  <c r="AP51" i="189"/>
  <c r="AN51" i="189"/>
  <c r="AO51" i="189"/>
  <c r="AK51" i="189"/>
  <c r="AL51" i="189"/>
  <c r="AJ51" i="189"/>
  <c r="AQ51" i="189"/>
  <c r="AJ122" i="161" l="1"/>
  <c r="AK101" i="161"/>
  <c r="AK122" i="161" s="1"/>
  <c r="AJ189" i="161"/>
  <c r="AJ50" i="187" s="1"/>
  <c r="AJ177" i="161"/>
  <c r="AJ49" i="187"/>
  <c r="AP177" i="161"/>
  <c r="AK177" i="161"/>
  <c r="AO177" i="161"/>
  <c r="AN177" i="161"/>
  <c r="AQ177" i="161"/>
  <c r="AL177" i="161"/>
  <c r="AM177" i="161"/>
  <c r="AK49" i="187"/>
  <c r="AO49" i="187"/>
  <c r="AN49" i="187"/>
  <c r="AQ49" i="187"/>
  <c r="AL49" i="187"/>
  <c r="AM49" i="187"/>
  <c r="AP49" i="187"/>
  <c r="AL99" i="161"/>
  <c r="AJ153" i="161"/>
  <c r="AK153" i="161" s="1"/>
  <c r="AL153" i="161" s="1"/>
  <c r="AM153" i="161" s="1"/>
  <c r="AN153" i="161" s="1"/>
  <c r="AO153" i="161" s="1"/>
  <c r="AP153" i="161" s="1"/>
  <c r="AQ153" i="161" s="1"/>
  <c r="I77" i="161"/>
  <c r="AK113" i="161" l="1"/>
  <c r="AL101" i="161"/>
  <c r="AL113" i="161" s="1"/>
  <c r="AM99" i="161"/>
  <c r="AK120" i="161"/>
  <c r="AO120" i="161"/>
  <c r="AN120" i="161"/>
  <c r="AQ120" i="161"/>
  <c r="AM87" i="277"/>
  <c r="AM53" i="277"/>
  <c r="AQ87" i="277"/>
  <c r="AQ53" i="277"/>
  <c r="AM87" i="278"/>
  <c r="AM53" i="278"/>
  <c r="AQ87" i="278"/>
  <c r="AQ53" i="278"/>
  <c r="AM87" i="279"/>
  <c r="AM53" i="279"/>
  <c r="AQ87" i="279"/>
  <c r="AQ53" i="279"/>
  <c r="AM87" i="280"/>
  <c r="AM53" i="280"/>
  <c r="AQ87" i="280"/>
  <c r="AQ53" i="280"/>
  <c r="AM87" i="281"/>
  <c r="AM53" i="281"/>
  <c r="AQ87" i="281"/>
  <c r="AQ53" i="281"/>
  <c r="AM87" i="282"/>
  <c r="AM53" i="282"/>
  <c r="AQ87" i="282"/>
  <c r="AQ53" i="282"/>
  <c r="AL87" i="277"/>
  <c r="AL53" i="277"/>
  <c r="AP87" i="277"/>
  <c r="AP53" i="277"/>
  <c r="AL87" i="278"/>
  <c r="AL53" i="278"/>
  <c r="AP87" i="278"/>
  <c r="AP53" i="278"/>
  <c r="AL87" i="279"/>
  <c r="AL53" i="279"/>
  <c r="AP87" i="279"/>
  <c r="AP53" i="279"/>
  <c r="AL87" i="280"/>
  <c r="AL53" i="280"/>
  <c r="AP87" i="280"/>
  <c r="AP53" i="280"/>
  <c r="AL87" i="281"/>
  <c r="AL53" i="281"/>
  <c r="AP87" i="281"/>
  <c r="AP53" i="281"/>
  <c r="AL87" i="282"/>
  <c r="AL53" i="282"/>
  <c r="AP87" i="282"/>
  <c r="AP53" i="282"/>
  <c r="AP120" i="161"/>
  <c r="AL120" i="161"/>
  <c r="AM120" i="161"/>
  <c r="AJ120" i="161"/>
  <c r="AK87" i="277"/>
  <c r="AK53" i="277"/>
  <c r="AO87" i="277"/>
  <c r="AO53" i="277"/>
  <c r="AK87" i="278"/>
  <c r="AK53" i="278"/>
  <c r="AO87" i="278"/>
  <c r="AO53" i="278"/>
  <c r="AK87" i="279"/>
  <c r="AK53" i="279"/>
  <c r="AO87" i="279"/>
  <c r="AO53" i="279"/>
  <c r="AK87" i="280"/>
  <c r="AK53" i="280"/>
  <c r="AO87" i="280"/>
  <c r="AO53" i="280"/>
  <c r="AK87" i="281"/>
  <c r="AK53" i="281"/>
  <c r="AO87" i="281"/>
  <c r="AO53" i="281"/>
  <c r="AK87" i="282"/>
  <c r="AK53" i="282"/>
  <c r="AO87" i="282"/>
  <c r="AO53" i="282"/>
  <c r="AJ87" i="277"/>
  <c r="AJ53" i="277"/>
  <c r="AN87" i="277"/>
  <c r="AN53" i="277"/>
  <c r="AJ87" i="278"/>
  <c r="AJ53" i="278"/>
  <c r="AN87" i="278"/>
  <c r="AN53" i="278"/>
  <c r="AJ87" i="279"/>
  <c r="AJ53" i="279"/>
  <c r="AN87" i="279"/>
  <c r="AN53" i="279"/>
  <c r="AJ87" i="280"/>
  <c r="AJ53" i="280"/>
  <c r="AN87" i="280"/>
  <c r="AN53" i="280"/>
  <c r="AJ87" i="281"/>
  <c r="AJ53" i="281"/>
  <c r="AN87" i="281"/>
  <c r="AN53" i="281"/>
  <c r="AJ87" i="282"/>
  <c r="AJ53" i="282"/>
  <c r="AN87" i="282"/>
  <c r="AN53" i="282"/>
  <c r="AL53" i="189"/>
  <c r="AL152" i="161"/>
  <c r="H83" i="23"/>
  <c r="AJ53" i="189"/>
  <c r="AJ152" i="161"/>
  <c r="AJ61" i="161"/>
  <c r="F83" i="23"/>
  <c r="AN53" i="189"/>
  <c r="AN152" i="161"/>
  <c r="J83" i="23"/>
  <c r="AK53" i="189"/>
  <c r="AK152" i="161"/>
  <c r="G83" i="23"/>
  <c r="AQ53" i="189"/>
  <c r="AQ152" i="161"/>
  <c r="M83" i="23"/>
  <c r="K83" i="23"/>
  <c r="AO152" i="161"/>
  <c r="AO53" i="189"/>
  <c r="AM53" i="189"/>
  <c r="I83" i="23"/>
  <c r="AM152" i="161"/>
  <c r="L83" i="23"/>
  <c r="AP152" i="161"/>
  <c r="AP53" i="189"/>
  <c r="AQ53" i="217"/>
  <c r="AQ87" i="217"/>
  <c r="AO53" i="217"/>
  <c r="AO87" i="217"/>
  <c r="AM87" i="217"/>
  <c r="AM53" i="217"/>
  <c r="AP53" i="217"/>
  <c r="AP87" i="217"/>
  <c r="AL53" i="217"/>
  <c r="AL87" i="217"/>
  <c r="AJ87" i="217"/>
  <c r="AJ53" i="217"/>
  <c r="AN87" i="217"/>
  <c r="AN53" i="217"/>
  <c r="AK87" i="217"/>
  <c r="AK53" i="217"/>
  <c r="AN271" i="282" l="1"/>
  <c r="AN270" i="282"/>
  <c r="AN275" i="282"/>
  <c r="AN274" i="282"/>
  <c r="AO271" i="282"/>
  <c r="AK271" i="282"/>
  <c r="AO270" i="282"/>
  <c r="AK270" i="282"/>
  <c r="AO275" i="282"/>
  <c r="AK275" i="282"/>
  <c r="AO274" i="282"/>
  <c r="AK274" i="282"/>
  <c r="AP271" i="282"/>
  <c r="AL271" i="282"/>
  <c r="AP270" i="282"/>
  <c r="AL270" i="282"/>
  <c r="AP275" i="282"/>
  <c r="AL275" i="282"/>
  <c r="AP274" i="282"/>
  <c r="AL274" i="282"/>
  <c r="AQ271" i="282"/>
  <c r="AM271" i="282"/>
  <c r="AQ270" i="282"/>
  <c r="AM270" i="282"/>
  <c r="AQ275" i="282"/>
  <c r="AM275" i="282"/>
  <c r="AQ274" i="282"/>
  <c r="AM274" i="282"/>
  <c r="AN270" i="281"/>
  <c r="AN275" i="281"/>
  <c r="AN274" i="281"/>
  <c r="AO270" i="281"/>
  <c r="AK270" i="281"/>
  <c r="AO275" i="281"/>
  <c r="AK275" i="281"/>
  <c r="AO274" i="281"/>
  <c r="AK274" i="281"/>
  <c r="AP270" i="281"/>
  <c r="AL270" i="281"/>
  <c r="AP275" i="281"/>
  <c r="AL275" i="281"/>
  <c r="AP274" i="281"/>
  <c r="AL274" i="281"/>
  <c r="AQ270" i="281"/>
  <c r="AM270" i="281"/>
  <c r="AQ275" i="281"/>
  <c r="AM275" i="281"/>
  <c r="AQ274" i="281"/>
  <c r="AM274" i="281"/>
  <c r="AN271" i="280"/>
  <c r="AN270" i="280"/>
  <c r="AN275" i="280"/>
  <c r="AN274" i="280"/>
  <c r="AO271" i="280"/>
  <c r="AK271" i="280"/>
  <c r="AO270" i="280"/>
  <c r="AK270" i="280"/>
  <c r="AO275" i="280"/>
  <c r="AK275" i="280"/>
  <c r="AO274" i="280"/>
  <c r="AK274" i="280"/>
  <c r="AP271" i="280"/>
  <c r="AL271" i="280"/>
  <c r="AP270" i="280"/>
  <c r="AL270" i="280"/>
  <c r="AP275" i="280"/>
  <c r="AL275" i="280"/>
  <c r="AP274" i="280"/>
  <c r="AL274" i="280"/>
  <c r="AQ271" i="280"/>
  <c r="AM271" i="280"/>
  <c r="AQ270" i="280"/>
  <c r="AM270" i="280"/>
  <c r="AQ275" i="280"/>
  <c r="AM275" i="280"/>
  <c r="AQ274" i="280"/>
  <c r="AM274" i="280"/>
  <c r="AN271" i="279"/>
  <c r="AN270" i="279"/>
  <c r="AN275" i="279"/>
  <c r="AN274" i="279"/>
  <c r="AO271" i="279"/>
  <c r="AK271" i="279"/>
  <c r="AO270" i="279"/>
  <c r="AK270" i="279"/>
  <c r="AO275" i="279"/>
  <c r="AK275" i="279"/>
  <c r="AO274" i="279"/>
  <c r="AK274" i="279"/>
  <c r="AP271" i="279"/>
  <c r="AL271" i="279"/>
  <c r="AP270" i="279"/>
  <c r="AL270" i="279"/>
  <c r="AP275" i="279"/>
  <c r="AL275" i="279"/>
  <c r="AP274" i="279"/>
  <c r="AL274" i="279"/>
  <c r="AQ271" i="279"/>
  <c r="AM271" i="279"/>
  <c r="AQ270" i="279"/>
  <c r="AM270" i="279"/>
  <c r="AQ275" i="279"/>
  <c r="AM275" i="279"/>
  <c r="AQ274" i="279"/>
  <c r="AM274" i="279"/>
  <c r="AN271" i="278"/>
  <c r="AN270" i="278"/>
  <c r="AN275" i="278"/>
  <c r="AN274" i="278"/>
  <c r="AO271" i="278"/>
  <c r="AK271" i="278"/>
  <c r="AO270" i="278"/>
  <c r="AK270" i="278"/>
  <c r="AO275" i="278"/>
  <c r="AK275" i="278"/>
  <c r="AO274" i="278"/>
  <c r="AK274" i="278"/>
  <c r="AP271" i="278"/>
  <c r="AL271" i="278"/>
  <c r="AP270" i="278"/>
  <c r="AL270" i="278"/>
  <c r="AP275" i="278"/>
  <c r="AL275" i="278"/>
  <c r="AP274" i="278"/>
  <c r="AL274" i="278"/>
  <c r="AQ271" i="278"/>
  <c r="AM271" i="278"/>
  <c r="AQ270" i="278"/>
  <c r="AM270" i="278"/>
  <c r="AQ275" i="278"/>
  <c r="AM275" i="278"/>
  <c r="AQ274" i="278"/>
  <c r="AM274" i="278"/>
  <c r="AN271" i="277"/>
  <c r="AN270" i="277"/>
  <c r="AN275" i="277"/>
  <c r="AN274" i="277"/>
  <c r="AO271" i="277"/>
  <c r="AK271" i="277"/>
  <c r="AO270" i="277"/>
  <c r="AK270" i="277"/>
  <c r="AO275" i="277"/>
  <c r="AK275" i="277"/>
  <c r="AO274" i="277"/>
  <c r="AK274" i="277"/>
  <c r="AP271" i="277"/>
  <c r="AL271" i="277"/>
  <c r="AP270" i="277"/>
  <c r="AL270" i="277"/>
  <c r="AP275" i="277"/>
  <c r="AL275" i="277"/>
  <c r="AP274" i="277"/>
  <c r="AL274" i="277"/>
  <c r="AQ271" i="277"/>
  <c r="AM271" i="277"/>
  <c r="AQ270" i="277"/>
  <c r="AM270" i="277"/>
  <c r="AQ275" i="277"/>
  <c r="AM275" i="277"/>
  <c r="AQ274" i="277"/>
  <c r="AM274" i="277"/>
  <c r="AN271" i="217"/>
  <c r="AN270" i="217"/>
  <c r="AN275" i="217"/>
  <c r="AN274" i="217"/>
  <c r="AO271" i="217"/>
  <c r="AK271" i="217"/>
  <c r="AO270" i="217"/>
  <c r="AK270" i="217"/>
  <c r="AO275" i="217"/>
  <c r="AK275" i="217"/>
  <c r="AO274" i="217"/>
  <c r="AK274" i="217"/>
  <c r="AP271" i="217"/>
  <c r="AL271" i="217"/>
  <c r="AP270" i="217"/>
  <c r="AL270" i="217"/>
  <c r="AP275" i="217"/>
  <c r="AL275" i="217"/>
  <c r="AP274" i="217"/>
  <c r="AL274" i="217"/>
  <c r="AQ271" i="217"/>
  <c r="AM271" i="217"/>
  <c r="AQ270" i="217"/>
  <c r="AM270" i="217"/>
  <c r="AQ275" i="217"/>
  <c r="AM275" i="217"/>
  <c r="AQ274" i="217"/>
  <c r="AM274" i="217"/>
  <c r="AO275" i="189"/>
  <c r="AQ275" i="189"/>
  <c r="AM275" i="189"/>
  <c r="AL275" i="189"/>
  <c r="AK275" i="189"/>
  <c r="AN275" i="189"/>
  <c r="AP275" i="189"/>
  <c r="AL122" i="161"/>
  <c r="AL124" i="161" s="1"/>
  <c r="AM101" i="161"/>
  <c r="AM122" i="161" s="1"/>
  <c r="AM124" i="161" s="1"/>
  <c r="AJ124" i="161"/>
  <c r="AK124" i="161"/>
  <c r="AJ276" i="282"/>
  <c r="AJ276" i="281"/>
  <c r="AJ276" i="280"/>
  <c r="AJ276" i="279"/>
  <c r="AJ276" i="278"/>
  <c r="AJ276" i="277"/>
  <c r="AJ276" i="189"/>
  <c r="AN479" i="217"/>
  <c r="AN486" i="217" s="1"/>
  <c r="AN474" i="217" s="1"/>
  <c r="AL479" i="217"/>
  <c r="AL486" i="217" s="1"/>
  <c r="AL474" i="217" s="1"/>
  <c r="AP479" i="217"/>
  <c r="AP486" i="217" s="1"/>
  <c r="AP474" i="217" s="1"/>
  <c r="AO479" i="217"/>
  <c r="AO486" i="217" s="1"/>
  <c r="AO474" i="217" s="1"/>
  <c r="AQ479" i="217"/>
  <c r="AQ486" i="217" s="1"/>
  <c r="AQ474" i="217" s="1"/>
  <c r="AK479" i="217"/>
  <c r="AJ479" i="217"/>
  <c r="AJ486" i="217" s="1"/>
  <c r="AJ474" i="217" s="1"/>
  <c r="AJ276" i="217"/>
  <c r="AM479" i="217"/>
  <c r="AM486" i="217" s="1"/>
  <c r="AM474" i="217" s="1"/>
  <c r="AN479" i="282"/>
  <c r="AN478" i="189" s="1"/>
  <c r="AJ479" i="282"/>
  <c r="AJ478" i="189" s="1"/>
  <c r="AN479" i="281"/>
  <c r="AJ479" i="281"/>
  <c r="AN479" i="280"/>
  <c r="AN486" i="280" s="1"/>
  <c r="AN474" i="280" s="1"/>
  <c r="AJ479" i="280"/>
  <c r="AJ486" i="280" s="1"/>
  <c r="AJ474" i="280" s="1"/>
  <c r="AN479" i="279"/>
  <c r="AJ479" i="279"/>
  <c r="AN479" i="278"/>
  <c r="AN486" i="278" s="1"/>
  <c r="AN474" i="278" s="1"/>
  <c r="AJ479" i="278"/>
  <c r="AJ486" i="278" s="1"/>
  <c r="AJ474" i="278" s="1"/>
  <c r="AN479" i="277"/>
  <c r="AN486" i="277" s="1"/>
  <c r="AN474" i="277" s="1"/>
  <c r="AJ479" i="277"/>
  <c r="AJ486" i="277" s="1"/>
  <c r="AJ474" i="277" s="1"/>
  <c r="AO479" i="282"/>
  <c r="AO478" i="189" s="1"/>
  <c r="AK479" i="282"/>
  <c r="AK478" i="189" s="1"/>
  <c r="AO479" i="281"/>
  <c r="AK479" i="281"/>
  <c r="AO479" i="280"/>
  <c r="AO486" i="280" s="1"/>
  <c r="AO474" i="280" s="1"/>
  <c r="AK479" i="280"/>
  <c r="AK486" i="280" s="1"/>
  <c r="AK474" i="280" s="1"/>
  <c r="AO479" i="279"/>
  <c r="AK479" i="279"/>
  <c r="AO479" i="278"/>
  <c r="AO486" i="278" s="1"/>
  <c r="AO474" i="278" s="1"/>
  <c r="AK479" i="278"/>
  <c r="AK486" i="278" s="1"/>
  <c r="AK474" i="278" s="1"/>
  <c r="AO479" i="277"/>
  <c r="AO486" i="277" s="1"/>
  <c r="AO474" i="277" s="1"/>
  <c r="AK479" i="277"/>
  <c r="AK486" i="277" s="1"/>
  <c r="AK474" i="277" s="1"/>
  <c r="AP479" i="282"/>
  <c r="AP478" i="189" s="1"/>
  <c r="AL479" i="282"/>
  <c r="AL478" i="189" s="1"/>
  <c r="AP479" i="281"/>
  <c r="AL479" i="281"/>
  <c r="AP479" i="280"/>
  <c r="AP486" i="280" s="1"/>
  <c r="AP474" i="280" s="1"/>
  <c r="AL479" i="280"/>
  <c r="AL486" i="280" s="1"/>
  <c r="AL474" i="280" s="1"/>
  <c r="AP479" i="279"/>
  <c r="AL479" i="279"/>
  <c r="AP479" i="278"/>
  <c r="AP486" i="278" s="1"/>
  <c r="AP474" i="278" s="1"/>
  <c r="AL479" i="278"/>
  <c r="AL486" i="278" s="1"/>
  <c r="AL474" i="278" s="1"/>
  <c r="AP479" i="277"/>
  <c r="AP486" i="277" s="1"/>
  <c r="AP474" i="277" s="1"/>
  <c r="AL479" i="277"/>
  <c r="AL486" i="277" s="1"/>
  <c r="AL474" i="277" s="1"/>
  <c r="AQ479" i="282"/>
  <c r="AQ478" i="189" s="1"/>
  <c r="AM479" i="282"/>
  <c r="AM478" i="189" s="1"/>
  <c r="AQ479" i="281"/>
  <c r="AM479" i="281"/>
  <c r="AQ479" i="280"/>
  <c r="AQ486" i="280" s="1"/>
  <c r="AQ474" i="280" s="1"/>
  <c r="AM479" i="280"/>
  <c r="AM486" i="280" s="1"/>
  <c r="AM474" i="280" s="1"/>
  <c r="AQ479" i="279"/>
  <c r="AM479" i="279"/>
  <c r="AQ479" i="278"/>
  <c r="AQ486" i="278" s="1"/>
  <c r="AQ474" i="278" s="1"/>
  <c r="AM479" i="278"/>
  <c r="AM486" i="278" s="1"/>
  <c r="AM474" i="278" s="1"/>
  <c r="AQ479" i="277"/>
  <c r="AQ486" i="277" s="1"/>
  <c r="AQ474" i="277" s="1"/>
  <c r="AM479" i="277"/>
  <c r="AM486" i="277" s="1"/>
  <c r="AM474" i="277" s="1"/>
  <c r="AN87" i="189"/>
  <c r="AJ87" i="189"/>
  <c r="AO87" i="189"/>
  <c r="AP87" i="189"/>
  <c r="AQ87" i="189"/>
  <c r="AM87" i="189"/>
  <c r="AL87" i="189"/>
  <c r="AK87" i="189"/>
  <c r="AJ28" i="161"/>
  <c r="AL28" i="161"/>
  <c r="AN28" i="161"/>
  <c r="AP28" i="161"/>
  <c r="AK28" i="161"/>
  <c r="AM28" i="161"/>
  <c r="AO28" i="161"/>
  <c r="AQ28" i="161"/>
  <c r="AO479" i="189"/>
  <c r="AM479" i="189"/>
  <c r="AQ479" i="189"/>
  <c r="AP479" i="189"/>
  <c r="AK479" i="189"/>
  <c r="AN479" i="189"/>
  <c r="AJ479" i="189"/>
  <c r="AL479" i="189"/>
  <c r="AK486" i="217"/>
  <c r="AK474" i="217" s="1"/>
  <c r="AQ16" i="15"/>
  <c r="AP16" i="15"/>
  <c r="AJ16" i="15"/>
  <c r="AL16" i="15"/>
  <c r="AO16" i="15"/>
  <c r="AK16" i="15"/>
  <c r="AN16" i="15"/>
  <c r="AM16" i="15"/>
  <c r="AJ63" i="161"/>
  <c r="AN99" i="161"/>
  <c r="AP41" i="9"/>
  <c r="AP42" i="9" s="1"/>
  <c r="AO41" i="9"/>
  <c r="AO42" i="9" s="1"/>
  <c r="AK41" i="9"/>
  <c r="AK42" i="9" s="1"/>
  <c r="AN41" i="9"/>
  <c r="AN42" i="9" s="1"/>
  <c r="AJ41" i="9"/>
  <c r="AJ42" i="9" s="1"/>
  <c r="AL41" i="9"/>
  <c r="AL42" i="9" s="1"/>
  <c r="AM41" i="9"/>
  <c r="AM42" i="9" s="1"/>
  <c r="O83" i="23"/>
  <c r="AP276" i="279" l="1"/>
  <c r="AQ276" i="217"/>
  <c r="AQ276" i="279"/>
  <c r="AO276" i="279"/>
  <c r="AQ276" i="282"/>
  <c r="AP276" i="282"/>
  <c r="AO276" i="282"/>
  <c r="AN276" i="279"/>
  <c r="AQ276" i="277"/>
  <c r="AP276" i="277"/>
  <c r="AO276" i="277"/>
  <c r="AQ276" i="278"/>
  <c r="AP276" i="278"/>
  <c r="AO276" i="278"/>
  <c r="AQ276" i="281"/>
  <c r="AP276" i="281"/>
  <c r="AN276" i="278"/>
  <c r="AN276" i="282"/>
  <c r="AO276" i="281"/>
  <c r="AM276" i="217"/>
  <c r="AL276" i="217"/>
  <c r="AK276" i="217"/>
  <c r="AM276" i="277"/>
  <c r="AL276" i="277"/>
  <c r="AK276" i="277"/>
  <c r="AM276" i="278"/>
  <c r="AL276" i="278"/>
  <c r="AK276" i="278"/>
  <c r="AM276" i="279"/>
  <c r="AL276" i="279"/>
  <c r="AK276" i="279"/>
  <c r="AM276" i="280"/>
  <c r="AL276" i="280"/>
  <c r="AK276" i="280"/>
  <c r="AM276" i="281"/>
  <c r="AL276" i="281"/>
  <c r="AK276" i="281"/>
  <c r="AM276" i="282"/>
  <c r="AL276" i="282"/>
  <c r="AK276" i="282"/>
  <c r="AK129" i="161"/>
  <c r="AM129" i="161"/>
  <c r="AJ129" i="161"/>
  <c r="AL129" i="161"/>
  <c r="AN276" i="217"/>
  <c r="AN276" i="281"/>
  <c r="AP276" i="217"/>
  <c r="AN276" i="277"/>
  <c r="AO276" i="217"/>
  <c r="AQ276" i="280"/>
  <c r="AP276" i="280"/>
  <c r="AO276" i="280"/>
  <c r="AN276" i="280"/>
  <c r="AN270" i="189"/>
  <c r="AQ274" i="189"/>
  <c r="AQ270" i="189"/>
  <c r="AP274" i="189"/>
  <c r="AP270" i="189"/>
  <c r="AO274" i="189"/>
  <c r="AO270" i="189"/>
  <c r="AM274" i="189"/>
  <c r="AM270" i="189"/>
  <c r="AL274" i="189"/>
  <c r="AL270" i="189"/>
  <c r="AK274" i="189"/>
  <c r="AK270" i="189"/>
  <c r="AN274" i="189"/>
  <c r="AO74" i="161"/>
  <c r="AM74" i="161"/>
  <c r="AM113" i="161"/>
  <c r="AN101" i="161"/>
  <c r="AN122" i="161" s="1"/>
  <c r="AN124" i="161" s="1"/>
  <c r="AN74" i="161"/>
  <c r="AQ74" i="161"/>
  <c r="AP74" i="161"/>
  <c r="AL74" i="161"/>
  <c r="AK74" i="161"/>
  <c r="AQ272" i="278"/>
  <c r="AQ272" i="280"/>
  <c r="AQ272" i="282"/>
  <c r="AL272" i="279"/>
  <c r="AP272" i="279"/>
  <c r="AK272" i="278"/>
  <c r="AK272" i="280"/>
  <c r="AK272" i="282"/>
  <c r="AN272" i="279"/>
  <c r="AO99" i="161"/>
  <c r="AO272" i="279"/>
  <c r="AL272" i="277"/>
  <c r="AP272" i="277"/>
  <c r="AO272" i="277"/>
  <c r="AN272" i="277"/>
  <c r="AQ272" i="277"/>
  <c r="AQ272" i="279"/>
  <c r="AN272" i="278"/>
  <c r="AN272" i="280"/>
  <c r="AN272" i="282"/>
  <c r="AM272" i="277"/>
  <c r="AM272" i="278"/>
  <c r="AM272" i="279"/>
  <c r="AM272" i="280"/>
  <c r="AM272" i="282"/>
  <c r="AL272" i="278"/>
  <c r="AP272" i="278"/>
  <c r="AL272" i="280"/>
  <c r="AP272" i="280"/>
  <c r="AL272" i="282"/>
  <c r="AP272" i="282"/>
  <c r="AK272" i="277"/>
  <c r="AO272" i="278"/>
  <c r="AK272" i="279"/>
  <c r="AO272" i="280"/>
  <c r="AO272" i="282"/>
  <c r="AJ272" i="277"/>
  <c r="AJ272" i="278"/>
  <c r="AJ272" i="279"/>
  <c r="AJ272" i="280"/>
  <c r="AJ272" i="282"/>
  <c r="AK272" i="217"/>
  <c r="AM33" i="15"/>
  <c r="AM17" i="15"/>
  <c r="AL33" i="15"/>
  <c r="AL17" i="15"/>
  <c r="AN33" i="15"/>
  <c r="AN17" i="15"/>
  <c r="AK17" i="15"/>
  <c r="AK33" i="15"/>
  <c r="AP17" i="15"/>
  <c r="AP33" i="15"/>
  <c r="AQ272" i="217"/>
  <c r="AQ33" i="15"/>
  <c r="AQ17" i="15"/>
  <c r="AJ33" i="15"/>
  <c r="AJ17" i="15"/>
  <c r="AO17" i="15"/>
  <c r="AO33" i="15"/>
  <c r="AN272" i="217"/>
  <c r="AO272" i="217"/>
  <c r="AP272" i="217"/>
  <c r="AL272" i="217"/>
  <c r="AM272" i="217"/>
  <c r="AJ272" i="217"/>
  <c r="AN276" i="189" l="1"/>
  <c r="AL276" i="189"/>
  <c r="AO276" i="189"/>
  <c r="AQ276" i="189"/>
  <c r="AK276" i="189"/>
  <c r="AM276" i="189"/>
  <c r="AP276" i="189"/>
  <c r="AN129" i="161"/>
  <c r="AN113" i="161"/>
  <c r="AO101" i="161"/>
  <c r="AO113" i="161" s="1"/>
  <c r="AQ99" i="161"/>
  <c r="AP99" i="161"/>
  <c r="AO122" i="161" l="1"/>
  <c r="AO124" i="161" s="1"/>
  <c r="AQ101" i="161"/>
  <c r="AQ113" i="161" s="1"/>
  <c r="AP101" i="161"/>
  <c r="AP113" i="161" s="1"/>
  <c r="AO129" i="161" l="1"/>
  <c r="AP122" i="161"/>
  <c r="AP124" i="161" s="1"/>
  <c r="AQ122" i="161"/>
  <c r="AQ124" i="161" s="1"/>
  <c r="AP81" i="195"/>
  <c r="AN81" i="195"/>
  <c r="AN85" i="195"/>
  <c r="AJ85" i="195"/>
  <c r="AP69" i="195"/>
  <c r="AP73" i="195"/>
  <c r="AJ73" i="195"/>
  <c r="AP42" i="195"/>
  <c r="AL35" i="195"/>
  <c r="AL30" i="195"/>
  <c r="AL29" i="195"/>
  <c r="AP85" i="195"/>
  <c r="AL85" i="195"/>
  <c r="AP80" i="195"/>
  <c r="AP79" i="195"/>
  <c r="AP68" i="195"/>
  <c r="AP67" i="195"/>
  <c r="AP59" i="195"/>
  <c r="AJ59" i="195"/>
  <c r="AP54" i="195"/>
  <c r="AP53" i="195"/>
  <c r="AP43" i="195"/>
  <c r="AP47" i="195"/>
  <c r="AJ47" i="195"/>
  <c r="AP41" i="195"/>
  <c r="AQ81" i="195"/>
  <c r="AK81" i="195"/>
  <c r="AQ85" i="195"/>
  <c r="AK85" i="195"/>
  <c r="AQ80" i="195"/>
  <c r="AO80" i="195"/>
  <c r="AQ79" i="195"/>
  <c r="AO79" i="195"/>
  <c r="AQ69" i="195"/>
  <c r="AO69" i="195"/>
  <c r="AQ73" i="195"/>
  <c r="AO73" i="195"/>
  <c r="AQ68" i="195"/>
  <c r="AO68" i="195"/>
  <c r="AQ67" i="195"/>
  <c r="AO67" i="195"/>
  <c r="AQ59" i="195"/>
  <c r="AO59" i="195"/>
  <c r="AQ54" i="195"/>
  <c r="AO54" i="195"/>
  <c r="AQ53" i="195"/>
  <c r="AO53" i="195"/>
  <c r="AQ43" i="195"/>
  <c r="AO43" i="195"/>
  <c r="AQ47" i="195"/>
  <c r="AO47" i="195"/>
  <c r="AQ42" i="195"/>
  <c r="AO42" i="195"/>
  <c r="AQ41" i="195"/>
  <c r="AO41" i="195"/>
  <c r="AP129" i="161" l="1"/>
  <c r="AQ129" i="161"/>
  <c r="AP268" i="204"/>
  <c r="AP268" i="189"/>
  <c r="AM458" i="204"/>
  <c r="AM29" i="195"/>
  <c r="AQ458" i="204"/>
  <c r="AM459" i="204"/>
  <c r="AM30" i="195"/>
  <c r="AQ459" i="204"/>
  <c r="AM464" i="204"/>
  <c r="AM35" i="195"/>
  <c r="AQ464" i="204"/>
  <c r="AM460" i="204"/>
  <c r="AM31" i="195"/>
  <c r="AQ460" i="204"/>
  <c r="AM53" i="195"/>
  <c r="AM54" i="195"/>
  <c r="AM59" i="195"/>
  <c r="AM55" i="195"/>
  <c r="AQ55" i="195"/>
  <c r="AM67" i="195"/>
  <c r="AM68" i="195"/>
  <c r="AM73" i="195"/>
  <c r="AM69" i="195"/>
  <c r="AM79" i="195"/>
  <c r="AM80" i="195"/>
  <c r="AM85" i="195"/>
  <c r="AM81" i="195"/>
  <c r="AM268" i="204"/>
  <c r="AM268" i="189"/>
  <c r="AQ268" i="204"/>
  <c r="AQ268" i="189"/>
  <c r="AN458" i="204"/>
  <c r="AN29" i="195"/>
  <c r="AN459" i="204"/>
  <c r="AN30" i="195"/>
  <c r="AN464" i="204"/>
  <c r="AN35" i="195"/>
  <c r="AN460" i="204"/>
  <c r="AN31" i="195"/>
  <c r="AP55" i="195"/>
  <c r="AN73" i="195"/>
  <c r="AN69" i="195"/>
  <c r="AL31" i="195"/>
  <c r="AJ42" i="195"/>
  <c r="AJ43" i="195"/>
  <c r="AJ53" i="195"/>
  <c r="AJ54" i="195"/>
  <c r="AL59" i="195"/>
  <c r="AJ67" i="195"/>
  <c r="AJ68" i="195"/>
  <c r="AL69" i="195"/>
  <c r="AJ79" i="195"/>
  <c r="AJ80" i="195"/>
  <c r="AJ81" i="195"/>
  <c r="AL268" i="189"/>
  <c r="AJ268" i="204"/>
  <c r="AJ268" i="189"/>
  <c r="AN268" i="204"/>
  <c r="AN268" i="189"/>
  <c r="AK458" i="204"/>
  <c r="AK29" i="195"/>
  <c r="AO458" i="204"/>
  <c r="AK459" i="204"/>
  <c r="AK30" i="195"/>
  <c r="AO459" i="204"/>
  <c r="AK464" i="204"/>
  <c r="AK35" i="195"/>
  <c r="AO464" i="204"/>
  <c r="AO35" i="195"/>
  <c r="AK460" i="204"/>
  <c r="AK31" i="195"/>
  <c r="AO460" i="204"/>
  <c r="AO31" i="195"/>
  <c r="AK53" i="195"/>
  <c r="AK54" i="195"/>
  <c r="AK59" i="195"/>
  <c r="AK55" i="195"/>
  <c r="AO55" i="195"/>
  <c r="AK67" i="195"/>
  <c r="AK68" i="195"/>
  <c r="AK73" i="195"/>
  <c r="AK69" i="195"/>
  <c r="AK79" i="195"/>
  <c r="AK80" i="195"/>
  <c r="AK268" i="204"/>
  <c r="AK268" i="189"/>
  <c r="AO268" i="204"/>
  <c r="AO268" i="189"/>
  <c r="AJ29" i="195"/>
  <c r="AJ30" i="195"/>
  <c r="AJ464" i="189"/>
  <c r="AJ35" i="195"/>
  <c r="AJ31" i="195"/>
  <c r="AJ41" i="195"/>
  <c r="AL43" i="195"/>
  <c r="AL53" i="195"/>
  <c r="AL54" i="195"/>
  <c r="AL67" i="195"/>
  <c r="AL68" i="195"/>
  <c r="AL73" i="195"/>
  <c r="AJ69" i="195"/>
  <c r="AL79" i="195"/>
  <c r="AL80" i="195"/>
  <c r="AL81" i="195"/>
  <c r="AP29" i="195"/>
  <c r="AP458" i="189"/>
  <c r="AP30" i="195"/>
  <c r="AP459" i="189"/>
  <c r="AP35" i="195"/>
  <c r="AP464" i="189"/>
  <c r="AP31" i="195"/>
  <c r="AP460" i="189"/>
  <c r="AN53" i="195"/>
  <c r="AN54" i="195"/>
  <c r="AN59" i="195"/>
  <c r="AN55" i="195"/>
  <c r="AN67" i="195"/>
  <c r="AN68" i="195"/>
  <c r="AN79" i="195"/>
  <c r="AN80" i="195"/>
  <c r="AJ464" i="204"/>
  <c r="AK41" i="195"/>
  <c r="AM41" i="195"/>
  <c r="AK42" i="195"/>
  <c r="AM42" i="195"/>
  <c r="AK47" i="195"/>
  <c r="AM47" i="195"/>
  <c r="AK43" i="195"/>
  <c r="AM43" i="195"/>
  <c r="AO85" i="195"/>
  <c r="AO81" i="195"/>
  <c r="AJ458" i="204"/>
  <c r="AJ459" i="204"/>
  <c r="AJ460" i="204"/>
  <c r="AL42" i="195"/>
  <c r="AN42" i="195"/>
  <c r="AL460" i="204"/>
  <c r="AL41" i="195"/>
  <c r="AN41" i="195"/>
  <c r="AL47" i="195"/>
  <c r="AN47" i="195"/>
  <c r="AN43" i="195"/>
  <c r="AL458" i="204"/>
  <c r="AP458" i="204"/>
  <c r="AL459" i="204"/>
  <c r="AP459" i="204"/>
  <c r="AL464" i="204"/>
  <c r="AP464" i="204"/>
  <c r="AP460" i="204"/>
  <c r="AO19" i="194" l="1"/>
  <c r="AN19" i="194"/>
  <c r="AJ19" i="194"/>
  <c r="AM19" i="194"/>
  <c r="AK19" i="194"/>
  <c r="AP19" i="194"/>
  <c r="AL19" i="194"/>
  <c r="AQ19" i="194"/>
  <c r="AO460" i="189"/>
  <c r="AO464" i="189"/>
  <c r="AL458" i="189"/>
  <c r="AN460" i="189"/>
  <c r="AN464" i="189"/>
  <c r="AL464" i="189"/>
  <c r="AN458" i="189"/>
  <c r="AL459" i="189"/>
  <c r="AM460" i="189"/>
  <c r="AK460" i="189"/>
  <c r="AM464" i="189"/>
  <c r="AK464" i="189"/>
  <c r="AM459" i="189"/>
  <c r="AK459" i="189"/>
  <c r="AM458" i="189"/>
  <c r="AK458" i="189"/>
  <c r="AJ459" i="189"/>
  <c r="AN459" i="189"/>
  <c r="AL55" i="195"/>
  <c r="AO30" i="195"/>
  <c r="AO459" i="189"/>
  <c r="AO29" i="195"/>
  <c r="AO458" i="189"/>
  <c r="AQ31" i="195"/>
  <c r="AQ460" i="189"/>
  <c r="AQ35" i="195"/>
  <c r="AQ464" i="189"/>
  <c r="AQ30" i="195"/>
  <c r="AQ459" i="189"/>
  <c r="AQ29" i="195"/>
  <c r="AQ458" i="189"/>
  <c r="AJ460" i="189"/>
  <c r="AJ458" i="189"/>
  <c r="AJ55" i="195"/>
  <c r="AL460" i="189"/>
  <c r="AM20" i="194" l="1"/>
  <c r="AO20" i="194"/>
  <c r="AJ20" i="194"/>
  <c r="AP20" i="194"/>
  <c r="AQ20" i="194"/>
  <c r="AN20" i="194"/>
  <c r="AK20" i="194"/>
  <c r="AL20" i="194"/>
  <c r="AM66" i="197"/>
  <c r="AN66" i="197"/>
  <c r="AQ66" i="197"/>
  <c r="AK66" i="197"/>
  <c r="AP66" i="197"/>
  <c r="AO66" i="197"/>
  <c r="AL66" i="197"/>
  <c r="AJ66" i="197" l="1"/>
  <c r="AH18" i="283" l="1"/>
  <c r="I111" i="283" s="1"/>
  <c r="I66" i="283" s="1"/>
  <c r="AI66" i="283" s="1"/>
  <c r="M18" i="283"/>
  <c r="I90" i="283" s="1"/>
  <c r="I179" i="283" s="1"/>
  <c r="Q18" i="283"/>
  <c r="I94" i="283" s="1"/>
  <c r="R94" i="283" s="1"/>
  <c r="S94" i="283" s="1"/>
  <c r="T94" i="283" s="1"/>
  <c r="U18" i="283"/>
  <c r="I98" i="283" s="1"/>
  <c r="I187" i="283" s="1"/>
  <c r="I235" i="283" s="1"/>
  <c r="Y18" i="283"/>
  <c r="I102" i="283" s="1"/>
  <c r="I191" i="283" s="1"/>
  <c r="I239" i="283" s="1"/>
  <c r="AC18" i="283"/>
  <c r="I106" i="283" s="1"/>
  <c r="I61" i="283" s="1"/>
  <c r="L18" i="283"/>
  <c r="I89" i="283" s="1"/>
  <c r="M89" i="283" s="1"/>
  <c r="P18" i="283"/>
  <c r="I93" i="283" s="1"/>
  <c r="I182" i="283" s="1"/>
  <c r="I230" i="283" s="1"/>
  <c r="T18" i="283"/>
  <c r="I97" i="283" s="1"/>
  <c r="U97" i="283" s="1"/>
  <c r="V97" i="283" s="1"/>
  <c r="W97" i="283" s="1"/>
  <c r="X18" i="283"/>
  <c r="I101" i="283" s="1"/>
  <c r="AB18" i="283"/>
  <c r="I105" i="283" s="1"/>
  <c r="AC105" i="283" s="1"/>
  <c r="AD105" i="283" s="1"/>
  <c r="AE105" i="283" s="1"/>
  <c r="K18" i="283"/>
  <c r="O18" i="283"/>
  <c r="I92" i="283" s="1"/>
  <c r="S18" i="283"/>
  <c r="I96" i="283" s="1"/>
  <c r="I185" i="283" s="1"/>
  <c r="I233" i="283" s="1"/>
  <c r="W18" i="283"/>
  <c r="I100" i="283" s="1"/>
  <c r="AA18" i="283"/>
  <c r="I104" i="283" s="1"/>
  <c r="AB104" i="283" s="1"/>
  <c r="AC104" i="283" s="1"/>
  <c r="AD104" i="283" s="1"/>
  <c r="AE104" i="283" s="1"/>
  <c r="N18" i="283"/>
  <c r="I91" i="283" s="1"/>
  <c r="I180" i="283" s="1"/>
  <c r="R18" i="283"/>
  <c r="I95" i="283" s="1"/>
  <c r="V18" i="283"/>
  <c r="I99" i="283" s="1"/>
  <c r="I54" i="283" s="1"/>
  <c r="W54" i="283" s="1"/>
  <c r="X54" i="283" s="1"/>
  <c r="Y54" i="283" s="1"/>
  <c r="Z18" i="283"/>
  <c r="I103" i="283" s="1"/>
  <c r="AA103" i="283" s="1"/>
  <c r="AB103" i="283" s="1"/>
  <c r="AC103" i="283" s="1"/>
  <c r="AD18" i="283"/>
  <c r="I107" i="283" s="1"/>
  <c r="AE107" i="283" s="1"/>
  <c r="AF107" i="283" s="1"/>
  <c r="AG107" i="283" s="1"/>
  <c r="AD61" i="283" l="1"/>
  <c r="AE61" i="283" s="1"/>
  <c r="I200" i="283"/>
  <c r="AI111" i="283"/>
  <c r="I58" i="283"/>
  <c r="AA58" i="283" s="1"/>
  <c r="N89" i="283"/>
  <c r="O89" i="283" s="1"/>
  <c r="P89" i="283" s="1"/>
  <c r="U94" i="283"/>
  <c r="V94" i="283" s="1"/>
  <c r="W94" i="283" s="1"/>
  <c r="X97" i="283"/>
  <c r="Y97" i="283" s="1"/>
  <c r="I62" i="283"/>
  <c r="AE62" i="283" s="1"/>
  <c r="AD103" i="283"/>
  <c r="AE103" i="283" s="1"/>
  <c r="AF103" i="283" s="1"/>
  <c r="AG103" i="283" s="1"/>
  <c r="AH103" i="283" s="1"/>
  <c r="I227" i="283"/>
  <c r="I192" i="283"/>
  <c r="I240" i="283" s="1"/>
  <c r="I196" i="283"/>
  <c r="I244" i="283" s="1"/>
  <c r="AF105" i="283"/>
  <c r="AG105" i="283" s="1"/>
  <c r="I188" i="283"/>
  <c r="W99" i="283"/>
  <c r="I50" i="283"/>
  <c r="S50" i="283" s="1"/>
  <c r="T50" i="283" s="1"/>
  <c r="U50" i="283" s="1"/>
  <c r="I184" i="283"/>
  <c r="I46" i="283"/>
  <c r="O46" i="283" s="1"/>
  <c r="O91" i="283"/>
  <c r="P91" i="283" s="1"/>
  <c r="Q91" i="283" s="1"/>
  <c r="R91" i="283" s="1"/>
  <c r="S91" i="283" s="1"/>
  <c r="I55" i="283"/>
  <c r="X55" i="283" s="1"/>
  <c r="Y55" i="283" s="1"/>
  <c r="Z55" i="283" s="1"/>
  <c r="I189" i="283"/>
  <c r="I51" i="283"/>
  <c r="T51" i="283" s="1"/>
  <c r="T96" i="283"/>
  <c r="I47" i="283"/>
  <c r="P47" i="283" s="1"/>
  <c r="I181" i="283"/>
  <c r="I88" i="283"/>
  <c r="I194" i="283"/>
  <c r="I60" i="283"/>
  <c r="AC60" i="283" s="1"/>
  <c r="I56" i="283"/>
  <c r="Y56" i="283" s="1"/>
  <c r="Y101" i="283"/>
  <c r="I186" i="283"/>
  <c r="I52" i="283"/>
  <c r="U52" i="283" s="1"/>
  <c r="V52" i="283" s="1"/>
  <c r="W52" i="283" s="1"/>
  <c r="X52" i="283" s="1"/>
  <c r="I48" i="283"/>
  <c r="Q48" i="283" s="1"/>
  <c r="Q93" i="283"/>
  <c r="I44" i="283"/>
  <c r="M44" i="283" s="1"/>
  <c r="I178" i="283"/>
  <c r="AD106" i="283"/>
  <c r="I195" i="283"/>
  <c r="Z102" i="283"/>
  <c r="I57" i="283"/>
  <c r="Z57" i="283" s="1"/>
  <c r="I53" i="283"/>
  <c r="V53" i="283" s="1"/>
  <c r="V98" i="283"/>
  <c r="I49" i="283"/>
  <c r="R49" i="283" s="1"/>
  <c r="I183" i="283"/>
  <c r="I45" i="283"/>
  <c r="N45" i="283" s="1"/>
  <c r="N90" i="283"/>
  <c r="I193" i="283"/>
  <c r="S95" i="283"/>
  <c r="T95" i="283" s="1"/>
  <c r="U95" i="283" s="1"/>
  <c r="X100" i="283"/>
  <c r="P92" i="283"/>
  <c r="Q92" i="283" s="1"/>
  <c r="R92" i="283" s="1"/>
  <c r="I59" i="283"/>
  <c r="AB59" i="283" s="1"/>
  <c r="I190" i="283"/>
  <c r="I228" i="283"/>
  <c r="Z54" i="283"/>
  <c r="AA54" i="283" s="1"/>
  <c r="AJ66" i="283"/>
  <c r="AF104" i="283"/>
  <c r="AG104" i="283" s="1"/>
  <c r="AH104" i="283" s="1"/>
  <c r="AH107" i="283"/>
  <c r="AB58" i="283" l="1"/>
  <c r="AC58" i="283" s="1"/>
  <c r="AD58" i="283" s="1"/>
  <c r="AE58" i="283" s="1"/>
  <c r="Z56" i="283"/>
  <c r="AA56" i="283" s="1"/>
  <c r="O45" i="283"/>
  <c r="P45" i="283" s="1"/>
  <c r="Q45" i="283" s="1"/>
  <c r="R45" i="283" s="1"/>
  <c r="I248" i="283"/>
  <c r="AJ111" i="283"/>
  <c r="Q89" i="283"/>
  <c r="R89" i="283" s="1"/>
  <c r="U51" i="283"/>
  <c r="V51" i="283" s="1"/>
  <c r="W51" i="283" s="1"/>
  <c r="W53" i="283"/>
  <c r="X53" i="283" s="1"/>
  <c r="Y53" i="283" s="1"/>
  <c r="Z53" i="283" s="1"/>
  <c r="AA55" i="283"/>
  <c r="AB55" i="283" s="1"/>
  <c r="Z97" i="283"/>
  <c r="AA97" i="283" s="1"/>
  <c r="AB97" i="283" s="1"/>
  <c r="Y52" i="283"/>
  <c r="Z52" i="283" s="1"/>
  <c r="AA52" i="283" s="1"/>
  <c r="S92" i="283"/>
  <c r="T92" i="283" s="1"/>
  <c r="U92" i="283" s="1"/>
  <c r="V92" i="283" s="1"/>
  <c r="AC59" i="283"/>
  <c r="AD59" i="283" s="1"/>
  <c r="N44" i="283"/>
  <c r="O44" i="283" s="1"/>
  <c r="P44" i="283" s="1"/>
  <c r="Q47" i="283"/>
  <c r="R47" i="283" s="1"/>
  <c r="R48" i="283"/>
  <c r="S48" i="283" s="1"/>
  <c r="T48" i="283" s="1"/>
  <c r="S49" i="283"/>
  <c r="T49" i="283" s="1"/>
  <c r="U49" i="283" s="1"/>
  <c r="V49" i="283" s="1"/>
  <c r="P46" i="283"/>
  <c r="Q46" i="283" s="1"/>
  <c r="R46" i="283" s="1"/>
  <c r="V50" i="283"/>
  <c r="W50" i="283" s="1"/>
  <c r="V95" i="283"/>
  <c r="W95" i="283" s="1"/>
  <c r="X95" i="283" s="1"/>
  <c r="AD60" i="283"/>
  <c r="AE60" i="283" s="1"/>
  <c r="AA57" i="283"/>
  <c r="AB57" i="283" s="1"/>
  <c r="AC57" i="283" s="1"/>
  <c r="T91" i="283"/>
  <c r="U91" i="283" s="1"/>
  <c r="I241" i="283"/>
  <c r="AA102" i="283"/>
  <c r="AE106" i="283"/>
  <c r="I234" i="283"/>
  <c r="I242" i="283"/>
  <c r="L88" i="283"/>
  <c r="I177" i="283"/>
  <c r="I225" i="283" s="1"/>
  <c r="I43" i="283"/>
  <c r="I236" i="283"/>
  <c r="I238" i="283"/>
  <c r="Y100" i="283"/>
  <c r="O90" i="283"/>
  <c r="I231" i="283"/>
  <c r="W98" i="283"/>
  <c r="I243" i="283"/>
  <c r="I226" i="283"/>
  <c r="R93" i="283"/>
  <c r="Z101" i="283"/>
  <c r="I229" i="283"/>
  <c r="U96" i="283"/>
  <c r="I237" i="283"/>
  <c r="I232" i="283"/>
  <c r="X99" i="283"/>
  <c r="X94" i="283"/>
  <c r="Y94" i="283" s="1"/>
  <c r="Z94" i="283" s="1"/>
  <c r="AB54" i="283"/>
  <c r="AC54" i="283" s="1"/>
  <c r="AD54" i="283" s="1"/>
  <c r="AE54" i="283" s="1"/>
  <c r="AK66" i="283"/>
  <c r="AH105" i="283"/>
  <c r="AI104" i="283"/>
  <c r="AJ104" i="283" s="1"/>
  <c r="AI103" i="283"/>
  <c r="AF61" i="283"/>
  <c r="AI107" i="283"/>
  <c r="AJ107" i="283" s="1"/>
  <c r="AK107" i="283" s="1"/>
  <c r="AF62" i="283"/>
  <c r="V91" i="283" l="1"/>
  <c r="W91" i="283" s="1"/>
  <c r="W49" i="283"/>
  <c r="X49" i="283" s="1"/>
  <c r="AB56" i="283"/>
  <c r="AC56" i="283" s="1"/>
  <c r="S89" i="283"/>
  <c r="T89" i="283" s="1"/>
  <c r="U89" i="283" s="1"/>
  <c r="X50" i="283"/>
  <c r="Y50" i="283" s="1"/>
  <c r="AA53" i="283"/>
  <c r="AB53" i="283" s="1"/>
  <c r="AC53" i="283" s="1"/>
  <c r="AD53" i="283" s="1"/>
  <c r="Y95" i="283"/>
  <c r="Z95" i="283" s="1"/>
  <c r="AC55" i="283"/>
  <c r="AD55" i="283" s="1"/>
  <c r="AE55" i="283" s="1"/>
  <c r="AK111" i="283"/>
  <c r="AL111" i="283" s="1"/>
  <c r="AM111" i="283" s="1"/>
  <c r="S46" i="283"/>
  <c r="T46" i="283" s="1"/>
  <c r="AF60" i="283"/>
  <c r="AG60" i="283" s="1"/>
  <c r="AH60" i="283" s="1"/>
  <c r="AI60" i="283" s="1"/>
  <c r="AC97" i="283"/>
  <c r="AD97" i="283" s="1"/>
  <c r="S93" i="283"/>
  <c r="T93" i="283" s="1"/>
  <c r="U93" i="283" s="1"/>
  <c r="X98" i="283"/>
  <c r="P90" i="283"/>
  <c r="Z100" i="283"/>
  <c r="AA100" i="283" s="1"/>
  <c r="AB100" i="283" s="1"/>
  <c r="AC100" i="283" s="1"/>
  <c r="M88" i="283"/>
  <c r="AF106" i="283"/>
  <c r="AG106" i="283" s="1"/>
  <c r="AB102" i="283"/>
  <c r="Y99" i="283"/>
  <c r="V96" i="283"/>
  <c r="AA101" i="283"/>
  <c r="L43" i="283"/>
  <c r="AA94" i="283"/>
  <c r="AB94" i="283" s="1"/>
  <c r="AC94" i="283" s="1"/>
  <c r="AD94" i="283" s="1"/>
  <c r="U48" i="283"/>
  <c r="V48" i="283" s="1"/>
  <c r="AF54" i="283"/>
  <c r="AG54" i="283" s="1"/>
  <c r="Q44" i="283"/>
  <c r="R44" i="283" s="1"/>
  <c r="S47" i="283"/>
  <c r="T47" i="283" s="1"/>
  <c r="U47" i="283" s="1"/>
  <c r="V47" i="283" s="1"/>
  <c r="W92" i="283"/>
  <c r="AB52" i="283"/>
  <c r="X51" i="283"/>
  <c r="S45" i="283"/>
  <c r="T45" i="283" s="1"/>
  <c r="AD57" i="283"/>
  <c r="AL66" i="283"/>
  <c r="AG61" i="283"/>
  <c r="AH61" i="283" s="1"/>
  <c r="AI61" i="283" s="1"/>
  <c r="AJ61" i="283" s="1"/>
  <c r="AI105" i="283"/>
  <c r="AJ105" i="283" s="1"/>
  <c r="AJ103" i="283"/>
  <c r="AE59" i="283"/>
  <c r="AK104" i="283"/>
  <c r="AL104" i="283" s="1"/>
  <c r="AM104" i="283" s="1"/>
  <c r="AN104" i="283" s="1"/>
  <c r="AF58" i="283"/>
  <c r="AG62" i="283"/>
  <c r="AL107" i="283"/>
  <c r="X91" i="283" l="1"/>
  <c r="Y91" i="283" s="1"/>
  <c r="Y49" i="283"/>
  <c r="Z49" i="283" s="1"/>
  <c r="AA49" i="283" s="1"/>
  <c r="V89" i="283"/>
  <c r="W89" i="283" s="1"/>
  <c r="Z50" i="283"/>
  <c r="AA50" i="283" s="1"/>
  <c r="AB50" i="283" s="1"/>
  <c r="U46" i="283"/>
  <c r="V46" i="283" s="1"/>
  <c r="W46" i="283" s="1"/>
  <c r="AF55" i="283"/>
  <c r="AG55" i="283" s="1"/>
  <c r="AN111" i="283"/>
  <c r="AO111" i="283" s="1"/>
  <c r="AP111" i="283" s="1"/>
  <c r="M43" i="283"/>
  <c r="N43" i="283" s="1"/>
  <c r="O43" i="283" s="1"/>
  <c r="AB101" i="283"/>
  <c r="W96" i="283"/>
  <c r="X96" i="283" s="1"/>
  <c r="Y96" i="283" s="1"/>
  <c r="Z99" i="283"/>
  <c r="AA99" i="283" s="1"/>
  <c r="AB99" i="283" s="1"/>
  <c r="AC102" i="283"/>
  <c r="N88" i="283"/>
  <c r="Y98" i="283"/>
  <c r="V93" i="283"/>
  <c r="W93" i="283" s="1"/>
  <c r="X93" i="283" s="1"/>
  <c r="Y93" i="283" s="1"/>
  <c r="AD100" i="283"/>
  <c r="AE100" i="283" s="1"/>
  <c r="AF100" i="283" s="1"/>
  <c r="Q90" i="283"/>
  <c r="AH106" i="283"/>
  <c r="AE94" i="283"/>
  <c r="AF94" i="283" s="1"/>
  <c r="W47" i="283"/>
  <c r="X47" i="283" s="1"/>
  <c r="AD56" i="283"/>
  <c r="AE56" i="283" s="1"/>
  <c r="AA95" i="283"/>
  <c r="AE53" i="283"/>
  <c r="Y51" i="283"/>
  <c r="Z51" i="283" s="1"/>
  <c r="X92" i="283"/>
  <c r="AC52" i="283"/>
  <c r="S44" i="283"/>
  <c r="AH54" i="283"/>
  <c r="AI54" i="283" s="1"/>
  <c r="AE97" i="283"/>
  <c r="U45" i="283"/>
  <c r="V45" i="283" s="1"/>
  <c r="W48" i="283"/>
  <c r="AE57" i="283"/>
  <c r="AM66" i="283"/>
  <c r="AN66" i="283" s="1"/>
  <c r="AJ60" i="283"/>
  <c r="AK60" i="283" s="1"/>
  <c r="AF59" i="283"/>
  <c r="AG58" i="283"/>
  <c r="AH58" i="283" s="1"/>
  <c r="AO104" i="283"/>
  <c r="AP104" i="283" s="1"/>
  <c r="AQ104" i="283" s="1"/>
  <c r="AR104" i="283" s="1"/>
  <c r="AK61" i="283"/>
  <c r="AK103" i="283"/>
  <c r="AL103" i="283" s="1"/>
  <c r="AK105" i="283"/>
  <c r="AH62" i="283"/>
  <c r="AM107" i="283"/>
  <c r="AN107" i="283" s="1"/>
  <c r="AO107" i="283" s="1"/>
  <c r="AC50" i="283" l="1"/>
  <c r="AD50" i="283" s="1"/>
  <c r="Z91" i="283"/>
  <c r="AA91" i="283" s="1"/>
  <c r="X89" i="283"/>
  <c r="Y89" i="283" s="1"/>
  <c r="AB49" i="283"/>
  <c r="AC49" i="283" s="1"/>
  <c r="AD49" i="283" s="1"/>
  <c r="AE49" i="283" s="1"/>
  <c r="AH55" i="283"/>
  <c r="AI55" i="283" s="1"/>
  <c r="AJ55" i="283" s="1"/>
  <c r="X46" i="283"/>
  <c r="Y46" i="283" s="1"/>
  <c r="P43" i="283"/>
  <c r="Q43" i="283" s="1"/>
  <c r="R43" i="283" s="1"/>
  <c r="AO66" i="283"/>
  <c r="AP66" i="283" s="1"/>
  <c r="AQ111" i="283"/>
  <c r="AR111" i="283" s="1"/>
  <c r="AF53" i="283"/>
  <c r="AG53" i="283" s="1"/>
  <c r="AF56" i="283"/>
  <c r="AG56" i="283" s="1"/>
  <c r="AL60" i="283"/>
  <c r="AM60" i="283" s="1"/>
  <c r="AI106" i="283"/>
  <c r="Z98" i="283"/>
  <c r="AD102" i="283"/>
  <c r="AE102" i="283" s="1"/>
  <c r="AC101" i="283"/>
  <c r="R90" i="283"/>
  <c r="S90" i="283" s="1"/>
  <c r="AG100" i="283"/>
  <c r="AH100" i="283" s="1"/>
  <c r="AI100" i="283" s="1"/>
  <c r="AJ100" i="283" s="1"/>
  <c r="AK100" i="283" s="1"/>
  <c r="AL100" i="283" s="1"/>
  <c r="AM100" i="283" s="1"/>
  <c r="AN100" i="283" s="1"/>
  <c r="AO100" i="283" s="1"/>
  <c r="AP100" i="283" s="1"/>
  <c r="AQ100" i="283" s="1"/>
  <c r="AR100" i="283" s="1"/>
  <c r="Z93" i="283"/>
  <c r="O88" i="283"/>
  <c r="AC99" i="283"/>
  <c r="Z96" i="283"/>
  <c r="AA96" i="283" s="1"/>
  <c r="AB96" i="283" s="1"/>
  <c r="AC96" i="283" s="1"/>
  <c r="AD96" i="283" s="1"/>
  <c r="AE96" i="283" s="1"/>
  <c r="AG94" i="283"/>
  <c r="AH94" i="283" s="1"/>
  <c r="AI94" i="283" s="1"/>
  <c r="AA51" i="283"/>
  <c r="AB51" i="283" s="1"/>
  <c r="AC51" i="283" s="1"/>
  <c r="AD51" i="283" s="1"/>
  <c r="Y92" i="283"/>
  <c r="Z92" i="283" s="1"/>
  <c r="AA92" i="283" s="1"/>
  <c r="AB92" i="283" s="1"/>
  <c r="AC92" i="283" s="1"/>
  <c r="AD92" i="283" s="1"/>
  <c r="AE92" i="283" s="1"/>
  <c r="AF92" i="283" s="1"/>
  <c r="AG92" i="283" s="1"/>
  <c r="AH92" i="283" s="1"/>
  <c r="AI92" i="283" s="1"/>
  <c r="AJ92" i="283" s="1"/>
  <c r="AK92" i="283" s="1"/>
  <c r="AL92" i="283" s="1"/>
  <c r="AM92" i="283" s="1"/>
  <c r="AN92" i="283" s="1"/>
  <c r="AO92" i="283" s="1"/>
  <c r="AP92" i="283" s="1"/>
  <c r="AQ92" i="283" s="1"/>
  <c r="AR92" i="283" s="1"/>
  <c r="AB95" i="283"/>
  <c r="AF97" i="283"/>
  <c r="AG97" i="283" s="1"/>
  <c r="AH97" i="283" s="1"/>
  <c r="AI97" i="283" s="1"/>
  <c r="AJ97" i="283" s="1"/>
  <c r="AK97" i="283" s="1"/>
  <c r="AL97" i="283" s="1"/>
  <c r="AM97" i="283" s="1"/>
  <c r="AN97" i="283" s="1"/>
  <c r="AO97" i="283" s="1"/>
  <c r="AP97" i="283" s="1"/>
  <c r="AQ97" i="283" s="1"/>
  <c r="AR97" i="283" s="1"/>
  <c r="AD52" i="283"/>
  <c r="Y47" i="283"/>
  <c r="Z47" i="283" s="1"/>
  <c r="AA47" i="283" s="1"/>
  <c r="W45" i="283"/>
  <c r="X45" i="283" s="1"/>
  <c r="AJ54" i="283"/>
  <c r="AK54" i="283" s="1"/>
  <c r="T44" i="283"/>
  <c r="X48" i="283"/>
  <c r="AF57" i="283"/>
  <c r="AI58" i="283"/>
  <c r="AJ58" i="283" s="1"/>
  <c r="AK58" i="283" s="1"/>
  <c r="AM103" i="283"/>
  <c r="AN103" i="283" s="1"/>
  <c r="AO103" i="283" s="1"/>
  <c r="AP103" i="283" s="1"/>
  <c r="AQ103" i="283" s="1"/>
  <c r="AR103" i="283" s="1"/>
  <c r="AL61" i="283"/>
  <c r="AL105" i="283"/>
  <c r="AG59" i="283"/>
  <c r="AP107" i="283"/>
  <c r="AQ107" i="283" s="1"/>
  <c r="AR107" i="283" s="1"/>
  <c r="AI62" i="283"/>
  <c r="AJ62" i="283" s="1"/>
  <c r="AK62" i="283" s="1"/>
  <c r="AB91" i="283" l="1"/>
  <c r="AC91" i="283" s="1"/>
  <c r="AD91" i="283" s="1"/>
  <c r="AE91" i="283" s="1"/>
  <c r="AF91" i="283" s="1"/>
  <c r="AG91" i="283" s="1"/>
  <c r="AH91" i="283" s="1"/>
  <c r="AI91" i="283" s="1"/>
  <c r="AJ91" i="283" s="1"/>
  <c r="AK91" i="283" s="1"/>
  <c r="AL91" i="283" s="1"/>
  <c r="AM91" i="283" s="1"/>
  <c r="AN91" i="283" s="1"/>
  <c r="AO91" i="283" s="1"/>
  <c r="AP91" i="283" s="1"/>
  <c r="AQ91" i="283" s="1"/>
  <c r="AR91" i="283" s="1"/>
  <c r="AE50" i="283"/>
  <c r="AF50" i="283" s="1"/>
  <c r="Z46" i="283"/>
  <c r="AA46" i="283" s="1"/>
  <c r="AK55" i="283"/>
  <c r="AL55" i="283" s="1"/>
  <c r="AM55" i="283" s="1"/>
  <c r="AN55" i="283" s="1"/>
  <c r="AO55" i="283" s="1"/>
  <c r="AP55" i="283" s="1"/>
  <c r="AQ55" i="283" s="1"/>
  <c r="S43" i="283"/>
  <c r="T43" i="283" s="1"/>
  <c r="AH53" i="283"/>
  <c r="AI53" i="283" s="1"/>
  <c r="AQ66" i="283"/>
  <c r="I162" i="283" s="1"/>
  <c r="AO162" i="283" s="1"/>
  <c r="AO200" i="283" s="1"/>
  <c r="AL54" i="283"/>
  <c r="AM54" i="283" s="1"/>
  <c r="AN54" i="283" s="1"/>
  <c r="AO54" i="283" s="1"/>
  <c r="AP54" i="283" s="1"/>
  <c r="AQ54" i="283" s="1"/>
  <c r="AR54" i="283" s="1"/>
  <c r="AL62" i="283"/>
  <c r="AM62" i="283" s="1"/>
  <c r="AN62" i="283" s="1"/>
  <c r="AD99" i="283"/>
  <c r="T90" i="283"/>
  <c r="AD101" i="283"/>
  <c r="P88" i="283"/>
  <c r="Q88" i="283" s="1"/>
  <c r="R88" i="283" s="1"/>
  <c r="AA93" i="283"/>
  <c r="AF102" i="283"/>
  <c r="AG102" i="283" s="1"/>
  <c r="AA98" i="283"/>
  <c r="AB98" i="283" s="1"/>
  <c r="AJ106" i="283"/>
  <c r="AB47" i="283"/>
  <c r="AC47" i="283" s="1"/>
  <c r="AJ94" i="283"/>
  <c r="AK94" i="283" s="1"/>
  <c r="AL94" i="283" s="1"/>
  <c r="AM94" i="283" s="1"/>
  <c r="AN94" i="283" s="1"/>
  <c r="AO94" i="283" s="1"/>
  <c r="AP94" i="283" s="1"/>
  <c r="AQ94" i="283" s="1"/>
  <c r="AR94" i="283" s="1"/>
  <c r="AE51" i="283"/>
  <c r="AF96" i="283"/>
  <c r="AG96" i="283" s="1"/>
  <c r="AH96" i="283" s="1"/>
  <c r="AI96" i="283" s="1"/>
  <c r="AJ96" i="283" s="1"/>
  <c r="AK96" i="283" s="1"/>
  <c r="AL96" i="283" s="1"/>
  <c r="AM96" i="283" s="1"/>
  <c r="AN96" i="283" s="1"/>
  <c r="AO96" i="283" s="1"/>
  <c r="AP96" i="283" s="1"/>
  <c r="AQ96" i="283" s="1"/>
  <c r="AR96" i="283" s="1"/>
  <c r="Y45" i="283"/>
  <c r="Z45" i="283" s="1"/>
  <c r="AE52" i="283"/>
  <c r="Y48" i="283"/>
  <c r="Z48" i="283" s="1"/>
  <c r="AA48" i="283" s="1"/>
  <c r="AB48" i="283" s="1"/>
  <c r="AC48" i="283" s="1"/>
  <c r="AD48" i="283" s="1"/>
  <c r="AE48" i="283" s="1"/>
  <c r="AF49" i="283"/>
  <c r="AG49" i="283" s="1"/>
  <c r="AH49" i="283" s="1"/>
  <c r="AI49" i="283" s="1"/>
  <c r="U44" i="283"/>
  <c r="Z89" i="283"/>
  <c r="AA89" i="283" s="1"/>
  <c r="AB89" i="283" s="1"/>
  <c r="AC89" i="283" s="1"/>
  <c r="AD89" i="283" s="1"/>
  <c r="AE89" i="283" s="1"/>
  <c r="AF89" i="283" s="1"/>
  <c r="AG89" i="283" s="1"/>
  <c r="AH89" i="283" s="1"/>
  <c r="AI89" i="283" s="1"/>
  <c r="AJ89" i="283" s="1"/>
  <c r="AK89" i="283" s="1"/>
  <c r="AL89" i="283" s="1"/>
  <c r="AM89" i="283" s="1"/>
  <c r="AN89" i="283" s="1"/>
  <c r="AO89" i="283" s="1"/>
  <c r="AP89" i="283" s="1"/>
  <c r="AQ89" i="283" s="1"/>
  <c r="AR89" i="283" s="1"/>
  <c r="AC95" i="283"/>
  <c r="AD95" i="283" s="1"/>
  <c r="AE95" i="283" s="1"/>
  <c r="AF95" i="283" s="1"/>
  <c r="AG95" i="283" s="1"/>
  <c r="AH95" i="283" s="1"/>
  <c r="AI95" i="283" s="1"/>
  <c r="AJ95" i="283" s="1"/>
  <c r="AK95" i="283" s="1"/>
  <c r="AL95" i="283" s="1"/>
  <c r="AM95" i="283" s="1"/>
  <c r="AN95" i="283" s="1"/>
  <c r="AO95" i="283" s="1"/>
  <c r="AP95" i="283" s="1"/>
  <c r="AQ95" i="283" s="1"/>
  <c r="AR95" i="283" s="1"/>
  <c r="AH56" i="283"/>
  <c r="AG57" i="283"/>
  <c r="AH57" i="283" s="1"/>
  <c r="AL58" i="283"/>
  <c r="AM58" i="283" s="1"/>
  <c r="AM61" i="283"/>
  <c r="AN61" i="283" s="1"/>
  <c r="AO61" i="283" s="1"/>
  <c r="AM105" i="283"/>
  <c r="AN105" i="283" s="1"/>
  <c r="AO105" i="283" s="1"/>
  <c r="AP105" i="283" s="1"/>
  <c r="AQ105" i="283" s="1"/>
  <c r="AR105" i="283" s="1"/>
  <c r="AN60" i="283"/>
  <c r="AO60" i="283" s="1"/>
  <c r="AP60" i="283" s="1"/>
  <c r="AQ60" i="283" s="1"/>
  <c r="AH59" i="283"/>
  <c r="AG50" i="283" l="1"/>
  <c r="AH50" i="283" s="1"/>
  <c r="AI50" i="283" s="1"/>
  <c r="AJ53" i="283"/>
  <c r="AK53" i="283" s="1"/>
  <c r="AR66" i="283"/>
  <c r="AB46" i="283"/>
  <c r="AC46" i="283" s="1"/>
  <c r="AD46" i="283" s="1"/>
  <c r="AE46" i="283" s="1"/>
  <c r="U43" i="283"/>
  <c r="V43" i="283" s="1"/>
  <c r="W43" i="283" s="1"/>
  <c r="X43" i="283" s="1"/>
  <c r="Y43" i="283" s="1"/>
  <c r="Z43" i="283" s="1"/>
  <c r="AA43" i="283" s="1"/>
  <c r="AB43" i="283" s="1"/>
  <c r="AC43" i="283" s="1"/>
  <c r="AD43" i="283" s="1"/>
  <c r="AE43" i="283" s="1"/>
  <c r="I151" i="283"/>
  <c r="AR151" i="283" s="1"/>
  <c r="AP61" i="283"/>
  <c r="AQ61" i="283" s="1"/>
  <c r="AR61" i="283" s="1"/>
  <c r="AI162" i="283"/>
  <c r="AI200" i="283" s="1"/>
  <c r="AN162" i="283"/>
  <c r="AN200" i="283" s="1"/>
  <c r="AL162" i="283"/>
  <c r="AL200" i="283" s="1"/>
  <c r="AQ162" i="283"/>
  <c r="AQ200" i="283" s="1"/>
  <c r="AK162" i="283"/>
  <c r="AK200" i="283" s="1"/>
  <c r="AP162" i="283"/>
  <c r="AP200" i="283" s="1"/>
  <c r="AM162" i="283"/>
  <c r="AM200" i="283" s="1"/>
  <c r="AJ162" i="283"/>
  <c r="AJ200" i="283" s="1"/>
  <c r="AR162" i="283"/>
  <c r="AR55" i="283"/>
  <c r="S88" i="283"/>
  <c r="T88" i="283" s="1"/>
  <c r="U88" i="283" s="1"/>
  <c r="AF48" i="283"/>
  <c r="AG48" i="283" s="1"/>
  <c r="AH48" i="283" s="1"/>
  <c r="AI48" i="283" s="1"/>
  <c r="AJ48" i="283" s="1"/>
  <c r="AK48" i="283" s="1"/>
  <c r="AF51" i="283"/>
  <c r="AG51" i="283" s="1"/>
  <c r="AH51" i="283" s="1"/>
  <c r="AC98" i="283"/>
  <c r="AD98" i="283" s="1"/>
  <c r="AE99" i="283"/>
  <c r="U90" i="283"/>
  <c r="AH102" i="283"/>
  <c r="AI102" i="283" s="1"/>
  <c r="AJ102" i="283" s="1"/>
  <c r="AK102" i="283" s="1"/>
  <c r="AK106" i="283"/>
  <c r="AL106" i="283" s="1"/>
  <c r="AE101" i="283"/>
  <c r="AF101" i="283" s="1"/>
  <c r="AG101" i="283" s="1"/>
  <c r="AB93" i="283"/>
  <c r="AA45" i="283"/>
  <c r="AB45" i="283" s="1"/>
  <c r="AC45" i="283" s="1"/>
  <c r="AI57" i="283"/>
  <c r="AJ57" i="283" s="1"/>
  <c r="AK57" i="283" s="1"/>
  <c r="AJ49" i="283"/>
  <c r="AK49" i="283" s="1"/>
  <c r="AD47" i="283"/>
  <c r="AE47" i="283" s="1"/>
  <c r="AI56" i="283"/>
  <c r="AJ56" i="283" s="1"/>
  <c r="AK56" i="283" s="1"/>
  <c r="V44" i="283"/>
  <c r="W44" i="283" s="1"/>
  <c r="X44" i="283" s="1"/>
  <c r="Y44" i="283" s="1"/>
  <c r="Z44" i="283" s="1"/>
  <c r="AA44" i="283" s="1"/>
  <c r="AB44" i="283" s="1"/>
  <c r="AC44" i="283" s="1"/>
  <c r="AD44" i="283" s="1"/>
  <c r="AE44" i="283" s="1"/>
  <c r="AF52" i="283"/>
  <c r="AG52" i="283" s="1"/>
  <c r="AH52" i="283" s="1"/>
  <c r="AN58" i="283"/>
  <c r="AO58" i="283" s="1"/>
  <c r="AP58" i="283" s="1"/>
  <c r="AR60" i="283"/>
  <c r="I156" i="283"/>
  <c r="AI59" i="283"/>
  <c r="AJ59" i="283" s="1"/>
  <c r="AK59" i="283" s="1"/>
  <c r="AO62" i="283"/>
  <c r="AP62" i="283" s="1"/>
  <c r="AQ62" i="283" s="1"/>
  <c r="AJ50" i="283" l="1"/>
  <c r="AK50" i="283" s="1"/>
  <c r="AL53" i="283"/>
  <c r="AM53" i="283" s="1"/>
  <c r="AN53" i="283" s="1"/>
  <c r="AO53" i="283" s="1"/>
  <c r="AP53" i="283" s="1"/>
  <c r="AQ53" i="283" s="1"/>
  <c r="AF43" i="283"/>
  <c r="AG43" i="283" s="1"/>
  <c r="AH43" i="283" s="1"/>
  <c r="AI43" i="283" s="1"/>
  <c r="AJ43" i="283" s="1"/>
  <c r="AK43" i="283" s="1"/>
  <c r="AL43" i="283" s="1"/>
  <c r="AM43" i="283" s="1"/>
  <c r="AN43" i="283" s="1"/>
  <c r="AO43" i="283" s="1"/>
  <c r="AP43" i="283" s="1"/>
  <c r="AQ43" i="283" s="1"/>
  <c r="AR200" i="283"/>
  <c r="Z151" i="283"/>
  <c r="Z189" i="283" s="1"/>
  <c r="AK151" i="283"/>
  <c r="AK189" i="283" s="1"/>
  <c r="AE151" i="283"/>
  <c r="AE189" i="283" s="1"/>
  <c r="AP151" i="283"/>
  <c r="AP189" i="283" s="1"/>
  <c r="AF151" i="283"/>
  <c r="AF189" i="283" s="1"/>
  <c r="AM151" i="283"/>
  <c r="AM189" i="283" s="1"/>
  <c r="AH151" i="283"/>
  <c r="AH189" i="283" s="1"/>
  <c r="AC151" i="283"/>
  <c r="AC189" i="283" s="1"/>
  <c r="X151" i="283"/>
  <c r="X189" i="283" s="1"/>
  <c r="AN151" i="283"/>
  <c r="AN189" i="283" s="1"/>
  <c r="AA151" i="283"/>
  <c r="AA189" i="283" s="1"/>
  <c r="AI151" i="283"/>
  <c r="AI189" i="283" s="1"/>
  <c r="AQ151" i="283"/>
  <c r="AQ189" i="283" s="1"/>
  <c r="AD151" i="283"/>
  <c r="AD189" i="283" s="1"/>
  <c r="AL151" i="283"/>
  <c r="AL189" i="283" s="1"/>
  <c r="Y151" i="283"/>
  <c r="Y189" i="283" s="1"/>
  <c r="AG151" i="283"/>
  <c r="AG189" i="283" s="1"/>
  <c r="AO151" i="283"/>
  <c r="AO189" i="283" s="1"/>
  <c r="AB151" i="283"/>
  <c r="AB189" i="283" s="1"/>
  <c r="AJ151" i="283"/>
  <c r="AJ189" i="283" s="1"/>
  <c r="V88" i="283"/>
  <c r="W88" i="283" s="1"/>
  <c r="X88" i="283" s="1"/>
  <c r="Y88" i="283" s="1"/>
  <c r="Z88" i="283" s="1"/>
  <c r="G248" i="283"/>
  <c r="K248" i="283" s="1"/>
  <c r="AR189" i="283"/>
  <c r="AL49" i="283"/>
  <c r="AM49" i="283" s="1"/>
  <c r="AN49" i="283" s="1"/>
  <c r="AO49" i="283" s="1"/>
  <c r="AP49" i="283" s="1"/>
  <c r="AQ49" i="283" s="1"/>
  <c r="AL48" i="283"/>
  <c r="AL59" i="283"/>
  <c r="AM59" i="283" s="1"/>
  <c r="AN59" i="283" s="1"/>
  <c r="AO59" i="283" s="1"/>
  <c r="AP59" i="283" s="1"/>
  <c r="AQ59" i="283" s="1"/>
  <c r="AL56" i="283"/>
  <c r="AM56" i="283" s="1"/>
  <c r="AN56" i="283" s="1"/>
  <c r="AO56" i="283" s="1"/>
  <c r="AP56" i="283" s="1"/>
  <c r="AQ56" i="283" s="1"/>
  <c r="AL57" i="283"/>
  <c r="AM57" i="283" s="1"/>
  <c r="AN57" i="283" s="1"/>
  <c r="AO57" i="283" s="1"/>
  <c r="AP57" i="283" s="1"/>
  <c r="AQ57" i="283" s="1"/>
  <c r="AF44" i="283"/>
  <c r="AG44" i="283" s="1"/>
  <c r="AH44" i="283" s="1"/>
  <c r="AI44" i="283" s="1"/>
  <c r="AJ44" i="283" s="1"/>
  <c r="AK44" i="283" s="1"/>
  <c r="AF47" i="283"/>
  <c r="AG47" i="283" s="1"/>
  <c r="AF46" i="283"/>
  <c r="AG46" i="283" s="1"/>
  <c r="AH46" i="283" s="1"/>
  <c r="AI46" i="283" s="1"/>
  <c r="AJ46" i="283" s="1"/>
  <c r="AK46" i="283" s="1"/>
  <c r="AI51" i="283"/>
  <c r="AJ51" i="283" s="1"/>
  <c r="AK51" i="283" s="1"/>
  <c r="AM106" i="283"/>
  <c r="AN106" i="283" s="1"/>
  <c r="V90" i="283"/>
  <c r="AC93" i="283"/>
  <c r="AH101" i="283"/>
  <c r="AI101" i="283" s="1"/>
  <c r="AJ101" i="283" s="1"/>
  <c r="AF99" i="283"/>
  <c r="AL102" i="283"/>
  <c r="AM102" i="283" s="1"/>
  <c r="AN102" i="283" s="1"/>
  <c r="AE98" i="283"/>
  <c r="AF98" i="283" s="1"/>
  <c r="AG98" i="283" s="1"/>
  <c r="AD45" i="283"/>
  <c r="AI52" i="283"/>
  <c r="AJ52" i="283" s="1"/>
  <c r="AK52" i="283" s="1"/>
  <c r="AQ58" i="283"/>
  <c r="AR156" i="283"/>
  <c r="AR194" i="283" s="1"/>
  <c r="AN156" i="283"/>
  <c r="AN194" i="283" s="1"/>
  <c r="AJ156" i="283"/>
  <c r="AJ194" i="283" s="1"/>
  <c r="AF156" i="283"/>
  <c r="AF194" i="283" s="1"/>
  <c r="AQ156" i="283"/>
  <c r="AQ194" i="283" s="1"/>
  <c r="AM156" i="283"/>
  <c r="AM194" i="283" s="1"/>
  <c r="AI156" i="283"/>
  <c r="AI194" i="283" s="1"/>
  <c r="AE156" i="283"/>
  <c r="AP156" i="283"/>
  <c r="AP194" i="283" s="1"/>
  <c r="AL156" i="283"/>
  <c r="AL194" i="283" s="1"/>
  <c r="AH156" i="283"/>
  <c r="AH194" i="283" s="1"/>
  <c r="AD156" i="283"/>
  <c r="AD194" i="283" s="1"/>
  <c r="AO156" i="283"/>
  <c r="AO194" i="283" s="1"/>
  <c r="AK156" i="283"/>
  <c r="AG156" i="283"/>
  <c r="AG194" i="283" s="1"/>
  <c r="AC156" i="283"/>
  <c r="AC194" i="283" s="1"/>
  <c r="I158" i="283"/>
  <c r="AR62" i="283"/>
  <c r="AL50" i="283" l="1"/>
  <c r="AM50" i="283" s="1"/>
  <c r="AN50" i="283" s="1"/>
  <c r="AO50" i="283" s="1"/>
  <c r="AP50" i="283" s="1"/>
  <c r="AQ50" i="283" s="1"/>
  <c r="AR53" i="283"/>
  <c r="G237" i="283"/>
  <c r="K237" i="283" s="1"/>
  <c r="I145" i="283"/>
  <c r="AQ145" i="283" s="1"/>
  <c r="AQ183" i="283" s="1"/>
  <c r="I155" i="283"/>
  <c r="AN155" i="283" s="1"/>
  <c r="AN193" i="283" s="1"/>
  <c r="AR56" i="283"/>
  <c r="AR59" i="283"/>
  <c r="AR49" i="283"/>
  <c r="AL51" i="283"/>
  <c r="AM51" i="283" s="1"/>
  <c r="AN51" i="283" s="1"/>
  <c r="AO51" i="283" s="1"/>
  <c r="AP51" i="283" s="1"/>
  <c r="AQ51" i="283" s="1"/>
  <c r="AL44" i="283"/>
  <c r="AM44" i="283" s="1"/>
  <c r="AN44" i="283" s="1"/>
  <c r="AO44" i="283" s="1"/>
  <c r="AP44" i="283" s="1"/>
  <c r="AQ44" i="283" s="1"/>
  <c r="I140" i="283" s="1"/>
  <c r="AM48" i="283"/>
  <c r="AN48" i="283" s="1"/>
  <c r="AO48" i="283" s="1"/>
  <c r="AP48" i="283" s="1"/>
  <c r="AQ48" i="283" s="1"/>
  <c r="AK194" i="283"/>
  <c r="AL52" i="283"/>
  <c r="AM52" i="283" s="1"/>
  <c r="AN52" i="283" s="1"/>
  <c r="AO52" i="283" s="1"/>
  <c r="AP52" i="283" s="1"/>
  <c r="AQ52" i="283" s="1"/>
  <c r="AL46" i="283"/>
  <c r="AO106" i="283"/>
  <c r="AP106" i="283" s="1"/>
  <c r="AQ106" i="283" s="1"/>
  <c r="AR106" i="283" s="1"/>
  <c r="AE194" i="283"/>
  <c r="AK101" i="283"/>
  <c r="AL101" i="283" s="1"/>
  <c r="AM101" i="283" s="1"/>
  <c r="AN101" i="283" s="1"/>
  <c r="AO101" i="283" s="1"/>
  <c r="AP101" i="283" s="1"/>
  <c r="AQ101" i="283" s="1"/>
  <c r="AR101" i="283" s="1"/>
  <c r="AO102" i="283"/>
  <c r="AP102" i="283" s="1"/>
  <c r="AQ102" i="283" s="1"/>
  <c r="AR102" i="283" s="1"/>
  <c r="AH98" i="283"/>
  <c r="AG99" i="283"/>
  <c r="AH99" i="283" s="1"/>
  <c r="AI99" i="283" s="1"/>
  <c r="AJ99" i="283" s="1"/>
  <c r="AK99" i="283" s="1"/>
  <c r="AL99" i="283" s="1"/>
  <c r="AM99" i="283" s="1"/>
  <c r="AN99" i="283" s="1"/>
  <c r="AO99" i="283" s="1"/>
  <c r="AP99" i="283" s="1"/>
  <c r="AQ99" i="283" s="1"/>
  <c r="AR99" i="283" s="1"/>
  <c r="AA88" i="283"/>
  <c r="AB88" i="283" s="1"/>
  <c r="AC88" i="283" s="1"/>
  <c r="AD88" i="283" s="1"/>
  <c r="AE88" i="283" s="1"/>
  <c r="W90" i="283"/>
  <c r="AD93" i="283"/>
  <c r="AE93" i="283" s="1"/>
  <c r="AF93" i="283" s="1"/>
  <c r="AG93" i="283" s="1"/>
  <c r="AH93" i="283" s="1"/>
  <c r="AI93" i="283" s="1"/>
  <c r="AJ93" i="283" s="1"/>
  <c r="AK93" i="283" s="1"/>
  <c r="AL93" i="283" s="1"/>
  <c r="AM93" i="283" s="1"/>
  <c r="AN93" i="283" s="1"/>
  <c r="AO93" i="283" s="1"/>
  <c r="AP93" i="283" s="1"/>
  <c r="AQ93" i="283" s="1"/>
  <c r="AR93" i="283" s="1"/>
  <c r="AR57" i="283"/>
  <c r="AE45" i="283"/>
  <c r="AH47" i="283"/>
  <c r="I154" i="283"/>
  <c r="AR58" i="283"/>
  <c r="AO158" i="283"/>
  <c r="AO196" i="283" s="1"/>
  <c r="AK158" i="283"/>
  <c r="AG158" i="283"/>
  <c r="AG196" i="283" s="1"/>
  <c r="AR158" i="283"/>
  <c r="AR196" i="283" s="1"/>
  <c r="AN158" i="283"/>
  <c r="AN196" i="283" s="1"/>
  <c r="AJ158" i="283"/>
  <c r="AJ196" i="283" s="1"/>
  <c r="AF158" i="283"/>
  <c r="AF196" i="283" s="1"/>
  <c r="AQ158" i="283"/>
  <c r="AQ196" i="283" s="1"/>
  <c r="AM158" i="283"/>
  <c r="AM196" i="283" s="1"/>
  <c r="AI158" i="283"/>
  <c r="AI196" i="283" s="1"/>
  <c r="AE158" i="283"/>
  <c r="AP158" i="283"/>
  <c r="AP196" i="283" s="1"/>
  <c r="AL158" i="283"/>
  <c r="AL196" i="283" s="1"/>
  <c r="AH158" i="283"/>
  <c r="AH196" i="283" s="1"/>
  <c r="I146" i="283" l="1"/>
  <c r="AA146" i="283" s="1"/>
  <c r="AA184" i="283" s="1"/>
  <c r="AR50" i="283"/>
  <c r="AN145" i="283"/>
  <c r="AN183" i="283" s="1"/>
  <c r="AG145" i="283"/>
  <c r="AG183" i="283" s="1"/>
  <c r="AL145" i="283"/>
  <c r="AL183" i="283" s="1"/>
  <c r="AB145" i="283"/>
  <c r="AB183" i="283" s="1"/>
  <c r="W145" i="283"/>
  <c r="W183" i="283" s="1"/>
  <c r="AA145" i="283"/>
  <c r="AA183" i="283" s="1"/>
  <c r="V145" i="283"/>
  <c r="V183" i="283" s="1"/>
  <c r="AR145" i="283"/>
  <c r="AR183" i="283" s="1"/>
  <c r="R145" i="283"/>
  <c r="R183" i="283" s="1"/>
  <c r="AI145" i="283"/>
  <c r="AI183" i="283" s="1"/>
  <c r="S145" i="283"/>
  <c r="S183" i="283" s="1"/>
  <c r="AD145" i="283"/>
  <c r="AD183" i="283" s="1"/>
  <c r="AO145" i="283"/>
  <c r="AO183" i="283" s="1"/>
  <c r="Y145" i="283"/>
  <c r="Y183" i="283" s="1"/>
  <c r="AJ145" i="283"/>
  <c r="AJ183" i="283" s="1"/>
  <c r="T145" i="283"/>
  <c r="T183" i="283" s="1"/>
  <c r="AM145" i="283"/>
  <c r="AM183" i="283" s="1"/>
  <c r="AH145" i="283"/>
  <c r="AH183" i="283" s="1"/>
  <c r="AC145" i="283"/>
  <c r="AC183" i="283" s="1"/>
  <c r="X145" i="283"/>
  <c r="X183" i="283" s="1"/>
  <c r="AE145" i="283"/>
  <c r="AE183" i="283" s="1"/>
  <c r="AR155" i="283"/>
  <c r="AR193" i="283" s="1"/>
  <c r="Z145" i="283"/>
  <c r="Z183" i="283" s="1"/>
  <c r="AF145" i="283"/>
  <c r="AF183" i="283" s="1"/>
  <c r="U145" i="283"/>
  <c r="U183" i="283" s="1"/>
  <c r="AP145" i="283"/>
  <c r="AP183" i="283" s="1"/>
  <c r="AK145" i="283"/>
  <c r="AE155" i="283"/>
  <c r="AE193" i="283" s="1"/>
  <c r="AC155" i="283"/>
  <c r="AC193" i="283" s="1"/>
  <c r="AD155" i="283"/>
  <c r="AD193" i="283" s="1"/>
  <c r="AB155" i="283"/>
  <c r="AB193" i="283" s="1"/>
  <c r="AM155" i="283"/>
  <c r="AM193" i="283" s="1"/>
  <c r="AL155" i="283"/>
  <c r="AL193" i="283" s="1"/>
  <c r="AK155" i="283"/>
  <c r="AK193" i="283" s="1"/>
  <c r="AJ155" i="283"/>
  <c r="AJ193" i="283" s="1"/>
  <c r="AI155" i="283"/>
  <c r="AI193" i="283" s="1"/>
  <c r="AQ155" i="283"/>
  <c r="AQ193" i="283" s="1"/>
  <c r="AH155" i="283"/>
  <c r="AH193" i="283" s="1"/>
  <c r="AP155" i="283"/>
  <c r="AP193" i="283" s="1"/>
  <c r="AG155" i="283"/>
  <c r="AG193" i="283" s="1"/>
  <c r="AO155" i="283"/>
  <c r="AO193" i="283" s="1"/>
  <c r="AF155" i="283"/>
  <c r="AF193" i="283" s="1"/>
  <c r="I153" i="283"/>
  <c r="AO153" i="283" s="1"/>
  <c r="AO191" i="283" s="1"/>
  <c r="AR52" i="283"/>
  <c r="G242" i="283"/>
  <c r="I157" i="283"/>
  <c r="AO157" i="283" s="1"/>
  <c r="AO195" i="283" s="1"/>
  <c r="I147" i="283"/>
  <c r="AR147" i="283" s="1"/>
  <c r="AM46" i="283"/>
  <c r="AN46" i="283" s="1"/>
  <c r="AO46" i="283" s="1"/>
  <c r="AP46" i="283" s="1"/>
  <c r="AQ46" i="283" s="1"/>
  <c r="AL140" i="283"/>
  <c r="AL178" i="283" s="1"/>
  <c r="AD140" i="283"/>
  <c r="AD178" i="283" s="1"/>
  <c r="V140" i="283"/>
  <c r="V178" i="283" s="1"/>
  <c r="N140" i="283"/>
  <c r="N178" i="283" s="1"/>
  <c r="AK140" i="283"/>
  <c r="AC140" i="283"/>
  <c r="AC178" i="283" s="1"/>
  <c r="U140" i="283"/>
  <c r="U178" i="283" s="1"/>
  <c r="M140" i="283"/>
  <c r="M178" i="283" s="1"/>
  <c r="AN140" i="283"/>
  <c r="AN178" i="283" s="1"/>
  <c r="AF140" i="283"/>
  <c r="AF178" i="283" s="1"/>
  <c r="X140" i="283"/>
  <c r="X178" i="283" s="1"/>
  <c r="P140" i="283"/>
  <c r="P178" i="283" s="1"/>
  <c r="AM140" i="283"/>
  <c r="AM178" i="283" s="1"/>
  <c r="AE140" i="283"/>
  <c r="AE178" i="283" s="1"/>
  <c r="W140" i="283"/>
  <c r="W178" i="283" s="1"/>
  <c r="O140" i="283"/>
  <c r="O178" i="283" s="1"/>
  <c r="AP140" i="283"/>
  <c r="AP178" i="283" s="1"/>
  <c r="AH140" i="283"/>
  <c r="AH178" i="283" s="1"/>
  <c r="Z140" i="283"/>
  <c r="Z178" i="283" s="1"/>
  <c r="R140" i="283"/>
  <c r="R178" i="283" s="1"/>
  <c r="AO140" i="283"/>
  <c r="AO178" i="283" s="1"/>
  <c r="AG140" i="283"/>
  <c r="AG178" i="283" s="1"/>
  <c r="Y140" i="283"/>
  <c r="Y178" i="283" s="1"/>
  <c r="Q140" i="283"/>
  <c r="Q178" i="283" s="1"/>
  <c r="AR140" i="283"/>
  <c r="AR178" i="283" s="1"/>
  <c r="AJ140" i="283"/>
  <c r="AJ178" i="283" s="1"/>
  <c r="AB140" i="283"/>
  <c r="AB178" i="283" s="1"/>
  <c r="T140" i="283"/>
  <c r="T178" i="283" s="1"/>
  <c r="AQ140" i="283"/>
  <c r="AQ178" i="283" s="1"/>
  <c r="AI140" i="283"/>
  <c r="AI178" i="283" s="1"/>
  <c r="AA140" i="283"/>
  <c r="AA178" i="283" s="1"/>
  <c r="S140" i="283"/>
  <c r="S178" i="283" s="1"/>
  <c r="AK196" i="283"/>
  <c r="I148" i="283"/>
  <c r="AR148" i="283" s="1"/>
  <c r="AR51" i="283"/>
  <c r="AR48" i="283"/>
  <c r="AF88" i="283"/>
  <c r="AE196" i="283"/>
  <c r="I152" i="283"/>
  <c r="X90" i="283"/>
  <c r="Y90" i="283" s="1"/>
  <c r="Z90" i="283" s="1"/>
  <c r="AI98" i="283"/>
  <c r="AJ98" i="283" s="1"/>
  <c r="AK98" i="283" s="1"/>
  <c r="I150" i="283"/>
  <c r="I144" i="283"/>
  <c r="AF45" i="283"/>
  <c r="AI47" i="283"/>
  <c r="AO154" i="283"/>
  <c r="AO192" i="283" s="1"/>
  <c r="AG154" i="283"/>
  <c r="AG192" i="283" s="1"/>
  <c r="AR154" i="283"/>
  <c r="AR192" i="283" s="1"/>
  <c r="AJ154" i="283"/>
  <c r="AJ192" i="283" s="1"/>
  <c r="AB154" i="283"/>
  <c r="AB192" i="283" s="1"/>
  <c r="AM154" i="283"/>
  <c r="AM192" i="283" s="1"/>
  <c r="AE154" i="283"/>
  <c r="AP154" i="283"/>
  <c r="AP192" i="283" s="1"/>
  <c r="AH154" i="283"/>
  <c r="AH192" i="283" s="1"/>
  <c r="AK154" i="283"/>
  <c r="AN154" i="283"/>
  <c r="AN192" i="283" s="1"/>
  <c r="AF154" i="283"/>
  <c r="AF192" i="283" s="1"/>
  <c r="AI154" i="283"/>
  <c r="AI192" i="283" s="1"/>
  <c r="AA154" i="283"/>
  <c r="AA192" i="283" s="1"/>
  <c r="AD154" i="283"/>
  <c r="AD192" i="283" s="1"/>
  <c r="AC154" i="283"/>
  <c r="AC192" i="283" s="1"/>
  <c r="AQ154" i="283"/>
  <c r="AQ192" i="283" s="1"/>
  <c r="AL154" i="283"/>
  <c r="AL192" i="283" s="1"/>
  <c r="K242" i="283" l="1"/>
  <c r="AD146" i="283"/>
  <c r="AD184" i="283" s="1"/>
  <c r="AK146" i="283"/>
  <c r="AK184" i="283" s="1"/>
  <c r="AC146" i="283"/>
  <c r="AC184" i="283" s="1"/>
  <c r="Y146" i="283"/>
  <c r="Y184" i="283" s="1"/>
  <c r="AB146" i="283"/>
  <c r="AB184" i="283" s="1"/>
  <c r="X146" i="283"/>
  <c r="X184" i="283" s="1"/>
  <c r="AM146" i="283"/>
  <c r="AM184" i="283" s="1"/>
  <c r="T146" i="283"/>
  <c r="T184" i="283" s="1"/>
  <c r="AH146" i="283"/>
  <c r="AH184" i="283" s="1"/>
  <c r="AF146" i="283"/>
  <c r="AF184" i="283" s="1"/>
  <c r="AP146" i="283"/>
  <c r="AP184" i="283" s="1"/>
  <c r="V146" i="283"/>
  <c r="V184" i="283" s="1"/>
  <c r="AL146" i="283"/>
  <c r="AL184" i="283" s="1"/>
  <c r="AQ146" i="283"/>
  <c r="AQ184" i="283" s="1"/>
  <c r="U146" i="283"/>
  <c r="U184" i="283" s="1"/>
  <c r="AI146" i="283"/>
  <c r="AI184" i="283" s="1"/>
  <c r="AJ146" i="283"/>
  <c r="AJ184" i="283" s="1"/>
  <c r="AO146" i="283"/>
  <c r="AO184" i="283" s="1"/>
  <c r="W146" i="283"/>
  <c r="W184" i="283" s="1"/>
  <c r="AN146" i="283"/>
  <c r="AN184" i="283" s="1"/>
  <c r="S146" i="283"/>
  <c r="S184" i="283" s="1"/>
  <c r="AG146" i="283"/>
  <c r="AG184" i="283" s="1"/>
  <c r="AE146" i="283"/>
  <c r="AE184" i="283" s="1"/>
  <c r="AR146" i="283"/>
  <c r="AR184" i="283" s="1"/>
  <c r="Z146" i="283"/>
  <c r="Z184" i="283" s="1"/>
  <c r="AG88" i="283"/>
  <c r="AK183" i="283"/>
  <c r="G231" i="283" s="1"/>
  <c r="K231" i="283" s="1"/>
  <c r="AG157" i="283"/>
  <c r="AG195" i="283" s="1"/>
  <c r="AI157" i="283"/>
  <c r="AI195" i="283" s="1"/>
  <c r="AF157" i="283"/>
  <c r="AF195" i="283" s="1"/>
  <c r="AR157" i="283"/>
  <c r="AR195" i="283" s="1"/>
  <c r="AJ157" i="283"/>
  <c r="AJ195" i="283" s="1"/>
  <c r="AQ157" i="283"/>
  <c r="AQ195" i="283" s="1"/>
  <c r="AH157" i="283"/>
  <c r="AH195" i="283" s="1"/>
  <c r="AA148" i="283"/>
  <c r="AA186" i="283" s="1"/>
  <c r="AB153" i="283"/>
  <c r="AB191" i="283" s="1"/>
  <c r="AM148" i="283"/>
  <c r="AM186" i="283" s="1"/>
  <c r="AH153" i="283"/>
  <c r="AH191" i="283" s="1"/>
  <c r="AI153" i="283"/>
  <c r="AI191" i="283" s="1"/>
  <c r="AQ153" i="283"/>
  <c r="AQ191" i="283" s="1"/>
  <c r="X148" i="283"/>
  <c r="X186" i="283" s="1"/>
  <c r="AR153" i="283"/>
  <c r="AR191" i="283" s="1"/>
  <c r="AE153" i="283"/>
  <c r="AE191" i="283" s="1"/>
  <c r="AP147" i="283"/>
  <c r="AP185" i="283" s="1"/>
  <c r="AJ148" i="283"/>
  <c r="AJ186" i="283" s="1"/>
  <c r="AO148" i="283"/>
  <c r="AO186" i="283" s="1"/>
  <c r="AC148" i="283"/>
  <c r="AC186" i="283" s="1"/>
  <c r="AG153" i="283"/>
  <c r="AG191" i="283" s="1"/>
  <c r="AJ153" i="283"/>
  <c r="AJ191" i="283" s="1"/>
  <c r="AM153" i="283"/>
  <c r="AM191" i="283" s="1"/>
  <c r="AP153" i="283"/>
  <c r="AP191" i="283" s="1"/>
  <c r="Z153" i="283"/>
  <c r="Z191" i="283" s="1"/>
  <c r="AC153" i="283"/>
  <c r="AC191" i="283" s="1"/>
  <c r="AN153" i="283"/>
  <c r="AN191" i="283" s="1"/>
  <c r="AD147" i="283"/>
  <c r="AD185" i="283" s="1"/>
  <c r="AQ148" i="283"/>
  <c r="AQ186" i="283" s="1"/>
  <c r="AH148" i="283"/>
  <c r="AH186" i="283" s="1"/>
  <c r="Y148" i="283"/>
  <c r="Y186" i="283" s="1"/>
  <c r="AL148" i="283"/>
  <c r="AL186" i="283" s="1"/>
  <c r="W148" i="283"/>
  <c r="W186" i="283" s="1"/>
  <c r="AD148" i="283"/>
  <c r="AD186" i="283" s="1"/>
  <c r="AF153" i="283"/>
  <c r="AF191" i="283" s="1"/>
  <c r="AL153" i="283"/>
  <c r="AL191" i="283" s="1"/>
  <c r="AK153" i="283"/>
  <c r="AD153" i="283"/>
  <c r="AD191" i="283" s="1"/>
  <c r="AA153" i="283"/>
  <c r="AA191" i="283" s="1"/>
  <c r="G241" i="283"/>
  <c r="K241" i="283" s="1"/>
  <c r="W147" i="283"/>
  <c r="W185" i="283" s="1"/>
  <c r="AK147" i="283"/>
  <c r="AK157" i="283"/>
  <c r="AD157" i="283"/>
  <c r="AD195" i="283" s="1"/>
  <c r="AL157" i="283"/>
  <c r="AL195" i="283" s="1"/>
  <c r="AM157" i="283"/>
  <c r="AM195" i="283" s="1"/>
  <c r="AE157" i="283"/>
  <c r="AE195" i="283" s="1"/>
  <c r="AP157" i="283"/>
  <c r="AP195" i="283" s="1"/>
  <c r="AN157" i="283"/>
  <c r="AN195" i="283" s="1"/>
  <c r="AR186" i="283"/>
  <c r="AB148" i="283"/>
  <c r="AB186" i="283" s="1"/>
  <c r="AI148" i="283"/>
  <c r="AI186" i="283" s="1"/>
  <c r="AP148" i="283"/>
  <c r="AP186" i="283" s="1"/>
  <c r="Z148" i="283"/>
  <c r="Z186" i="283" s="1"/>
  <c r="AG148" i="283"/>
  <c r="AG186" i="283" s="1"/>
  <c r="AN148" i="283"/>
  <c r="AN186" i="283" s="1"/>
  <c r="AE148" i="283"/>
  <c r="AE186" i="283" s="1"/>
  <c r="V148" i="283"/>
  <c r="V186" i="283" s="1"/>
  <c r="AF148" i="283"/>
  <c r="AF186" i="283" s="1"/>
  <c r="AK148" i="283"/>
  <c r="AK186" i="283" s="1"/>
  <c r="U148" i="283"/>
  <c r="U186" i="283" s="1"/>
  <c r="AI147" i="283"/>
  <c r="AI185" i="283" s="1"/>
  <c r="X147" i="283"/>
  <c r="X185" i="283" s="1"/>
  <c r="AM147" i="283"/>
  <c r="AM185" i="283" s="1"/>
  <c r="U147" i="283"/>
  <c r="U185" i="283" s="1"/>
  <c r="AB147" i="283"/>
  <c r="AB185" i="283" s="1"/>
  <c r="AQ147" i="283"/>
  <c r="AQ185" i="283" s="1"/>
  <c r="AH147" i="283"/>
  <c r="AH185" i="283" s="1"/>
  <c r="AF147" i="283"/>
  <c r="AF185" i="283" s="1"/>
  <c r="AA147" i="283"/>
  <c r="AA185" i="283" s="1"/>
  <c r="AO147" i="283"/>
  <c r="AO185" i="283" s="1"/>
  <c r="Y147" i="283"/>
  <c r="Y185" i="283" s="1"/>
  <c r="AG147" i="283"/>
  <c r="AG185" i="283" s="1"/>
  <c r="V147" i="283"/>
  <c r="V185" i="283" s="1"/>
  <c r="AC147" i="283"/>
  <c r="AC185" i="283" s="1"/>
  <c r="AJ147" i="283"/>
  <c r="AJ185" i="283" s="1"/>
  <c r="AE147" i="283"/>
  <c r="AE185" i="283" s="1"/>
  <c r="AL147" i="283"/>
  <c r="AL185" i="283" s="1"/>
  <c r="T147" i="283"/>
  <c r="T185" i="283" s="1"/>
  <c r="Z147" i="283"/>
  <c r="Z185" i="283" s="1"/>
  <c r="AN147" i="283"/>
  <c r="AN185" i="283" s="1"/>
  <c r="I142" i="283"/>
  <c r="AO142" i="283" s="1"/>
  <c r="AO180" i="283" s="1"/>
  <c r="G244" i="283"/>
  <c r="K244" i="283" s="1"/>
  <c r="AR46" i="283"/>
  <c r="AK178" i="283"/>
  <c r="G226" i="283" s="1"/>
  <c r="K226" i="283" s="1"/>
  <c r="AK192" i="283"/>
  <c r="AR185" i="283"/>
  <c r="AE192" i="283"/>
  <c r="AL152" i="283"/>
  <c r="AL190" i="283" s="1"/>
  <c r="AD152" i="283"/>
  <c r="AD190" i="283" s="1"/>
  <c r="AO152" i="283"/>
  <c r="AO190" i="283" s="1"/>
  <c r="AG152" i="283"/>
  <c r="AG190" i="283" s="1"/>
  <c r="Y152" i="283"/>
  <c r="Y190" i="283" s="1"/>
  <c r="AN152" i="283"/>
  <c r="AN190" i="283" s="1"/>
  <c r="AF152" i="283"/>
  <c r="AF190" i="283" s="1"/>
  <c r="AQ152" i="283"/>
  <c r="AQ190" i="283" s="1"/>
  <c r="AI152" i="283"/>
  <c r="AI190" i="283" s="1"/>
  <c r="AA152" i="283"/>
  <c r="AA190" i="283" s="1"/>
  <c r="AH152" i="283"/>
  <c r="AH190" i="283" s="1"/>
  <c r="Z152" i="283"/>
  <c r="Z190" i="283" s="1"/>
  <c r="AK152" i="283"/>
  <c r="AR152" i="283"/>
  <c r="AR190" i="283" s="1"/>
  <c r="AJ152" i="283"/>
  <c r="AJ190" i="283" s="1"/>
  <c r="AM152" i="283"/>
  <c r="AM190" i="283" s="1"/>
  <c r="AP152" i="283"/>
  <c r="AP190" i="283" s="1"/>
  <c r="AC152" i="283"/>
  <c r="AC190" i="283" s="1"/>
  <c r="AB152" i="283"/>
  <c r="AB190" i="283" s="1"/>
  <c r="AE152" i="283"/>
  <c r="AA90" i="283"/>
  <c r="AB90" i="283" s="1"/>
  <c r="AL98" i="283"/>
  <c r="AM98" i="283" s="1"/>
  <c r="AN98" i="283" s="1"/>
  <c r="AO98" i="283" s="1"/>
  <c r="AP98" i="283" s="1"/>
  <c r="AQ98" i="283" s="1"/>
  <c r="AR98" i="283" s="1"/>
  <c r="AQ150" i="283"/>
  <c r="AQ188" i="283" s="1"/>
  <c r="AI150" i="283"/>
  <c r="AI188" i="283" s="1"/>
  <c r="AA150" i="283"/>
  <c r="AA188" i="283" s="1"/>
  <c r="AP150" i="283"/>
  <c r="AP188" i="283" s="1"/>
  <c r="AH150" i="283"/>
  <c r="AH188" i="283" s="1"/>
  <c r="Z150" i="283"/>
  <c r="Z188" i="283" s="1"/>
  <c r="AK150" i="283"/>
  <c r="AC150" i="283"/>
  <c r="AC188" i="283" s="1"/>
  <c r="AR150" i="283"/>
  <c r="AR188" i="283" s="1"/>
  <c r="AJ150" i="283"/>
  <c r="AJ188" i="283" s="1"/>
  <c r="AB150" i="283"/>
  <c r="AB188" i="283" s="1"/>
  <c r="AM150" i="283"/>
  <c r="AM188" i="283" s="1"/>
  <c r="AE150" i="283"/>
  <c r="W150" i="283"/>
  <c r="W188" i="283" s="1"/>
  <c r="AL150" i="283"/>
  <c r="AL188" i="283" s="1"/>
  <c r="AD150" i="283"/>
  <c r="AD188" i="283" s="1"/>
  <c r="AO150" i="283"/>
  <c r="AO188" i="283" s="1"/>
  <c r="AG150" i="283"/>
  <c r="AG188" i="283" s="1"/>
  <c r="Y150" i="283"/>
  <c r="Y188" i="283" s="1"/>
  <c r="AN150" i="283"/>
  <c r="AN188" i="283" s="1"/>
  <c r="AF150" i="283"/>
  <c r="AF188" i="283" s="1"/>
  <c r="X150" i="283"/>
  <c r="X188" i="283" s="1"/>
  <c r="W144" i="283"/>
  <c r="W182" i="283" s="1"/>
  <c r="AL144" i="283"/>
  <c r="AL182" i="283" s="1"/>
  <c r="AD144" i="283"/>
  <c r="AD182" i="283" s="1"/>
  <c r="V144" i="283"/>
  <c r="V182" i="283" s="1"/>
  <c r="AO144" i="283"/>
  <c r="AO182" i="283" s="1"/>
  <c r="AG144" i="283"/>
  <c r="AG182" i="283" s="1"/>
  <c r="Y144" i="283"/>
  <c r="Y182" i="283" s="1"/>
  <c r="Q144" i="283"/>
  <c r="Q182" i="283" s="1"/>
  <c r="AN144" i="283"/>
  <c r="AN182" i="283" s="1"/>
  <c r="AF144" i="283"/>
  <c r="AF182" i="283" s="1"/>
  <c r="X144" i="283"/>
  <c r="X182" i="283" s="1"/>
  <c r="AQ144" i="283"/>
  <c r="AQ182" i="283" s="1"/>
  <c r="AI144" i="283"/>
  <c r="AI182" i="283" s="1"/>
  <c r="AA144" i="283"/>
  <c r="AA182" i="283" s="1"/>
  <c r="AP144" i="283"/>
  <c r="AP182" i="283" s="1"/>
  <c r="AH144" i="283"/>
  <c r="AH182" i="283" s="1"/>
  <c r="Z144" i="283"/>
  <c r="Z182" i="283" s="1"/>
  <c r="R144" i="283"/>
  <c r="R182" i="283" s="1"/>
  <c r="AK144" i="283"/>
  <c r="AC144" i="283"/>
  <c r="AC182" i="283" s="1"/>
  <c r="U144" i="283"/>
  <c r="U182" i="283" s="1"/>
  <c r="AR144" i="283"/>
  <c r="AR182" i="283" s="1"/>
  <c r="AJ144" i="283"/>
  <c r="AJ182" i="283" s="1"/>
  <c r="AB144" i="283"/>
  <c r="AB182" i="283" s="1"/>
  <c r="T144" i="283"/>
  <c r="T182" i="283" s="1"/>
  <c r="AM144" i="283"/>
  <c r="AM182" i="283" s="1"/>
  <c r="AE144" i="283"/>
  <c r="S144" i="283"/>
  <c r="S182" i="283" s="1"/>
  <c r="AG45" i="283"/>
  <c r="AJ47" i="283"/>
  <c r="G232" i="283" l="1"/>
  <c r="K232" i="283" s="1"/>
  <c r="AH88" i="283"/>
  <c r="AI88" i="283" s="1"/>
  <c r="AJ88" i="283" s="1"/>
  <c r="AK88" i="283" s="1"/>
  <c r="AL88" i="283" s="1"/>
  <c r="AM88" i="283" s="1"/>
  <c r="AN88" i="283" s="1"/>
  <c r="AO88" i="283" s="1"/>
  <c r="AP88" i="283" s="1"/>
  <c r="AQ88" i="283" s="1"/>
  <c r="AK191" i="283"/>
  <c r="G239" i="283" s="1"/>
  <c r="K239" i="283" s="1"/>
  <c r="AK185" i="283"/>
  <c r="G233" i="283" s="1"/>
  <c r="K233" i="283" s="1"/>
  <c r="AK195" i="283"/>
  <c r="G243" i="283" s="1"/>
  <c r="K243" i="283" s="1"/>
  <c r="G234" i="283"/>
  <c r="K234" i="283" s="1"/>
  <c r="AG142" i="283"/>
  <c r="AG180" i="283" s="1"/>
  <c r="G240" i="283"/>
  <c r="K240" i="283" s="1"/>
  <c r="AI142" i="283"/>
  <c r="AI180" i="283" s="1"/>
  <c r="AK142" i="283"/>
  <c r="AK180" i="283" s="1"/>
  <c r="AH142" i="283"/>
  <c r="AH180" i="283" s="1"/>
  <c r="AJ142" i="283"/>
  <c r="AJ180" i="283" s="1"/>
  <c r="AE142" i="283"/>
  <c r="AE180" i="283" s="1"/>
  <c r="R142" i="283"/>
  <c r="R180" i="283" s="1"/>
  <c r="S142" i="283"/>
  <c r="S180" i="283" s="1"/>
  <c r="T142" i="283"/>
  <c r="T180" i="283" s="1"/>
  <c r="U142" i="283"/>
  <c r="U180" i="283" s="1"/>
  <c r="AD142" i="283"/>
  <c r="AD180" i="283" s="1"/>
  <c r="AF142" i="283"/>
  <c r="AF180" i="283" s="1"/>
  <c r="AC90" i="283"/>
  <c r="AD90" i="283" s="1"/>
  <c r="AE90" i="283" s="1"/>
  <c r="AF90" i="283" s="1"/>
  <c r="O142" i="283"/>
  <c r="O180" i="283" s="1"/>
  <c r="P142" i="283"/>
  <c r="P180" i="283" s="1"/>
  <c r="Q142" i="283"/>
  <c r="Q180" i="283" s="1"/>
  <c r="Z142" i="283"/>
  <c r="Z180" i="283" s="1"/>
  <c r="AP142" i="283"/>
  <c r="AP180" i="283" s="1"/>
  <c r="AA142" i="283"/>
  <c r="AA180" i="283" s="1"/>
  <c r="AQ142" i="283"/>
  <c r="AQ180" i="283" s="1"/>
  <c r="AB142" i="283"/>
  <c r="AB180" i="283" s="1"/>
  <c r="AR142" i="283"/>
  <c r="AR180" i="283" s="1"/>
  <c r="AC142" i="283"/>
  <c r="AC180" i="283" s="1"/>
  <c r="V142" i="283"/>
  <c r="V180" i="283" s="1"/>
  <c r="AL142" i="283"/>
  <c r="AL180" i="283" s="1"/>
  <c r="W142" i="283"/>
  <c r="W180" i="283" s="1"/>
  <c r="AM142" i="283"/>
  <c r="AM180" i="283" s="1"/>
  <c r="X142" i="283"/>
  <c r="X180" i="283" s="1"/>
  <c r="AN142" i="283"/>
  <c r="AN180" i="283" s="1"/>
  <c r="Y142" i="283"/>
  <c r="Y180" i="283" s="1"/>
  <c r="AK182" i="283"/>
  <c r="AK188" i="283"/>
  <c r="AK190" i="283"/>
  <c r="AE182" i="283"/>
  <c r="AE190" i="283"/>
  <c r="AE188" i="283"/>
  <c r="I149" i="283"/>
  <c r="AC149" i="283" s="1"/>
  <c r="AC187" i="283" s="1"/>
  <c r="AH45" i="283"/>
  <c r="AI45" i="283" s="1"/>
  <c r="AJ45" i="283" s="1"/>
  <c r="AK45" i="283" s="1"/>
  <c r="AK47" i="283"/>
  <c r="G236" i="283" l="1"/>
  <c r="K236" i="283" s="1"/>
  <c r="I139" i="283"/>
  <c r="S139" i="283" s="1"/>
  <c r="S177" i="283" s="1"/>
  <c r="G230" i="283"/>
  <c r="K230" i="283" s="1"/>
  <c r="G238" i="283"/>
  <c r="K238" i="283" s="1"/>
  <c r="AG149" i="283"/>
  <c r="AG187" i="283" s="1"/>
  <c r="AG90" i="283"/>
  <c r="AH90" i="283" s="1"/>
  <c r="AI90" i="283" s="1"/>
  <c r="AJ90" i="283" s="1"/>
  <c r="AK90" i="283" s="1"/>
  <c r="AL90" i="283" s="1"/>
  <c r="AM90" i="283" s="1"/>
  <c r="AN90" i="283" s="1"/>
  <c r="AO90" i="283" s="1"/>
  <c r="AP90" i="283" s="1"/>
  <c r="AQ90" i="283" s="1"/>
  <c r="AR90" i="283" s="1"/>
  <c r="G228" i="283"/>
  <c r="K228" i="283" s="1"/>
  <c r="AK149" i="283"/>
  <c r="AK187" i="283" s="1"/>
  <c r="AB149" i="283"/>
  <c r="AB187" i="283" s="1"/>
  <c r="AE149" i="283"/>
  <c r="AE187" i="283" s="1"/>
  <c r="Y149" i="283"/>
  <c r="Y187" i="283" s="1"/>
  <c r="AM149" i="283"/>
  <c r="AM187" i="283" s="1"/>
  <c r="V149" i="283"/>
  <c r="V187" i="283" s="1"/>
  <c r="AA149" i="283"/>
  <c r="AA187" i="283" s="1"/>
  <c r="X149" i="283"/>
  <c r="X187" i="283" s="1"/>
  <c r="AO149" i="283"/>
  <c r="AO187" i="283" s="1"/>
  <c r="AI149" i="283"/>
  <c r="AI187" i="283" s="1"/>
  <c r="AL45" i="283"/>
  <c r="AM45" i="283" s="1"/>
  <c r="AN45" i="283" s="1"/>
  <c r="AO45" i="283" s="1"/>
  <c r="AP45" i="283" s="1"/>
  <c r="AQ45" i="283" s="1"/>
  <c r="AJ149" i="283"/>
  <c r="AJ187" i="283" s="1"/>
  <c r="Z149" i="283"/>
  <c r="Z187" i="283" s="1"/>
  <c r="AN149" i="283"/>
  <c r="AN187" i="283" s="1"/>
  <c r="AF149" i="283"/>
  <c r="AF187" i="283" s="1"/>
  <c r="AD149" i="283"/>
  <c r="AD187" i="283" s="1"/>
  <c r="AQ149" i="283"/>
  <c r="AQ187" i="283" s="1"/>
  <c r="AL149" i="283"/>
  <c r="AL187" i="283" s="1"/>
  <c r="W149" i="283"/>
  <c r="W187" i="283" s="1"/>
  <c r="AR149" i="283"/>
  <c r="AR187" i="283" s="1"/>
  <c r="AH149" i="283"/>
  <c r="AH187" i="283" s="1"/>
  <c r="AP149" i="283"/>
  <c r="AP187" i="283" s="1"/>
  <c r="AL47" i="283"/>
  <c r="O139" i="283" l="1"/>
  <c r="O177" i="283" s="1"/>
  <c r="AM139" i="283"/>
  <c r="AM177" i="283" s="1"/>
  <c r="AA139" i="283"/>
  <c r="AA177" i="283" s="1"/>
  <c r="U139" i="283"/>
  <c r="U177" i="283" s="1"/>
  <c r="Q139" i="283"/>
  <c r="Q177" i="283" s="1"/>
  <c r="M139" i="283"/>
  <c r="M177" i="283" s="1"/>
  <c r="M210" i="283" s="1"/>
  <c r="N139" i="283"/>
  <c r="N177" i="283" s="1"/>
  <c r="Z139" i="283"/>
  <c r="Z177" i="283" s="1"/>
  <c r="AL139" i="283"/>
  <c r="AL177" i="283" s="1"/>
  <c r="AP139" i="283"/>
  <c r="AP177" i="283" s="1"/>
  <c r="AJ139" i="283"/>
  <c r="AJ177" i="283" s="1"/>
  <c r="AO139" i="283"/>
  <c r="AO177" i="283" s="1"/>
  <c r="AH139" i="283"/>
  <c r="AH177" i="283" s="1"/>
  <c r="T139" i="283"/>
  <c r="T177" i="283" s="1"/>
  <c r="AG139" i="283"/>
  <c r="AG177" i="283" s="1"/>
  <c r="AQ139" i="283"/>
  <c r="AQ177" i="283" s="1"/>
  <c r="X139" i="283"/>
  <c r="X177" i="283" s="1"/>
  <c r="AD139" i="283"/>
  <c r="AD177" i="283" s="1"/>
  <c r="AI139" i="283"/>
  <c r="AI177" i="283" s="1"/>
  <c r="AN139" i="283"/>
  <c r="AN177" i="283" s="1"/>
  <c r="AK139" i="283"/>
  <c r="AK177" i="283" s="1"/>
  <c r="W139" i="283"/>
  <c r="W177" i="283" s="1"/>
  <c r="Y139" i="283"/>
  <c r="Y177" i="283" s="1"/>
  <c r="V139" i="283"/>
  <c r="V177" i="283" s="1"/>
  <c r="L139" i="283"/>
  <c r="L177" i="283" s="1"/>
  <c r="AB139" i="283"/>
  <c r="AB177" i="283" s="1"/>
  <c r="AF139" i="283"/>
  <c r="AF177" i="283" s="1"/>
  <c r="R139" i="283"/>
  <c r="R177" i="283" s="1"/>
  <c r="P139" i="283"/>
  <c r="P177" i="283" s="1"/>
  <c r="AE139" i="283"/>
  <c r="AE177" i="283" s="1"/>
  <c r="AC139" i="283"/>
  <c r="AC177" i="283" s="1"/>
  <c r="G235" i="283"/>
  <c r="K235" i="283" s="1"/>
  <c r="I141" i="283"/>
  <c r="AK141" i="283" s="1"/>
  <c r="AR45" i="283"/>
  <c r="AM47" i="283"/>
  <c r="AN47" i="283" s="1"/>
  <c r="AO47" i="283" s="1"/>
  <c r="AP47" i="283" s="1"/>
  <c r="AQ47" i="283" s="1"/>
  <c r="L210" i="283" l="1"/>
  <c r="G225" i="283"/>
  <c r="K225" i="283" s="1"/>
  <c r="X141" i="283"/>
  <c r="X179" i="283" s="1"/>
  <c r="V141" i="283"/>
  <c r="V179" i="283" s="1"/>
  <c r="P141" i="283"/>
  <c r="P179" i="283" s="1"/>
  <c r="N141" i="283"/>
  <c r="N179" i="283" s="1"/>
  <c r="N210" i="283" s="1"/>
  <c r="AQ141" i="283"/>
  <c r="AQ179" i="283" s="1"/>
  <c r="R141" i="283"/>
  <c r="R179" i="283" s="1"/>
  <c r="T141" i="283"/>
  <c r="T179" i="283" s="1"/>
  <c r="AO141" i="283"/>
  <c r="AO179" i="283" s="1"/>
  <c r="Y141" i="283"/>
  <c r="Y179" i="283" s="1"/>
  <c r="W141" i="283"/>
  <c r="W179" i="283" s="1"/>
  <c r="Q141" i="283"/>
  <c r="Q179" i="283" s="1"/>
  <c r="O141" i="283"/>
  <c r="O179" i="283" s="1"/>
  <c r="O210" i="283" s="1"/>
  <c r="AP141" i="283"/>
  <c r="AP179" i="283" s="1"/>
  <c r="AR141" i="283"/>
  <c r="AR179" i="283" s="1"/>
  <c r="S141" i="283"/>
  <c r="S179" i="283" s="1"/>
  <c r="U141" i="283"/>
  <c r="U179" i="283" s="1"/>
  <c r="AN141" i="283"/>
  <c r="AN179" i="283" s="1"/>
  <c r="AM141" i="283"/>
  <c r="AM179" i="283" s="1"/>
  <c r="AL141" i="283"/>
  <c r="AL179" i="283" s="1"/>
  <c r="AG141" i="283"/>
  <c r="AG179" i="283" s="1"/>
  <c r="AF141" i="283"/>
  <c r="AF179" i="283" s="1"/>
  <c r="AE141" i="283"/>
  <c r="AE179" i="283" s="1"/>
  <c r="AD141" i="283"/>
  <c r="AD179" i="283" s="1"/>
  <c r="Z141" i="283"/>
  <c r="Z179" i="283" s="1"/>
  <c r="AA141" i="283"/>
  <c r="AA179" i="283" s="1"/>
  <c r="AB141" i="283"/>
  <c r="AB179" i="283" s="1"/>
  <c r="AC141" i="283"/>
  <c r="AC179" i="283" s="1"/>
  <c r="AH141" i="283"/>
  <c r="AH179" i="283" s="1"/>
  <c r="AI141" i="283"/>
  <c r="AI179" i="283" s="1"/>
  <c r="AJ141" i="283"/>
  <c r="AJ179" i="283" s="1"/>
  <c r="AK179" i="283"/>
  <c r="I143" i="283"/>
  <c r="AR47" i="283"/>
  <c r="G227" i="283" l="1"/>
  <c r="K227" i="283" s="1"/>
  <c r="AR143" i="283"/>
  <c r="AR181" i="283" s="1"/>
  <c r="AJ143" i="283"/>
  <c r="AJ181" i="283" s="1"/>
  <c r="AB143" i="283"/>
  <c r="AB181" i="283" s="1"/>
  <c r="AB210" i="283" s="1"/>
  <c r="T143" i="283"/>
  <c r="T181" i="283" s="1"/>
  <c r="T210" i="283" s="1"/>
  <c r="AO143" i="283"/>
  <c r="AO181" i="283" s="1"/>
  <c r="AG143" i="283"/>
  <c r="AG181" i="283" s="1"/>
  <c r="Y143" i="283"/>
  <c r="Y181" i="283" s="1"/>
  <c r="Y210" i="283" s="1"/>
  <c r="Q143" i="283"/>
  <c r="Q181" i="283" s="1"/>
  <c r="Q210" i="283" s="1"/>
  <c r="AL143" i="283"/>
  <c r="AL181" i="283" s="1"/>
  <c r="AD143" i="283"/>
  <c r="AD181" i="283" s="1"/>
  <c r="AD210" i="283" s="1"/>
  <c r="V143" i="283"/>
  <c r="V181" i="283" s="1"/>
  <c r="V210" i="283" s="1"/>
  <c r="AQ143" i="283"/>
  <c r="AQ181" i="283" s="1"/>
  <c r="AI143" i="283"/>
  <c r="AI181" i="283" s="1"/>
  <c r="AA143" i="283"/>
  <c r="AA181" i="283" s="1"/>
  <c r="AA210" i="283" s="1"/>
  <c r="S143" i="283"/>
  <c r="S181" i="283" s="1"/>
  <c r="S210" i="283" s="1"/>
  <c r="AN143" i="283"/>
  <c r="AN181" i="283" s="1"/>
  <c r="AF143" i="283"/>
  <c r="AF181" i="283" s="1"/>
  <c r="X143" i="283"/>
  <c r="X181" i="283" s="1"/>
  <c r="X210" i="283" s="1"/>
  <c r="P143" i="283"/>
  <c r="P181" i="283" s="1"/>
  <c r="AK143" i="283"/>
  <c r="AC143" i="283"/>
  <c r="AC181" i="283" s="1"/>
  <c r="AC210" i="283" s="1"/>
  <c r="U143" i="283"/>
  <c r="U181" i="283" s="1"/>
  <c r="U210" i="283" s="1"/>
  <c r="AP143" i="283"/>
  <c r="AP181" i="283" s="1"/>
  <c r="AH143" i="283"/>
  <c r="AH181" i="283" s="1"/>
  <c r="Z143" i="283"/>
  <c r="Z181" i="283" s="1"/>
  <c r="Z210" i="283" s="1"/>
  <c r="R143" i="283"/>
  <c r="R181" i="283" s="1"/>
  <c r="R210" i="283" s="1"/>
  <c r="AM143" i="283"/>
  <c r="AM181" i="283" s="1"/>
  <c r="AE143" i="283"/>
  <c r="W143" i="283"/>
  <c r="W181" i="283" s="1"/>
  <c r="W210" i="283" s="1"/>
  <c r="AK181" i="283" l="1"/>
  <c r="AE181" i="283"/>
  <c r="AE210" i="283" s="1"/>
  <c r="P210" i="283"/>
  <c r="G229" i="283" l="1"/>
  <c r="K229" i="283" s="1"/>
  <c r="AP43" i="197" l="1"/>
  <c r="AK43" i="197"/>
  <c r="AN43" i="197"/>
  <c r="AM43" i="197"/>
  <c r="AJ43" i="197"/>
  <c r="AQ43" i="197"/>
  <c r="AO43" i="197"/>
  <c r="AL43" i="197"/>
  <c r="B210" i="283" l="1"/>
  <c r="C210" i="283" l="1"/>
  <c r="AJ483" i="189" l="1"/>
  <c r="AJ486" i="282"/>
  <c r="AJ474" i="282" s="1"/>
  <c r="AK486" i="282"/>
  <c r="AK474" i="282" s="1"/>
  <c r="AK483" i="189"/>
  <c r="AK484" i="189"/>
  <c r="AL483" i="189"/>
  <c r="AK482" i="189"/>
  <c r="AL486" i="282"/>
  <c r="AL474" i="282" s="1"/>
  <c r="AL482" i="189"/>
  <c r="AL484" i="189"/>
  <c r="AM486" i="282"/>
  <c r="AM474" i="282" s="1"/>
  <c r="AM483" i="189"/>
  <c r="AM484" i="189"/>
  <c r="AM482" i="189"/>
  <c r="AN486" i="282"/>
  <c r="AN474" i="282" s="1"/>
  <c r="AN483" i="189"/>
  <c r="AN482" i="189"/>
  <c r="AN484" i="189"/>
  <c r="AO486" i="282"/>
  <c r="AO474" i="282" s="1"/>
  <c r="AO483" i="189"/>
  <c r="AO482" i="189"/>
  <c r="AO484" i="189"/>
  <c r="AP486" i="282"/>
  <c r="AP474" i="282" s="1"/>
  <c r="AP484" i="189"/>
  <c r="AQ483" i="189"/>
  <c r="AP483" i="189"/>
  <c r="AP482" i="189"/>
  <c r="AQ486" i="282"/>
  <c r="AQ474" i="282" s="1"/>
  <c r="AQ482" i="189"/>
  <c r="AQ484" i="189"/>
  <c r="AJ486" i="189"/>
  <c r="AJ474" i="189" s="1"/>
  <c r="AJ32" i="194" s="1"/>
  <c r="AK486" i="189" l="1"/>
  <c r="AK474" i="189" s="1"/>
  <c r="AK32" i="194" s="1"/>
  <c r="AK33" i="194" s="1"/>
  <c r="AM486" i="189"/>
  <c r="AM474" i="189" s="1"/>
  <c r="AM32" i="194" s="1"/>
  <c r="AM33" i="194" s="1"/>
  <c r="AQ486" i="189"/>
  <c r="AQ474" i="189" s="1"/>
  <c r="AQ32" i="194" s="1"/>
  <c r="AQ33" i="194" s="1"/>
  <c r="AO486" i="189"/>
  <c r="AO474" i="189" s="1"/>
  <c r="AO32" i="194" s="1"/>
  <c r="AO33" i="194" s="1"/>
  <c r="AN486" i="189"/>
  <c r="AN474" i="189" s="1"/>
  <c r="AN32" i="194" s="1"/>
  <c r="AN33" i="194" s="1"/>
  <c r="AP486" i="189"/>
  <c r="AP474" i="189" s="1"/>
  <c r="AP32" i="194" s="1"/>
  <c r="AP33" i="194" s="1"/>
  <c r="AL486" i="189"/>
  <c r="AL474" i="189" s="1"/>
  <c r="AL32" i="194" s="1"/>
  <c r="AL33" i="194" s="1"/>
  <c r="AJ486" i="279" l="1"/>
  <c r="AJ474" i="279" s="1"/>
  <c r="AJ486" i="281" l="1"/>
  <c r="AJ474" i="281" s="1"/>
  <c r="AK486" i="279" l="1"/>
  <c r="AK474" i="279" s="1"/>
  <c r="AK486" i="281" l="1"/>
  <c r="AK474" i="281" s="1"/>
  <c r="AL486" i="279" l="1"/>
  <c r="AL474" i="279" s="1"/>
  <c r="AL486" i="281" l="1"/>
  <c r="AL474" i="281" s="1"/>
  <c r="AM486" i="279" l="1"/>
  <c r="AM474" i="279" s="1"/>
  <c r="AM486" i="281" l="1"/>
  <c r="AM474" i="281" s="1"/>
  <c r="AN486" i="279" l="1"/>
  <c r="AN474" i="279" s="1"/>
  <c r="AN486" i="281" l="1"/>
  <c r="AN474" i="281" s="1"/>
  <c r="AO486" i="279" l="1"/>
  <c r="AO474" i="279" s="1"/>
  <c r="AO486" i="281" l="1"/>
  <c r="AO474" i="281" s="1"/>
  <c r="AP486" i="279" l="1"/>
  <c r="AP474" i="279" s="1"/>
  <c r="AP486" i="281" l="1"/>
  <c r="AP474" i="281" s="1"/>
  <c r="AQ486" i="279" l="1"/>
  <c r="AQ474" i="279" s="1"/>
  <c r="AQ486" i="281" l="1"/>
  <c r="AQ474" i="281" s="1"/>
  <c r="AP143" i="189" l="1"/>
  <c r="AQ143" i="189"/>
  <c r="AN134" i="189" l="1"/>
  <c r="AM134" i="189"/>
  <c r="AJ134" i="189"/>
  <c r="AL134" i="189" l="1"/>
  <c r="AO134" i="189"/>
  <c r="AP134" i="189"/>
  <c r="AK134" i="189" l="1"/>
  <c r="AQ134" i="189" l="1"/>
  <c r="AL125" i="189" l="1"/>
  <c r="AN125" i="189"/>
  <c r="AJ125" i="189"/>
  <c r="AM125" i="189"/>
  <c r="AP125" i="189"/>
  <c r="AO125" i="189"/>
  <c r="AK125" i="189" l="1"/>
  <c r="AQ125" i="189" l="1"/>
  <c r="AP152" i="189" l="1"/>
  <c r="AN152" i="189"/>
  <c r="AM152" i="189"/>
  <c r="AJ152" i="189"/>
  <c r="AL152" i="189"/>
  <c r="AQ152" i="189"/>
  <c r="AO152" i="189"/>
  <c r="AK152" i="189" l="1"/>
  <c r="AQ97" i="189" l="1"/>
  <c r="AM97" i="189"/>
  <c r="AM17" i="183" l="1"/>
  <c r="AJ97" i="189"/>
  <c r="AK97" i="189"/>
  <c r="AQ17" i="183"/>
  <c r="AK17" i="183" l="1"/>
  <c r="AJ17" i="183"/>
  <c r="AL97" i="189"/>
  <c r="AN97" i="189"/>
  <c r="AP97" i="189" l="1"/>
  <c r="AN17" i="183"/>
  <c r="AL17" i="183"/>
  <c r="AO97" i="189"/>
  <c r="AO17" i="183" l="1"/>
  <c r="AP17" i="183"/>
  <c r="AQ432" i="189" l="1"/>
  <c r="AQ58" i="195" s="1"/>
  <c r="AO432" i="189"/>
  <c r="AO58" i="195" s="1"/>
  <c r="AM432" i="189"/>
  <c r="AM58" i="195" s="1"/>
  <c r="AK432" i="189"/>
  <c r="AK58" i="195" s="1"/>
  <c r="AJ432" i="189"/>
  <c r="AJ58" i="195" s="1"/>
  <c r="AP432" i="189"/>
  <c r="AP58" i="195" s="1"/>
  <c r="AN432" i="189"/>
  <c r="AN58" i="195" s="1"/>
  <c r="AL432" i="189"/>
  <c r="AL58" i="195" s="1"/>
  <c r="AQ442" i="189" l="1"/>
  <c r="AQ72" i="195" s="1"/>
  <c r="AO442" i="189"/>
  <c r="AO72" i="195" s="1"/>
  <c r="AM442" i="189"/>
  <c r="AM72" i="195" s="1"/>
  <c r="AK442" i="189"/>
  <c r="AK72" i="195" s="1"/>
  <c r="AJ442" i="189"/>
  <c r="AJ72" i="195" s="1"/>
  <c r="AP442" i="189"/>
  <c r="AP72" i="195" s="1"/>
  <c r="AN442" i="189"/>
  <c r="AN72" i="195" s="1"/>
  <c r="AL442" i="189"/>
  <c r="AL72" i="195" s="1"/>
  <c r="AQ452" i="189"/>
  <c r="AQ84" i="195" s="1"/>
  <c r="AO452" i="189"/>
  <c r="AO84" i="195" s="1"/>
  <c r="AM452" i="189"/>
  <c r="AM84" i="195" s="1"/>
  <c r="AK452" i="189"/>
  <c r="AK84" i="195" s="1"/>
  <c r="AJ452" i="189"/>
  <c r="AJ84" i="195" s="1"/>
  <c r="AP452" i="189"/>
  <c r="AP84" i="195" s="1"/>
  <c r="AN452" i="189"/>
  <c r="AN84" i="195" s="1"/>
  <c r="AL452" i="189"/>
  <c r="AL84" i="195" s="1"/>
  <c r="AQ422" i="189"/>
  <c r="AQ46" i="195" s="1"/>
  <c r="AO422" i="189"/>
  <c r="AO46" i="195" s="1"/>
  <c r="AM422" i="189"/>
  <c r="AM46" i="195" s="1"/>
  <c r="AK422" i="189"/>
  <c r="AK46" i="195" s="1"/>
  <c r="AJ422" i="189"/>
  <c r="AJ46" i="195" s="1"/>
  <c r="AP422" i="189"/>
  <c r="AP46" i="195" s="1"/>
  <c r="AN422" i="189"/>
  <c r="AN46" i="195" s="1"/>
  <c r="AL422" i="189"/>
  <c r="AL46" i="195" s="1"/>
  <c r="AP463" i="205"/>
  <c r="AN463" i="205"/>
  <c r="AL463" i="205"/>
  <c r="AQ463" i="212"/>
  <c r="AO463" i="212"/>
  <c r="AM463" i="212"/>
  <c r="AK463" i="212"/>
  <c r="AP463" i="217"/>
  <c r="AN463" i="217"/>
  <c r="AL463" i="217"/>
  <c r="AQ463" i="277"/>
  <c r="AO463" i="277"/>
  <c r="AM463" i="277"/>
  <c r="AK463" i="277"/>
  <c r="AP463" i="278"/>
  <c r="AN463" i="278"/>
  <c r="AL463" i="278"/>
  <c r="AP463" i="282"/>
  <c r="AN463" i="282"/>
  <c r="AL463" i="282"/>
  <c r="AQ463" i="204"/>
  <c r="AO463" i="204"/>
  <c r="AM463" i="204"/>
  <c r="AK463" i="204"/>
  <c r="AJ463" i="212"/>
  <c r="AJ463" i="277"/>
  <c r="AJ463" i="204"/>
  <c r="AQ463" i="282"/>
  <c r="AM463" i="282"/>
  <c r="AP463" i="204"/>
  <c r="AN463" i="204"/>
  <c r="AJ463" i="205"/>
  <c r="AJ463" i="278"/>
  <c r="AQ463" i="205"/>
  <c r="AO463" i="205"/>
  <c r="AM463" i="205"/>
  <c r="AK463" i="205"/>
  <c r="AP463" i="212"/>
  <c r="AN463" i="212"/>
  <c r="AL463" i="212"/>
  <c r="AQ463" i="217"/>
  <c r="AO463" i="217"/>
  <c r="AM463" i="217"/>
  <c r="AK463" i="217"/>
  <c r="AP463" i="277"/>
  <c r="AN463" i="277"/>
  <c r="AL463" i="277"/>
  <c r="AQ463" i="278"/>
  <c r="AO463" i="278"/>
  <c r="AM463" i="278"/>
  <c r="AK463" i="278"/>
  <c r="AO463" i="282"/>
  <c r="AK463" i="282"/>
  <c r="AL463" i="204"/>
  <c r="AJ463" i="217"/>
  <c r="AJ463" i="282"/>
  <c r="AL412" i="189" l="1"/>
  <c r="AL463" i="281"/>
  <c r="AM412" i="189"/>
  <c r="AM463" i="281"/>
  <c r="AQ412" i="189"/>
  <c r="AQ463" i="281"/>
  <c r="AP463" i="281"/>
  <c r="AP412" i="189"/>
  <c r="AN412" i="189"/>
  <c r="AN463" i="281"/>
  <c r="AJ412" i="189"/>
  <c r="AJ463" i="281"/>
  <c r="AK412" i="189"/>
  <c r="AK463" i="281"/>
  <c r="AO463" i="281"/>
  <c r="AO412" i="189"/>
  <c r="AO34" i="195" l="1"/>
  <c r="AO463" i="189"/>
  <c r="AP463" i="189"/>
  <c r="AP34" i="195"/>
  <c r="AQ463" i="189"/>
  <c r="AQ34" i="195"/>
  <c r="AM463" i="189"/>
  <c r="AM34" i="195"/>
  <c r="AL463" i="189"/>
  <c r="AL34" i="195"/>
  <c r="AK34" i="195"/>
  <c r="AK463" i="189"/>
  <c r="AJ463" i="189"/>
  <c r="AJ34" i="195"/>
  <c r="AN34" i="195"/>
  <c r="AN463" i="189"/>
  <c r="AE295" i="281" l="1"/>
  <c r="AF295" i="281"/>
  <c r="AG295" i="281"/>
  <c r="AH295" i="281"/>
  <c r="AI295" i="281"/>
  <c r="AE299" i="281"/>
  <c r="AF299" i="281"/>
  <c r="AG299" i="281"/>
  <c r="AH299" i="281"/>
  <c r="AI299" i="281"/>
  <c r="AG303" i="281"/>
  <c r="AF307" i="281"/>
  <c r="AH307" i="281"/>
  <c r="AE311" i="281"/>
  <c r="AG311" i="281"/>
  <c r="AI311" i="281"/>
  <c r="AF315" i="281"/>
  <c r="AH315" i="281"/>
  <c r="AE319" i="281"/>
  <c r="AG319" i="281"/>
  <c r="AI319" i="281"/>
  <c r="AF323" i="281"/>
  <c r="AI323" i="281"/>
  <c r="AE327" i="281"/>
  <c r="AF327" i="281"/>
  <c r="AG327" i="281"/>
  <c r="AH327" i="281"/>
  <c r="AI327" i="281"/>
  <c r="AE331" i="281"/>
  <c r="AF331" i="281"/>
  <c r="AG331" i="281"/>
  <c r="AH331" i="281"/>
  <c r="AI331" i="281"/>
  <c r="AE335" i="281"/>
  <c r="AF335" i="281"/>
  <c r="AG335" i="281"/>
  <c r="AH335" i="281"/>
  <c r="AI335" i="281"/>
  <c r="AE339" i="281"/>
  <c r="AF339" i="281"/>
  <c r="AG339" i="281"/>
  <c r="AH339" i="281"/>
  <c r="AI339" i="281"/>
  <c r="AE295" i="280"/>
  <c r="AF295" i="280"/>
  <c r="AG295" i="280"/>
  <c r="AH295" i="280"/>
  <c r="AI295" i="280"/>
  <c r="AE299" i="280"/>
  <c r="AF299" i="280"/>
  <c r="AG299" i="280"/>
  <c r="AH299" i="280"/>
  <c r="AI299" i="280"/>
  <c r="AF303" i="280"/>
  <c r="AI303" i="280"/>
  <c r="AF307" i="280"/>
  <c r="AH307" i="280"/>
  <c r="AE311" i="280"/>
  <c r="AG311" i="280"/>
  <c r="AI311" i="280"/>
  <c r="AF315" i="280"/>
  <c r="AH315" i="280"/>
  <c r="AE319" i="280"/>
  <c r="AG319" i="280"/>
  <c r="AI319" i="280"/>
  <c r="AF323" i="280"/>
  <c r="AH323" i="280"/>
  <c r="AE327" i="280"/>
  <c r="AG327" i="280"/>
  <c r="AI327" i="280"/>
  <c r="AF331" i="280"/>
  <c r="AH331" i="280"/>
  <c r="AE335" i="280"/>
  <c r="AG335" i="280"/>
  <c r="AI335" i="280"/>
  <c r="AF339" i="280"/>
  <c r="AH339" i="280"/>
  <c r="AE295" i="279"/>
  <c r="AF295" i="279"/>
  <c r="AG295" i="279"/>
  <c r="AH295" i="279"/>
  <c r="AI295" i="279"/>
  <c r="AE299" i="279"/>
  <c r="AF299" i="279"/>
  <c r="AG299" i="279"/>
  <c r="AH299" i="279"/>
  <c r="AI299" i="279"/>
  <c r="AF303" i="279"/>
  <c r="AH303" i="279"/>
  <c r="AE307" i="279"/>
  <c r="AG307" i="279"/>
  <c r="AI307" i="279"/>
  <c r="AF311" i="279"/>
  <c r="AH311" i="279"/>
  <c r="AE315" i="279"/>
  <c r="AG315" i="279"/>
  <c r="AI315" i="279"/>
  <c r="AF319" i="279"/>
  <c r="AH319" i="279"/>
  <c r="AE323" i="279"/>
  <c r="AG323" i="279"/>
  <c r="AI323" i="279"/>
  <c r="AF327" i="279"/>
  <c r="AH327" i="279"/>
  <c r="AE331" i="279"/>
  <c r="AG331" i="279"/>
  <c r="AI331" i="279"/>
  <c r="AF335" i="279"/>
  <c r="AH335" i="279"/>
  <c r="AE339" i="279"/>
  <c r="AE295" i="278"/>
  <c r="AF295" i="278"/>
  <c r="AG295" i="278"/>
  <c r="AH295" i="278"/>
  <c r="AI295" i="278"/>
  <c r="AE299" i="278"/>
  <c r="AF299" i="278"/>
  <c r="AG299" i="278"/>
  <c r="AH299" i="278"/>
  <c r="AI299" i="278"/>
  <c r="AE303" i="278"/>
  <c r="AF303" i="278"/>
  <c r="AG303" i="278"/>
  <c r="AH303" i="278"/>
  <c r="AI303" i="278"/>
  <c r="AE307" i="278"/>
  <c r="AF307" i="278"/>
  <c r="AG307" i="278"/>
  <c r="AH307" i="278"/>
  <c r="AI307" i="278"/>
  <c r="AE311" i="278"/>
  <c r="AF311" i="278"/>
  <c r="AG311" i="278"/>
  <c r="AH311" i="278"/>
  <c r="AI311" i="278"/>
  <c r="AE315" i="278"/>
  <c r="AF315" i="278"/>
  <c r="AG315" i="278"/>
  <c r="AH315" i="278"/>
  <c r="AI315" i="278"/>
  <c r="AE319" i="278"/>
  <c r="AF319" i="278"/>
  <c r="AG319" i="278"/>
  <c r="AH319" i="278"/>
  <c r="AI319" i="278"/>
  <c r="AE323" i="278"/>
  <c r="AF323" i="278"/>
  <c r="AG323" i="278"/>
  <c r="AH323" i="278"/>
  <c r="AI323" i="278"/>
  <c r="AE327" i="278"/>
  <c r="AF327" i="278"/>
  <c r="AG327" i="278"/>
  <c r="AH327" i="278"/>
  <c r="AI327" i="278"/>
  <c r="AE331" i="278"/>
  <c r="AF331" i="278"/>
  <c r="AG331" i="278"/>
  <c r="AH331" i="278"/>
  <c r="AI331" i="278"/>
  <c r="AE335" i="278"/>
  <c r="AF335" i="278"/>
  <c r="AG335" i="278"/>
  <c r="AH335" i="278"/>
  <c r="AI335" i="278"/>
  <c r="AE339" i="278"/>
  <c r="AF339" i="278"/>
  <c r="AG339" i="278"/>
  <c r="AH339" i="278"/>
  <c r="AI339" i="278"/>
  <c r="AE295" i="277"/>
  <c r="AF295" i="277"/>
  <c r="AG295" i="277"/>
  <c r="AH295" i="277"/>
  <c r="AI295" i="277"/>
  <c r="AE299" i="277"/>
  <c r="AF299" i="277"/>
  <c r="AG299" i="277"/>
  <c r="AH299" i="277"/>
  <c r="AI299" i="277"/>
  <c r="AI303" i="277"/>
  <c r="AE311" i="277"/>
  <c r="AG311" i="277"/>
  <c r="AI311" i="277"/>
  <c r="AF315" i="277"/>
  <c r="AH315" i="277"/>
  <c r="AE319" i="277"/>
  <c r="AG319" i="277"/>
  <c r="AI319" i="277"/>
  <c r="AF323" i="277"/>
  <c r="AH323" i="277"/>
  <c r="AE327" i="277"/>
  <c r="AG327" i="277"/>
  <c r="AI327" i="277"/>
  <c r="AF331" i="277"/>
  <c r="AH331" i="277"/>
  <c r="AE335" i="277"/>
  <c r="AG335" i="277"/>
  <c r="AI335" i="277"/>
  <c r="AF339" i="277"/>
  <c r="AH339" i="277"/>
  <c r="AE295" i="217"/>
  <c r="AF295" i="217"/>
  <c r="AG295" i="217"/>
  <c r="AH295" i="217"/>
  <c r="AI295" i="217"/>
  <c r="AE299" i="217"/>
  <c r="AF299" i="217"/>
  <c r="AG299" i="217"/>
  <c r="AH299" i="217"/>
  <c r="AI299" i="217"/>
  <c r="AE303" i="217"/>
  <c r="AF303" i="217"/>
  <c r="AH303" i="217"/>
  <c r="AE307" i="217"/>
  <c r="AF307" i="217"/>
  <c r="AG307" i="217"/>
  <c r="AH307" i="217"/>
  <c r="AI307" i="217"/>
  <c r="AE311" i="217"/>
  <c r="AF311" i="217"/>
  <c r="AH311" i="217"/>
  <c r="AE315" i="217"/>
  <c r="AF315" i="217"/>
  <c r="AG315" i="217"/>
  <c r="AH315" i="217"/>
  <c r="AI315" i="217"/>
  <c r="AE319" i="217"/>
  <c r="AF319" i="217"/>
  <c r="AH319" i="217"/>
  <c r="AE323" i="217"/>
  <c r="AF323" i="217"/>
  <c r="AG323" i="217"/>
  <c r="AH323" i="217"/>
  <c r="AI323" i="217"/>
  <c r="AE327" i="217"/>
  <c r="AF327" i="217"/>
  <c r="AH327" i="217"/>
  <c r="AE331" i="217"/>
  <c r="AF331" i="217"/>
  <c r="AG331" i="217"/>
  <c r="AH331" i="217"/>
  <c r="AI331" i="217"/>
  <c r="AE335" i="217"/>
  <c r="AF335" i="217"/>
  <c r="AH335" i="217"/>
  <c r="AE339" i="217"/>
  <c r="AF339" i="217"/>
  <c r="AG339" i="217"/>
  <c r="AH339" i="217"/>
  <c r="AI339" i="217"/>
  <c r="AE295" i="212"/>
  <c r="AF295" i="212"/>
  <c r="AG295" i="212"/>
  <c r="AH295" i="212"/>
  <c r="AI295" i="212"/>
  <c r="AE299" i="212"/>
  <c r="AF299" i="212"/>
  <c r="AG299" i="212"/>
  <c r="AH299" i="212"/>
  <c r="AI299" i="212"/>
  <c r="AE303" i="212"/>
  <c r="AF303" i="212"/>
  <c r="AG303" i="212"/>
  <c r="AH303" i="212"/>
  <c r="AI303" i="212"/>
  <c r="AE307" i="212"/>
  <c r="AF307" i="212"/>
  <c r="AG307" i="212"/>
  <c r="AH307" i="212"/>
  <c r="AI307" i="212"/>
  <c r="AE311" i="212"/>
  <c r="AF311" i="212"/>
  <c r="AG311" i="212"/>
  <c r="AH311" i="212"/>
  <c r="AI311" i="212"/>
  <c r="AE315" i="212"/>
  <c r="AF315" i="212"/>
  <c r="AG315" i="212"/>
  <c r="AH315" i="212"/>
  <c r="AI315" i="212"/>
  <c r="AE319" i="212"/>
  <c r="AF319" i="212"/>
  <c r="AG319" i="212"/>
  <c r="AH319" i="212"/>
  <c r="AI319" i="212"/>
  <c r="AE323" i="212"/>
  <c r="AF323" i="212"/>
  <c r="AG323" i="212"/>
  <c r="AH323" i="212"/>
  <c r="AI323" i="212"/>
  <c r="AE327" i="212"/>
  <c r="AF327" i="212"/>
  <c r="AG327" i="212"/>
  <c r="AH327" i="212"/>
  <c r="AI327" i="212"/>
  <c r="AE331" i="212"/>
  <c r="AF331" i="212"/>
  <c r="AG331" i="212"/>
  <c r="AH331" i="212"/>
  <c r="AI331" i="212"/>
  <c r="AE335" i="212"/>
  <c r="AF335" i="212"/>
  <c r="AG335" i="212"/>
  <c r="AH335" i="212"/>
  <c r="AI335" i="212"/>
  <c r="AE339" i="212"/>
  <c r="AF339" i="212"/>
  <c r="AG339" i="212"/>
  <c r="AH339" i="212"/>
  <c r="AI339" i="212"/>
  <c r="AE295" i="205"/>
  <c r="AF295" i="205"/>
  <c r="AG295" i="205"/>
  <c r="AH295" i="205"/>
  <c r="AI295" i="205"/>
  <c r="AE299" i="205"/>
  <c r="AF299" i="205"/>
  <c r="AG299" i="205"/>
  <c r="AH299" i="205"/>
  <c r="AI299" i="205"/>
  <c r="AF303" i="205"/>
  <c r="AH303" i="205"/>
  <c r="AE307" i="205"/>
  <c r="AG307" i="205"/>
  <c r="AI307" i="205"/>
  <c r="AF311" i="205"/>
  <c r="AH311" i="205"/>
  <c r="AE315" i="205"/>
  <c r="AG315" i="205"/>
  <c r="AI315" i="205"/>
  <c r="AF319" i="205"/>
  <c r="AH319" i="205"/>
  <c r="AE323" i="205"/>
  <c r="AG323" i="205"/>
  <c r="AI323" i="205"/>
  <c r="AF327" i="205"/>
  <c r="AH327" i="205"/>
  <c r="AE331" i="205"/>
  <c r="AG331" i="205"/>
  <c r="AI331" i="205"/>
  <c r="AF335" i="205"/>
  <c r="AI335" i="205"/>
  <c r="AE339" i="205"/>
  <c r="AF339" i="205"/>
  <c r="AG339" i="205"/>
  <c r="AH339" i="205"/>
  <c r="AE295" i="204"/>
  <c r="AF295" i="204"/>
  <c r="AG295" i="204"/>
  <c r="AH295" i="204"/>
  <c r="AI295" i="204"/>
  <c r="AE299" i="204"/>
  <c r="AF299" i="204"/>
  <c r="AG299" i="204"/>
  <c r="AH299" i="204"/>
  <c r="AI299" i="204"/>
  <c r="AE315" i="204"/>
  <c r="AF315" i="204"/>
  <c r="AG315" i="204"/>
  <c r="AH315" i="204"/>
  <c r="AI315" i="204"/>
  <c r="AE319" i="204"/>
  <c r="AF319" i="204"/>
  <c r="AG319" i="204"/>
  <c r="AH319" i="204"/>
  <c r="AI319" i="204"/>
  <c r="AE323" i="204"/>
  <c r="AF323" i="204"/>
  <c r="AG323" i="204"/>
  <c r="AH323" i="204"/>
  <c r="AI323" i="204"/>
  <c r="AE327" i="204"/>
  <c r="AF327" i="204"/>
  <c r="AG327" i="204"/>
  <c r="AH327" i="204"/>
  <c r="AI327" i="204"/>
  <c r="AE331" i="204"/>
  <c r="AF331" i="204"/>
  <c r="AG331" i="204"/>
  <c r="AH331" i="204"/>
  <c r="AI331" i="204"/>
  <c r="AE335" i="204"/>
  <c r="AF335" i="204"/>
  <c r="AG335" i="204"/>
  <c r="AH335" i="204"/>
  <c r="AI335" i="204"/>
  <c r="AE339" i="204"/>
  <c r="AF339" i="204"/>
  <c r="AG339" i="204"/>
  <c r="AH339" i="204"/>
  <c r="AI339" i="204"/>
  <c r="AG311" i="204" l="1"/>
  <c r="AE311" i="204"/>
  <c r="AH307" i="204"/>
  <c r="AE307" i="204"/>
  <c r="AF303" i="204"/>
  <c r="AG335" i="205"/>
  <c r="AE335" i="205"/>
  <c r="AH331" i="205"/>
  <c r="AF331" i="205"/>
  <c r="AI327" i="205"/>
  <c r="AG327" i="205"/>
  <c r="AE327" i="205"/>
  <c r="AH323" i="205"/>
  <c r="AF323" i="205"/>
  <c r="AI319" i="205"/>
  <c r="AG319" i="205"/>
  <c r="AE319" i="205"/>
  <c r="AH315" i="205"/>
  <c r="AF315" i="205"/>
  <c r="AI311" i="205"/>
  <c r="AG311" i="205"/>
  <c r="AE311" i="205"/>
  <c r="AH307" i="205"/>
  <c r="AF307" i="205"/>
  <c r="AI303" i="205"/>
  <c r="AG303" i="205"/>
  <c r="AE303" i="205"/>
  <c r="AE303" i="277"/>
  <c r="AI339" i="279"/>
  <c r="AG339" i="279"/>
  <c r="AI339" i="280"/>
  <c r="AG339" i="280"/>
  <c r="AE339" i="280"/>
  <c r="AH335" i="280"/>
  <c r="AF335" i="280"/>
  <c r="AI331" i="280"/>
  <c r="AG331" i="280"/>
  <c r="AE331" i="280"/>
  <c r="AH327" i="280"/>
  <c r="AF327" i="280"/>
  <c r="AI323" i="280"/>
  <c r="AG323" i="280"/>
  <c r="AE323" i="280"/>
  <c r="AH319" i="280"/>
  <c r="AF319" i="280"/>
  <c r="AI315" i="280"/>
  <c r="AG315" i="280"/>
  <c r="AE315" i="280"/>
  <c r="AH311" i="280"/>
  <c r="AF311" i="280"/>
  <c r="AI307" i="280"/>
  <c r="AG307" i="280"/>
  <c r="AE307" i="280"/>
  <c r="AE303" i="280"/>
  <c r="AG323" i="281"/>
  <c r="AE323" i="281"/>
  <c r="AH319" i="281"/>
  <c r="AF319" i="281"/>
  <c r="AI315" i="281"/>
  <c r="AG315" i="281"/>
  <c r="AE315" i="281"/>
  <c r="AH311" i="281"/>
  <c r="AF311" i="281"/>
  <c r="AI307" i="281"/>
  <c r="AG307" i="281"/>
  <c r="AE307" i="281"/>
  <c r="AH311" i="204"/>
  <c r="AF311" i="204"/>
  <c r="AI307" i="204"/>
  <c r="AI338" i="189"/>
  <c r="AG338" i="189"/>
  <c r="AE338" i="189"/>
  <c r="AH334" i="189"/>
  <c r="AF334" i="189"/>
  <c r="AI330" i="189"/>
  <c r="AG330" i="189"/>
  <c r="AE330" i="189"/>
  <c r="AH326" i="189"/>
  <c r="AF326" i="189"/>
  <c r="AI322" i="189"/>
  <c r="AG322" i="189"/>
  <c r="AE322" i="189"/>
  <c r="AH318" i="189"/>
  <c r="AF318" i="189"/>
  <c r="AI314" i="189"/>
  <c r="AG314" i="189"/>
  <c r="AE314" i="189"/>
  <c r="AH310" i="189"/>
  <c r="AF310" i="189"/>
  <c r="AI306" i="189"/>
  <c r="AG306" i="189"/>
  <c r="AE306" i="189"/>
  <c r="AF302" i="189"/>
  <c r="AI298" i="189"/>
  <c r="AG298" i="189"/>
  <c r="AE298" i="189"/>
  <c r="AH294" i="189"/>
  <c r="AF294" i="189"/>
  <c r="AH338" i="189"/>
  <c r="AF338" i="189"/>
  <c r="AI334" i="189"/>
  <c r="AG334" i="189"/>
  <c r="AE334" i="189"/>
  <c r="AH330" i="189"/>
  <c r="AF330" i="189"/>
  <c r="AI326" i="189"/>
  <c r="AG326" i="189"/>
  <c r="AE326" i="189"/>
  <c r="AH322" i="189"/>
  <c r="AF322" i="189"/>
  <c r="AI318" i="189"/>
  <c r="AG318" i="189"/>
  <c r="AE318" i="189"/>
  <c r="AH314" i="189"/>
  <c r="AF314" i="189"/>
  <c r="AG310" i="189"/>
  <c r="AE310" i="189"/>
  <c r="AH306" i="189"/>
  <c r="AI302" i="189"/>
  <c r="AE302" i="189"/>
  <c r="AH298" i="189"/>
  <c r="AF298" i="189"/>
  <c r="AI294" i="189"/>
  <c r="AG294" i="189"/>
  <c r="AE294" i="189"/>
  <c r="AH345" i="212"/>
  <c r="AF345" i="212"/>
  <c r="AI335" i="217"/>
  <c r="AG335" i="217"/>
  <c r="AI327" i="217"/>
  <c r="AG327" i="217"/>
  <c r="AI319" i="217"/>
  <c r="AG319" i="217"/>
  <c r="AI311" i="217"/>
  <c r="AG311" i="217"/>
  <c r="AI303" i="217"/>
  <c r="AG303" i="217"/>
  <c r="AE345" i="217"/>
  <c r="AI339" i="277"/>
  <c r="AG339" i="277"/>
  <c r="AE339" i="277"/>
  <c r="AH335" i="277"/>
  <c r="AF335" i="277"/>
  <c r="AI331" i="277"/>
  <c r="AG331" i="277"/>
  <c r="AE331" i="277"/>
  <c r="AH327" i="277"/>
  <c r="AF327" i="277"/>
  <c r="AI323" i="277"/>
  <c r="AG323" i="277"/>
  <c r="AE323" i="277"/>
  <c r="AH319" i="277"/>
  <c r="AF319" i="277"/>
  <c r="AI315" i="277"/>
  <c r="AG315" i="277"/>
  <c r="AE315" i="277"/>
  <c r="AH311" i="277"/>
  <c r="AF311" i="277"/>
  <c r="AI307" i="277"/>
  <c r="AE307" i="277"/>
  <c r="AH303" i="277"/>
  <c r="AF303" i="277"/>
  <c r="AH345" i="278"/>
  <c r="AF345" i="278"/>
  <c r="AI339" i="282"/>
  <c r="AI337" i="189"/>
  <c r="AG339" i="282"/>
  <c r="AG337" i="189"/>
  <c r="AE339" i="282"/>
  <c r="AE337" i="189"/>
  <c r="AH335" i="282"/>
  <c r="AH333" i="189"/>
  <c r="AF335" i="282"/>
  <c r="AF333" i="189"/>
  <c r="AI331" i="282"/>
  <c r="AI329" i="189"/>
  <c r="AG331" i="282"/>
  <c r="AG329" i="189"/>
  <c r="AE331" i="282"/>
  <c r="AE329" i="189"/>
  <c r="AH327" i="282"/>
  <c r="AH325" i="189"/>
  <c r="AF327" i="282"/>
  <c r="AF325" i="189"/>
  <c r="AI323" i="282"/>
  <c r="AI321" i="189"/>
  <c r="AG323" i="282"/>
  <c r="AG321" i="189"/>
  <c r="AE323" i="282"/>
  <c r="AE321" i="189"/>
  <c r="AH319" i="282"/>
  <c r="AH317" i="189"/>
  <c r="AF319" i="282"/>
  <c r="AF317" i="189"/>
  <c r="AI315" i="282"/>
  <c r="AI313" i="189"/>
  <c r="AG315" i="282"/>
  <c r="AG313" i="189"/>
  <c r="AE315" i="282"/>
  <c r="AE313" i="189"/>
  <c r="AH311" i="282"/>
  <c r="AH309" i="189"/>
  <c r="AF311" i="282"/>
  <c r="AF309" i="189"/>
  <c r="AH303" i="282"/>
  <c r="AF303" i="282"/>
  <c r="AF301" i="189"/>
  <c r="AI299" i="282"/>
  <c r="AI297" i="189"/>
  <c r="AG299" i="282"/>
  <c r="AG297" i="189"/>
  <c r="AE299" i="282"/>
  <c r="AE297" i="189"/>
  <c r="AH295" i="282"/>
  <c r="AH293" i="189"/>
  <c r="AF295" i="282"/>
  <c r="AF293" i="189"/>
  <c r="AI339" i="205"/>
  <c r="AH335" i="205"/>
  <c r="AI345" i="212"/>
  <c r="AG345" i="212"/>
  <c r="AE345" i="212"/>
  <c r="AH345" i="217"/>
  <c r="AF345" i="217"/>
  <c r="AG303" i="277"/>
  <c r="AI345" i="278"/>
  <c r="AG345" i="278"/>
  <c r="AE345" i="278"/>
  <c r="AH339" i="279"/>
  <c r="AF339" i="279"/>
  <c r="AI335" i="279"/>
  <c r="AG335" i="279"/>
  <c r="AE335" i="279"/>
  <c r="AH331" i="279"/>
  <c r="AF331" i="279"/>
  <c r="AI327" i="279"/>
  <c r="AG327" i="279"/>
  <c r="AE327" i="279"/>
  <c r="AH323" i="279"/>
  <c r="AF323" i="279"/>
  <c r="AI319" i="279"/>
  <c r="AG319" i="279"/>
  <c r="AE319" i="279"/>
  <c r="AH315" i="279"/>
  <c r="AF315" i="279"/>
  <c r="AI311" i="279"/>
  <c r="AG311" i="279"/>
  <c r="AE311" i="279"/>
  <c r="AH307" i="279"/>
  <c r="AF307" i="279"/>
  <c r="AI303" i="279"/>
  <c r="AG303" i="279"/>
  <c r="AE303" i="279"/>
  <c r="AH303" i="280"/>
  <c r="AG303" i="280"/>
  <c r="AH339" i="282"/>
  <c r="AH337" i="189"/>
  <c r="AF339" i="282"/>
  <c r="AF337" i="189"/>
  <c r="AI335" i="282"/>
  <c r="AI333" i="189"/>
  <c r="AG335" i="282"/>
  <c r="AG333" i="189"/>
  <c r="AE335" i="282"/>
  <c r="AE333" i="189"/>
  <c r="AH331" i="282"/>
  <c r="AH329" i="189"/>
  <c r="AF331" i="282"/>
  <c r="AF329" i="189"/>
  <c r="AI327" i="282"/>
  <c r="AI325" i="189"/>
  <c r="AG327" i="282"/>
  <c r="AG325" i="189"/>
  <c r="AE327" i="282"/>
  <c r="AE325" i="189"/>
  <c r="AH323" i="282"/>
  <c r="AH321" i="189"/>
  <c r="AF323" i="282"/>
  <c r="AF321" i="189"/>
  <c r="AI319" i="282"/>
  <c r="AI317" i="189"/>
  <c r="AG319" i="282"/>
  <c r="AG317" i="189"/>
  <c r="AE319" i="282"/>
  <c r="AE317" i="189"/>
  <c r="AH315" i="282"/>
  <c r="AH313" i="189"/>
  <c r="AF315" i="282"/>
  <c r="AF313" i="189"/>
  <c r="AI311" i="282"/>
  <c r="AI309" i="189"/>
  <c r="AG311" i="282"/>
  <c r="AG309" i="189"/>
  <c r="AE311" i="282"/>
  <c r="AE309" i="189"/>
  <c r="AH307" i="282"/>
  <c r="AH305" i="189"/>
  <c r="AF307" i="282"/>
  <c r="AF305" i="189"/>
  <c r="AI303" i="282"/>
  <c r="AG303" i="282"/>
  <c r="AG301" i="189"/>
  <c r="AE303" i="282"/>
  <c r="AH299" i="282"/>
  <c r="AH297" i="189"/>
  <c r="AF299" i="282"/>
  <c r="AF297" i="189"/>
  <c r="AI295" i="282"/>
  <c r="AI293" i="189"/>
  <c r="AG295" i="282"/>
  <c r="AG293" i="189"/>
  <c r="AE295" i="282"/>
  <c r="AE293" i="189"/>
  <c r="AH307" i="277"/>
  <c r="AI345" i="217" l="1"/>
  <c r="AG345" i="217"/>
  <c r="AH299" i="189"/>
  <c r="AE319" i="189"/>
  <c r="AI319" i="189"/>
  <c r="AH323" i="189"/>
  <c r="AG327" i="189"/>
  <c r="AF331" i="189"/>
  <c r="AE335" i="189"/>
  <c r="AI335" i="189"/>
  <c r="AH339" i="189"/>
  <c r="AF315" i="189"/>
  <c r="AE311" i="189"/>
  <c r="AF345" i="205"/>
  <c r="AI345" i="280"/>
  <c r="AG345" i="280"/>
  <c r="AI345" i="205"/>
  <c r="AF345" i="280"/>
  <c r="AG345" i="205"/>
  <c r="AE299" i="189"/>
  <c r="AI299" i="189"/>
  <c r="AF311" i="189"/>
  <c r="AE315" i="189"/>
  <c r="AI315" i="189"/>
  <c r="AH319" i="189"/>
  <c r="AG323" i="189"/>
  <c r="AF327" i="189"/>
  <c r="AE331" i="189"/>
  <c r="AI331" i="189"/>
  <c r="AH335" i="189"/>
  <c r="AG339" i="189"/>
  <c r="AH345" i="280"/>
  <c r="AH345" i="205"/>
  <c r="AG345" i="281"/>
  <c r="AE345" i="280"/>
  <c r="AE345" i="205"/>
  <c r="AF299" i="189"/>
  <c r="AH307" i="189"/>
  <c r="AG311" i="189"/>
  <c r="AH315" i="189"/>
  <c r="AG319" i="189"/>
  <c r="AF323" i="189"/>
  <c r="AE327" i="189"/>
  <c r="AI327" i="189"/>
  <c r="AH331" i="189"/>
  <c r="AG335" i="189"/>
  <c r="AF339" i="189"/>
  <c r="AG299" i="189"/>
  <c r="AF303" i="189"/>
  <c r="AE345" i="277"/>
  <c r="AI345" i="277"/>
  <c r="AG345" i="279"/>
  <c r="AF345" i="279"/>
  <c r="AH311" i="189"/>
  <c r="AG315" i="189"/>
  <c r="AF319" i="189"/>
  <c r="AE323" i="189"/>
  <c r="AI323" i="189"/>
  <c r="AH327" i="189"/>
  <c r="AG331" i="189"/>
  <c r="AF335" i="189"/>
  <c r="AE339" i="189"/>
  <c r="AI339" i="189"/>
  <c r="AE345" i="279"/>
  <c r="AI345" i="279"/>
  <c r="AH345" i="279"/>
  <c r="AH345" i="277"/>
  <c r="AH323" i="281"/>
  <c r="AH303" i="281"/>
  <c r="AE307" i="282"/>
  <c r="AE345" i="282" s="1"/>
  <c r="AE305" i="189"/>
  <c r="AE307" i="189" s="1"/>
  <c r="AG307" i="282"/>
  <c r="AG345" i="282" s="1"/>
  <c r="AI307" i="282"/>
  <c r="AI345" i="282" s="1"/>
  <c r="AI305" i="189"/>
  <c r="AI307" i="189" s="1"/>
  <c r="AH302" i="189"/>
  <c r="AG307" i="204"/>
  <c r="AE295" i="189"/>
  <c r="AG295" i="189"/>
  <c r="AI295" i="189"/>
  <c r="AF295" i="189"/>
  <c r="AH295" i="189"/>
  <c r="AF303" i="281"/>
  <c r="AF345" i="281" s="1"/>
  <c r="AG307" i="277"/>
  <c r="AG345" i="277" s="1"/>
  <c r="AF307" i="277"/>
  <c r="AF345" i="277" s="1"/>
  <c r="AF345" i="282"/>
  <c r="AH345" i="282"/>
  <c r="AI303" i="281" l="1"/>
  <c r="AI345" i="281" s="1"/>
  <c r="AH345" i="281"/>
  <c r="AE303" i="281"/>
  <c r="AE345" i="281" s="1"/>
  <c r="AI303" i="204"/>
  <c r="AI301" i="189"/>
  <c r="AG303" i="204"/>
  <c r="AG345" i="204" s="1"/>
  <c r="AG302" i="189"/>
  <c r="AF307" i="204"/>
  <c r="AF345" i="204" s="1"/>
  <c r="AF306" i="189"/>
  <c r="AI311" i="204"/>
  <c r="AI310" i="189"/>
  <c r="AH303" i="204"/>
  <c r="AH345" i="204" s="1"/>
  <c r="AH301" i="189"/>
  <c r="AE303" i="204"/>
  <c r="AE345" i="204" s="1"/>
  <c r="AE301" i="189"/>
  <c r="AG305" i="189"/>
  <c r="AE303" i="189" l="1"/>
  <c r="AE345" i="189" s="1"/>
  <c r="AI303" i="189"/>
  <c r="AG307" i="189"/>
  <c r="AI345" i="204"/>
  <c r="AH303" i="189"/>
  <c r="AH345" i="189" s="1"/>
  <c r="AI311" i="189"/>
  <c r="AF307" i="189"/>
  <c r="AF345" i="189" s="1"/>
  <c r="AG303" i="189"/>
  <c r="AG345" i="189" l="1"/>
  <c r="AI345" i="189"/>
  <c r="AJ472" i="189" l="1"/>
  <c r="AJ30" i="194" l="1"/>
  <c r="AJ33" i="194" s="1"/>
  <c r="AL289" i="282" l="1"/>
  <c r="AM289" i="282"/>
  <c r="AQ289" i="282"/>
  <c r="AK289" i="282"/>
  <c r="AN289" i="282"/>
  <c r="AO289" i="282"/>
  <c r="AP289" i="282"/>
  <c r="AJ289" i="282" l="1"/>
  <c r="AK289" i="281" l="1"/>
  <c r="AP289" i="281"/>
  <c r="AN289" i="281"/>
  <c r="AM289" i="281"/>
  <c r="AQ289" i="281"/>
  <c r="AO289" i="281"/>
  <c r="AL289" i="281"/>
  <c r="AJ289" i="281" l="1"/>
  <c r="AM289" i="280" l="1"/>
  <c r="AO289" i="280"/>
  <c r="AQ289" i="280"/>
  <c r="AK289" i="280"/>
  <c r="AN289" i="280"/>
  <c r="AL289" i="280"/>
  <c r="AP289" i="280"/>
  <c r="AJ289" i="280" l="1"/>
  <c r="AL289" i="279" l="1"/>
  <c r="AO289" i="279"/>
  <c r="AP289" i="279"/>
  <c r="AN289" i="279"/>
  <c r="AQ289" i="279"/>
  <c r="AM289" i="279"/>
  <c r="AK289" i="279"/>
  <c r="AJ289" i="279" l="1"/>
  <c r="AL289" i="278" l="1"/>
  <c r="AM289" i="278"/>
  <c r="AO289" i="278"/>
  <c r="AP289" i="278"/>
  <c r="AN289" i="278"/>
  <c r="AK289" i="278"/>
  <c r="AQ289" i="278"/>
  <c r="AJ289" i="278" l="1"/>
  <c r="AL289" i="277" l="1"/>
  <c r="AM289" i="277"/>
  <c r="AQ289" i="277"/>
  <c r="AP289" i="277"/>
  <c r="AN289" i="277"/>
  <c r="AK289" i="277"/>
  <c r="AO289" i="277"/>
  <c r="AJ289" i="277" l="1"/>
  <c r="AL289" i="217" l="1"/>
  <c r="AM289" i="217"/>
  <c r="AQ289" i="217"/>
  <c r="AP289" i="217"/>
  <c r="AN289" i="217"/>
  <c r="AO289" i="217"/>
  <c r="AK289" i="217"/>
  <c r="AJ289" i="217" l="1"/>
  <c r="AM289" i="212" l="1"/>
  <c r="AO289" i="212"/>
  <c r="AQ289" i="212"/>
  <c r="AP289" i="212"/>
  <c r="AN289" i="212"/>
  <c r="AL289" i="212"/>
  <c r="AK289" i="212"/>
  <c r="AJ289" i="212" l="1"/>
  <c r="AK289" i="205" l="1"/>
  <c r="AN289" i="205"/>
  <c r="AQ289" i="205"/>
  <c r="AL289" i="205"/>
  <c r="AO289" i="205"/>
  <c r="AP289" i="205"/>
  <c r="AM289" i="205"/>
  <c r="AJ289" i="205" l="1"/>
  <c r="AK287" i="189" l="1"/>
  <c r="AP287" i="189"/>
  <c r="AN287" i="189"/>
  <c r="AM287" i="189"/>
  <c r="AO287" i="189"/>
  <c r="AQ287" i="189"/>
  <c r="AL287" i="189"/>
  <c r="AN289" i="204" l="1"/>
  <c r="AN289" i="189"/>
  <c r="AO289" i="204"/>
  <c r="AM289" i="204"/>
  <c r="AP289" i="204"/>
  <c r="AK289" i="204"/>
  <c r="AL289" i="204"/>
  <c r="AQ289" i="204"/>
  <c r="AJ287" i="189"/>
  <c r="AQ289" i="189"/>
  <c r="AQ40" i="194"/>
  <c r="AQ39" i="194"/>
  <c r="M58" i="23"/>
  <c r="AO39" i="194"/>
  <c r="K58" i="23"/>
  <c r="AO289" i="189"/>
  <c r="AM40" i="194"/>
  <c r="AM39" i="194"/>
  <c r="I58" i="23"/>
  <c r="AM289" i="189"/>
  <c r="J58" i="23"/>
  <c r="AN39" i="194"/>
  <c r="AP289" i="189"/>
  <c r="AP40" i="194"/>
  <c r="AP39" i="194"/>
  <c r="L58" i="23"/>
  <c r="G58" i="23"/>
  <c r="AK39" i="194"/>
  <c r="AK289" i="189"/>
  <c r="AL289" i="189"/>
  <c r="AL40" i="194"/>
  <c r="AL39" i="194"/>
  <c r="H58" i="23"/>
  <c r="AO40" i="194"/>
  <c r="AK40" i="194"/>
  <c r="AL41" i="194" l="1"/>
  <c r="AM41" i="194"/>
  <c r="AN41" i="194"/>
  <c r="AK41" i="194"/>
  <c r="AP41" i="194"/>
  <c r="AO41" i="194"/>
  <c r="AQ41" i="194"/>
  <c r="AN40" i="194"/>
  <c r="AJ40" i="194"/>
  <c r="AJ39" i="194"/>
  <c r="F58" i="23"/>
  <c r="AJ289" i="189"/>
  <c r="AJ289" i="204"/>
  <c r="AJ41" i="194" l="1"/>
  <c r="N58" i="23"/>
  <c r="O58" i="23"/>
  <c r="AJ268" i="205" l="1"/>
  <c r="AQ268" i="205"/>
  <c r="AK268" i="205"/>
  <c r="AM268" i="205"/>
  <c r="AO268" i="205"/>
  <c r="AN268" i="205"/>
  <c r="AL268" i="205"/>
  <c r="AP268" i="205"/>
  <c r="AJ295" i="282" l="1"/>
  <c r="AO295" i="282" l="1"/>
  <c r="AM295" i="282"/>
  <c r="AN295" i="282"/>
  <c r="AQ299" i="282"/>
  <c r="AP299" i="282"/>
  <c r="AL299" i="282"/>
  <c r="AL295" i="282"/>
  <c r="AQ295" i="282"/>
  <c r="AK299" i="282"/>
  <c r="AN299" i="282"/>
  <c r="AM299" i="282"/>
  <c r="AO299" i="282" l="1"/>
  <c r="AP295" i="282"/>
  <c r="AK225" i="189" l="1"/>
  <c r="AO225" i="189"/>
  <c r="AK227" i="189"/>
  <c r="AO227" i="189"/>
  <c r="AK229" i="189"/>
  <c r="AO229" i="189"/>
  <c r="AK231" i="189"/>
  <c r="AO231" i="189"/>
  <c r="AK228" i="189"/>
  <c r="AO228" i="189"/>
  <c r="AL225" i="189"/>
  <c r="AP227" i="189"/>
  <c r="AP229" i="189"/>
  <c r="AP228" i="189"/>
  <c r="AJ225" i="189"/>
  <c r="AN225" i="189"/>
  <c r="AJ227" i="189"/>
  <c r="AN227" i="189"/>
  <c r="AJ229" i="189"/>
  <c r="AN229" i="189"/>
  <c r="AJ231" i="189"/>
  <c r="AN231" i="189"/>
  <c r="AJ228" i="189"/>
  <c r="AN228" i="189"/>
  <c r="AK295" i="282"/>
  <c r="AP225" i="189"/>
  <c r="AL227" i="189"/>
  <c r="AL229" i="189"/>
  <c r="AP231" i="189"/>
  <c r="AL228" i="189"/>
  <c r="AM225" i="189"/>
  <c r="AQ225" i="189"/>
  <c r="AM227" i="189"/>
  <c r="AQ227" i="189"/>
  <c r="AM229" i="189"/>
  <c r="AQ229" i="189"/>
  <c r="AM231" i="189"/>
  <c r="AQ231" i="189"/>
  <c r="AM228" i="189"/>
  <c r="AQ228" i="189"/>
  <c r="AJ299" i="282"/>
  <c r="AL231" i="189"/>
  <c r="AP149" i="189"/>
  <c r="AP150" i="189"/>
  <c r="AQ149" i="189"/>
  <c r="AQ150" i="189"/>
  <c r="AP144" i="189"/>
  <c r="AQ144" i="189"/>
  <c r="AP145" i="189"/>
  <c r="AQ145" i="189"/>
  <c r="AP146" i="189"/>
  <c r="AQ146" i="189"/>
  <c r="AP147" i="189"/>
  <c r="AQ147" i="189"/>
  <c r="AP148" i="189"/>
  <c r="AQ148" i="189"/>
  <c r="AQ174" i="189" l="1"/>
  <c r="AQ175" i="189"/>
  <c r="AQ171" i="189"/>
  <c r="AM171" i="189"/>
  <c r="AJ174" i="189"/>
  <c r="AJ175" i="189"/>
  <c r="AJ171" i="189"/>
  <c r="AK177" i="189"/>
  <c r="AK173" i="189"/>
  <c r="AM174" i="189"/>
  <c r="AM175" i="189"/>
  <c r="AL175" i="189"/>
  <c r="AN177" i="189"/>
  <c r="AN173" i="189"/>
  <c r="AP173" i="189"/>
  <c r="AO174" i="189"/>
  <c r="AO175" i="189"/>
  <c r="AO171" i="189"/>
  <c r="AL177" i="189"/>
  <c r="AQ177" i="189"/>
  <c r="AQ173" i="189"/>
  <c r="AM173" i="189"/>
  <c r="AL173" i="189"/>
  <c r="AJ177" i="189"/>
  <c r="AJ173" i="189"/>
  <c r="AL171" i="189"/>
  <c r="AK174" i="189"/>
  <c r="AK175" i="189"/>
  <c r="AK171" i="189"/>
  <c r="AM177" i="189"/>
  <c r="AL174" i="189"/>
  <c r="AP177" i="189"/>
  <c r="AP171" i="189"/>
  <c r="AN174" i="189"/>
  <c r="AN175" i="189"/>
  <c r="AN171" i="189"/>
  <c r="AP174" i="189"/>
  <c r="AP175" i="189"/>
  <c r="AO177" i="189"/>
  <c r="AO173" i="189"/>
  <c r="AQ165" i="189" l="1"/>
  <c r="AN111" i="189"/>
  <c r="AN121" i="189"/>
  <c r="AQ136" i="189"/>
  <c r="AM165" i="189"/>
  <c r="AO168" i="189"/>
  <c r="AO112" i="189"/>
  <c r="AK126" i="189"/>
  <c r="AQ129" i="189"/>
  <c r="AL141" i="189"/>
  <c r="AO163" i="189"/>
  <c r="AL108" i="189"/>
  <c r="AO126" i="189"/>
  <c r="AK163" i="189"/>
  <c r="AL164" i="189"/>
  <c r="AN166" i="189"/>
  <c r="AP108" i="189"/>
  <c r="AQ110" i="189"/>
  <c r="AQ120" i="189"/>
  <c r="AL127" i="189"/>
  <c r="AP135" i="189"/>
  <c r="AJ166" i="189"/>
  <c r="AK164" i="189"/>
  <c r="AL165" i="189"/>
  <c r="AM166" i="189"/>
  <c r="AN168" i="189"/>
  <c r="AO108" i="189"/>
  <c r="AP110" i="189"/>
  <c r="AQ111" i="189"/>
  <c r="AK114" i="189"/>
  <c r="AL120" i="189"/>
  <c r="AM121" i="189"/>
  <c r="AN126" i="189"/>
  <c r="AO127" i="189"/>
  <c r="AP129" i="189"/>
  <c r="AQ130" i="189"/>
  <c r="AK135" i="189"/>
  <c r="AL136" i="189"/>
  <c r="AM138" i="189"/>
  <c r="AN139" i="189"/>
  <c r="AO141" i="189"/>
  <c r="AM145" i="189"/>
  <c r="AK147" i="189"/>
  <c r="AL148" i="189"/>
  <c r="AQ155" i="189"/>
  <c r="AJ157" i="189"/>
  <c r="AJ139" i="189"/>
  <c r="AJ126" i="189"/>
  <c r="AJ168" i="189"/>
  <c r="AM120" i="189"/>
  <c r="AL135" i="189"/>
  <c r="AK139" i="189"/>
  <c r="AO146" i="189"/>
  <c r="AJ130" i="189"/>
  <c r="AQ163" i="189"/>
  <c r="AK165" i="189"/>
  <c r="AL166" i="189"/>
  <c r="AM168" i="189"/>
  <c r="AN108" i="189"/>
  <c r="AO110" i="189"/>
  <c r="AP111" i="189"/>
  <c r="AQ112" i="189"/>
  <c r="AK120" i="189"/>
  <c r="AL121" i="189"/>
  <c r="AM126" i="189"/>
  <c r="AN127" i="189"/>
  <c r="AO129" i="189"/>
  <c r="AP130" i="189"/>
  <c r="AQ132" i="189"/>
  <c r="AK136" i="189"/>
  <c r="AL138" i="189"/>
  <c r="AM139" i="189"/>
  <c r="AN141" i="189"/>
  <c r="AO144" i="189"/>
  <c r="AM146" i="189"/>
  <c r="AK148" i="189"/>
  <c r="AL155" i="189"/>
  <c r="AM157" i="189"/>
  <c r="AJ147" i="189"/>
  <c r="AJ135" i="189"/>
  <c r="AJ114" i="189"/>
  <c r="AJ164" i="189"/>
  <c r="AL114" i="189"/>
  <c r="AO139" i="189"/>
  <c r="AM148" i="189"/>
  <c r="AK157" i="189"/>
  <c r="AJ145" i="189"/>
  <c r="AJ111" i="189"/>
  <c r="AL163" i="189"/>
  <c r="AM164" i="189"/>
  <c r="AN165" i="189"/>
  <c r="AO166" i="189"/>
  <c r="AP168" i="189"/>
  <c r="AQ108" i="189"/>
  <c r="AK111" i="189"/>
  <c r="AL112" i="189"/>
  <c r="AM114" i="189"/>
  <c r="AN120" i="189"/>
  <c r="AO121" i="189"/>
  <c r="AP126" i="189"/>
  <c r="AQ127" i="189"/>
  <c r="AK130" i="189"/>
  <c r="AL132" i="189"/>
  <c r="AM135" i="189"/>
  <c r="AN136" i="189"/>
  <c r="AO138" i="189"/>
  <c r="AP139" i="189"/>
  <c r="AQ141" i="189"/>
  <c r="AK145" i="189"/>
  <c r="AL146" i="189"/>
  <c r="AN148" i="189"/>
  <c r="AO155" i="189"/>
  <c r="AP157" i="189"/>
  <c r="AJ144" i="189"/>
  <c r="AJ129" i="189"/>
  <c r="AJ110" i="189"/>
  <c r="AO132" i="189"/>
  <c r="AP141" i="189"/>
  <c r="AJ121" i="189"/>
  <c r="AP164" i="189"/>
  <c r="AK168" i="189"/>
  <c r="AP114" i="189"/>
  <c r="AN130" i="189"/>
  <c r="AJ155" i="189"/>
  <c r="AM110" i="189"/>
  <c r="AP127" i="189"/>
  <c r="AN163" i="189"/>
  <c r="AO164" i="189"/>
  <c r="AP165" i="189"/>
  <c r="AQ166" i="189"/>
  <c r="AK108" i="189"/>
  <c r="AL110" i="189"/>
  <c r="AM111" i="189"/>
  <c r="AN112" i="189"/>
  <c r="AO114" i="189"/>
  <c r="AP120" i="189"/>
  <c r="AQ121" i="189"/>
  <c r="AK127" i="189"/>
  <c r="AL129" i="189"/>
  <c r="AM130" i="189"/>
  <c r="AN132" i="189"/>
  <c r="AO135" i="189"/>
  <c r="AP136" i="189"/>
  <c r="AQ138" i="189"/>
  <c r="AK141" i="189"/>
  <c r="AL144" i="189"/>
  <c r="AN146" i="189"/>
  <c r="AO147" i="189"/>
  <c r="AM155" i="189"/>
  <c r="AN157" i="189"/>
  <c r="AJ146" i="189"/>
  <c r="AJ132" i="189"/>
  <c r="AJ112" i="189"/>
  <c r="AJ163" i="189"/>
  <c r="AM129" i="189"/>
  <c r="AM136" i="189"/>
  <c r="AM144" i="189"/>
  <c r="AL147" i="189"/>
  <c r="AM163" i="189"/>
  <c r="AN164" i="189"/>
  <c r="AO165" i="189"/>
  <c r="AP166" i="189"/>
  <c r="AQ168" i="189"/>
  <c r="AK110" i="189"/>
  <c r="AL111" i="189"/>
  <c r="AM112" i="189"/>
  <c r="AN114" i="189"/>
  <c r="AO120" i="189"/>
  <c r="AP121" i="189"/>
  <c r="AQ126" i="189"/>
  <c r="AK129" i="189"/>
  <c r="AL130" i="189"/>
  <c r="AM132" i="189"/>
  <c r="AN135" i="189"/>
  <c r="AO136" i="189"/>
  <c r="AP138" i="189"/>
  <c r="AQ139" i="189"/>
  <c r="AK144" i="189"/>
  <c r="AL145" i="189"/>
  <c r="AN147" i="189"/>
  <c r="AO148" i="189"/>
  <c r="AP155" i="189"/>
  <c r="AQ157" i="189"/>
  <c r="AJ141" i="189"/>
  <c r="AJ127" i="189"/>
  <c r="AJ108" i="189"/>
  <c r="AJ165" i="189"/>
  <c r="AK132" i="189"/>
  <c r="AN145" i="189"/>
  <c r="AN155" i="189"/>
  <c r="AO157" i="189"/>
  <c r="AJ138" i="189"/>
  <c r="AP163" i="189"/>
  <c r="AQ164" i="189"/>
  <c r="AK166" i="189"/>
  <c r="AL168" i="189"/>
  <c r="AM108" i="189"/>
  <c r="AN110" i="189"/>
  <c r="AO111" i="189"/>
  <c r="AP112" i="189"/>
  <c r="AQ114" i="189"/>
  <c r="AK121" i="189"/>
  <c r="AL126" i="189"/>
  <c r="AM127" i="189"/>
  <c r="AN129" i="189"/>
  <c r="AO130" i="189"/>
  <c r="AP132" i="189"/>
  <c r="AQ135" i="189"/>
  <c r="AK138" i="189"/>
  <c r="AL139" i="189"/>
  <c r="AM141" i="189"/>
  <c r="AN144" i="189"/>
  <c r="AO145" i="189"/>
  <c r="AM147" i="189"/>
  <c r="AK155" i="189"/>
  <c r="AL157" i="189"/>
  <c r="AJ148" i="189"/>
  <c r="AJ136" i="189"/>
  <c r="AJ120" i="189"/>
  <c r="AK112" i="189"/>
  <c r="AN138" i="189"/>
  <c r="AK146" i="189"/>
  <c r="AL263" i="189" l="1"/>
  <c r="AN263" i="189"/>
  <c r="AQ263" i="189"/>
  <c r="AO263" i="189"/>
  <c r="AP263" i="189"/>
  <c r="AM263" i="189"/>
  <c r="AK263" i="189"/>
  <c r="AJ263" i="189" l="1"/>
  <c r="AN367" i="189" l="1"/>
  <c r="AN99" i="189" s="1"/>
  <c r="AQ367" i="189"/>
  <c r="AQ99" i="189" s="1"/>
  <c r="AL367" i="189"/>
  <c r="AL99" i="189" s="1"/>
  <c r="AO367" i="189"/>
  <c r="AO99" i="189" s="1"/>
  <c r="AK367" i="189"/>
  <c r="AK99" i="189" s="1"/>
  <c r="AP367" i="189"/>
  <c r="AP99" i="189" s="1"/>
  <c r="AM367" i="189"/>
  <c r="AM99" i="189" s="1"/>
  <c r="AQ264" i="282" l="1"/>
  <c r="AQ262" i="189"/>
  <c r="AL317" i="189"/>
  <c r="AM317" i="189"/>
  <c r="AK309" i="189"/>
  <c r="AP264" i="282"/>
  <c r="AP262" i="189"/>
  <c r="AP317" i="189"/>
  <c r="AQ317" i="189"/>
  <c r="AO309" i="189"/>
  <c r="AO305" i="189"/>
  <c r="AL313" i="189"/>
  <c r="AM313" i="189"/>
  <c r="AN305" i="189"/>
  <c r="AQ305" i="189"/>
  <c r="AO29" i="161"/>
  <c r="AO313" i="189"/>
  <c r="AK29" i="161"/>
  <c r="AL29" i="161"/>
  <c r="AQ313" i="189"/>
  <c r="AK305" i="189"/>
  <c r="AN317" i="189"/>
  <c r="AN309" i="189"/>
  <c r="AL309" i="189"/>
  <c r="AM309" i="189"/>
  <c r="AK317" i="189"/>
  <c r="AM29" i="161"/>
  <c r="AP305" i="189"/>
  <c r="AP309" i="189"/>
  <c r="AQ309" i="189"/>
  <c r="AO317" i="189"/>
  <c r="AQ29" i="161"/>
  <c r="I491" i="282"/>
  <c r="AJ367" i="189"/>
  <c r="AJ99" i="189" s="1"/>
  <c r="AL305" i="189"/>
  <c r="AM305" i="189"/>
  <c r="AP313" i="189"/>
  <c r="AN313" i="189"/>
  <c r="AP29" i="161"/>
  <c r="AK313" i="189"/>
  <c r="AN29" i="161"/>
  <c r="AO327" i="282" l="1"/>
  <c r="AO325" i="189"/>
  <c r="AO301" i="189"/>
  <c r="AQ326" i="189"/>
  <c r="AJ309" i="189"/>
  <c r="AP264" i="189"/>
  <c r="AQ301" i="189"/>
  <c r="AJ29" i="161"/>
  <c r="AN301" i="189"/>
  <c r="AL301" i="189"/>
  <c r="AJ313" i="189"/>
  <c r="AP301" i="189"/>
  <c r="AQ264" i="189"/>
  <c r="AJ317" i="189"/>
  <c r="AP326" i="189"/>
  <c r="AK301" i="189"/>
  <c r="AP327" i="282"/>
  <c r="AP325" i="189"/>
  <c r="AJ301" i="189"/>
  <c r="AN325" i="189"/>
  <c r="AM301" i="189"/>
  <c r="AO326" i="189"/>
  <c r="AJ305" i="189"/>
  <c r="AQ327" i="282"/>
  <c r="AQ325" i="189"/>
  <c r="AO327" i="189" l="1"/>
  <c r="AQ327" i="189"/>
  <c r="AP327" i="189"/>
  <c r="AQ65" i="195"/>
  <c r="AQ26" i="161"/>
  <c r="AQ14" i="9"/>
  <c r="M45" i="23" s="1"/>
  <c r="M36" i="23" s="1"/>
  <c r="AP26" i="161"/>
  <c r="AP65" i="195"/>
  <c r="AP14" i="9"/>
  <c r="L45" i="23" s="1"/>
  <c r="L36" i="23" s="1"/>
  <c r="AK327" i="282" l="1"/>
  <c r="AK325" i="189"/>
  <c r="AM325" i="189"/>
  <c r="AL326" i="189"/>
  <c r="AK326" i="189"/>
  <c r="AL327" i="282"/>
  <c r="AL325" i="189"/>
  <c r="AM327" i="282"/>
  <c r="AL327" i="189" l="1"/>
  <c r="AK327" i="189"/>
  <c r="AN326" i="189"/>
  <c r="AN327" i="282"/>
  <c r="AM326" i="189"/>
  <c r="AM327" i="189" s="1"/>
  <c r="AJ327" i="282" l="1"/>
  <c r="AN327" i="189"/>
  <c r="AJ325" i="189"/>
  <c r="AJ326" i="189" l="1"/>
  <c r="AJ327" i="189" l="1"/>
  <c r="AP333" i="189" l="1"/>
  <c r="AJ159" i="189"/>
  <c r="AP329" i="189"/>
  <c r="AP337" i="189"/>
  <c r="AN156" i="189" l="1"/>
  <c r="AL154" i="189"/>
  <c r="AN158" i="189"/>
  <c r="AP153" i="189"/>
  <c r="AK159" i="189"/>
  <c r="AO156" i="189"/>
  <c r="AO153" i="189"/>
  <c r="AP158" i="189"/>
  <c r="AK154" i="189"/>
  <c r="AO158" i="189"/>
  <c r="AN159" i="189"/>
  <c r="AL153" i="189"/>
  <c r="AO159" i="189"/>
  <c r="AK158" i="189"/>
  <c r="AP154" i="189"/>
  <c r="AN153" i="189"/>
  <c r="AJ153" i="189"/>
  <c r="AP321" i="189"/>
  <c r="AO154" i="189"/>
  <c r="AL159" i="189"/>
  <c r="AP156" i="189"/>
  <c r="AN154" i="189"/>
  <c r="AK153" i="189"/>
  <c r="AJ158" i="189"/>
  <c r="AJ154" i="189"/>
  <c r="AP159" i="189"/>
  <c r="AL158" i="189"/>
  <c r="AJ156" i="189"/>
  <c r="AK156" i="189"/>
  <c r="AL156" i="189"/>
  <c r="AQ153" i="189" l="1"/>
  <c r="AM154" i="189"/>
  <c r="AM156" i="189"/>
  <c r="AM158" i="189"/>
  <c r="AM153" i="189"/>
  <c r="AM159" i="189"/>
  <c r="AQ156" i="189"/>
  <c r="AQ158" i="189"/>
  <c r="AQ159" i="189"/>
  <c r="AQ154" i="189"/>
  <c r="AP123" i="189" l="1"/>
  <c r="AP119" i="189"/>
  <c r="AP118" i="189"/>
  <c r="AP117" i="189"/>
  <c r="AP122" i="189"/>
  <c r="AL310" i="189" l="1"/>
  <c r="AL311" i="282"/>
  <c r="AM310" i="189"/>
  <c r="AM311" i="282"/>
  <c r="AQ310" i="189"/>
  <c r="AQ311" i="282"/>
  <c r="AO310" i="189"/>
  <c r="AO311" i="282"/>
  <c r="AN310" i="189"/>
  <c r="AN311" i="282"/>
  <c r="AN311" i="189" l="1"/>
  <c r="AP310" i="189"/>
  <c r="AP311" i="282"/>
  <c r="AK310" i="189"/>
  <c r="AK311" i="282"/>
  <c r="AQ311" i="189"/>
  <c r="AL311" i="189"/>
  <c r="AJ310" i="189"/>
  <c r="AJ311" i="282"/>
  <c r="AO311" i="189"/>
  <c r="AM311" i="189"/>
  <c r="AJ226" i="189" l="1"/>
  <c r="AK311" i="189"/>
  <c r="AJ311" i="189"/>
  <c r="AP311" i="189"/>
  <c r="AO226" i="189"/>
  <c r="AL230" i="189" l="1"/>
  <c r="AN226" i="189"/>
  <c r="AL226" i="189"/>
  <c r="AK322" i="189"/>
  <c r="AO322" i="189"/>
  <c r="AM322" i="189"/>
  <c r="AP230" i="189"/>
  <c r="AJ230" i="189"/>
  <c r="AN322" i="189"/>
  <c r="AN318" i="189"/>
  <c r="AN319" i="282"/>
  <c r="AQ322" i="189"/>
  <c r="AO230" i="189"/>
  <c r="AP226" i="189"/>
  <c r="AL318" i="189"/>
  <c r="AL319" i="282"/>
  <c r="AK318" i="189"/>
  <c r="AK319" i="282"/>
  <c r="AO318" i="189"/>
  <c r="AO319" i="282"/>
  <c r="AQ318" i="189"/>
  <c r="AQ319" i="282"/>
  <c r="AJ172" i="189"/>
  <c r="AO172" i="189"/>
  <c r="AM318" i="189"/>
  <c r="AM319" i="282"/>
  <c r="AM226" i="189" l="1"/>
  <c r="AQ319" i="189"/>
  <c r="AO176" i="189"/>
  <c r="AL339" i="282"/>
  <c r="AL337" i="189"/>
  <c r="AQ334" i="189"/>
  <c r="AK330" i="189"/>
  <c r="AN338" i="189"/>
  <c r="AM338" i="189"/>
  <c r="AO334" i="189"/>
  <c r="AQ335" i="282"/>
  <c r="AQ333" i="189"/>
  <c r="AK334" i="189"/>
  <c r="AP330" i="189"/>
  <c r="AP331" i="282"/>
  <c r="AP338" i="189"/>
  <c r="AP339" i="282"/>
  <c r="AJ322" i="189"/>
  <c r="AQ339" i="282"/>
  <c r="AQ337" i="189"/>
  <c r="AN331" i="282"/>
  <c r="AN329" i="189"/>
  <c r="AK226" i="189"/>
  <c r="AQ330" i="189"/>
  <c r="AO319" i="189"/>
  <c r="AP172" i="189"/>
  <c r="AM335" i="282"/>
  <c r="AM333" i="189"/>
  <c r="AN330" i="189"/>
  <c r="AM330" i="189"/>
  <c r="AN335" i="282"/>
  <c r="AN333" i="189"/>
  <c r="AM331" i="282"/>
  <c r="AM329" i="189"/>
  <c r="AN339" i="282"/>
  <c r="AN337" i="189"/>
  <c r="AL176" i="189"/>
  <c r="AQ226" i="189"/>
  <c r="AN230" i="189"/>
  <c r="AL329" i="189"/>
  <c r="AK319" i="189"/>
  <c r="AP322" i="189"/>
  <c r="AP323" i="282"/>
  <c r="AQ331" i="282"/>
  <c r="AQ329" i="189"/>
  <c r="AN319" i="189"/>
  <c r="AJ176" i="189"/>
  <c r="AP176" i="189"/>
  <c r="AO339" i="282"/>
  <c r="AO337" i="189"/>
  <c r="AO331" i="282"/>
  <c r="AO329" i="189"/>
  <c r="AK337" i="189"/>
  <c r="AO330" i="189"/>
  <c r="AL338" i="189"/>
  <c r="AL172" i="189"/>
  <c r="AL333" i="189"/>
  <c r="AK331" i="282"/>
  <c r="AK329" i="189"/>
  <c r="AN334" i="189"/>
  <c r="AM319" i="189"/>
  <c r="AP318" i="189"/>
  <c r="AP319" i="282"/>
  <c r="AL319" i="189"/>
  <c r="AK335" i="282"/>
  <c r="AK333" i="189"/>
  <c r="AO338" i="189"/>
  <c r="AO335" i="282"/>
  <c r="AO333" i="189"/>
  <c r="AM339" i="282"/>
  <c r="AM337" i="189"/>
  <c r="AN172" i="189"/>
  <c r="AM334" i="189"/>
  <c r="AQ338" i="189"/>
  <c r="AQ306" i="189" l="1"/>
  <c r="AQ307" i="282"/>
  <c r="AK230" i="189"/>
  <c r="AQ230" i="189"/>
  <c r="AO335" i="189"/>
  <c r="AP319" i="189"/>
  <c r="AK331" i="189"/>
  <c r="AO339" i="189"/>
  <c r="AJ306" i="189"/>
  <c r="AJ307" i="282"/>
  <c r="AQ172" i="189"/>
  <c r="AO323" i="282"/>
  <c r="AO321" i="189"/>
  <c r="AN339" i="189"/>
  <c r="AN335" i="189"/>
  <c r="AJ339" i="282"/>
  <c r="AJ337" i="189"/>
  <c r="AN314" i="189"/>
  <c r="AN315" i="282"/>
  <c r="AJ338" i="189"/>
  <c r="AQ339" i="189"/>
  <c r="AL339" i="189"/>
  <c r="AM172" i="189"/>
  <c r="AL314" i="189"/>
  <c r="AL315" i="282"/>
  <c r="AO306" i="189"/>
  <c r="AO307" i="282"/>
  <c r="AM230" i="189"/>
  <c r="AO314" i="189"/>
  <c r="AO315" i="282"/>
  <c r="AM339" i="189"/>
  <c r="AN306" i="189"/>
  <c r="AN307" i="282"/>
  <c r="AQ323" i="282"/>
  <c r="AQ321" i="189"/>
  <c r="AL306" i="189"/>
  <c r="AL307" i="282"/>
  <c r="AK306" i="189"/>
  <c r="AK307" i="282"/>
  <c r="AP334" i="189"/>
  <c r="AP335" i="282"/>
  <c r="AM314" i="189"/>
  <c r="AM315" i="282"/>
  <c r="AM331" i="189"/>
  <c r="AM335" i="189"/>
  <c r="AJ323" i="282"/>
  <c r="AJ321" i="189"/>
  <c r="AK323" i="282"/>
  <c r="AK321" i="189"/>
  <c r="AJ331" i="282"/>
  <c r="AJ329" i="189"/>
  <c r="AM323" i="282"/>
  <c r="AM321" i="189"/>
  <c r="AL302" i="189"/>
  <c r="AL303" i="282"/>
  <c r="AO331" i="189"/>
  <c r="AQ331" i="189"/>
  <c r="AP323" i="189"/>
  <c r="AN176" i="189"/>
  <c r="AN323" i="282"/>
  <c r="AN321" i="189"/>
  <c r="AJ318" i="189"/>
  <c r="AJ319" i="282"/>
  <c r="AL321" i="189"/>
  <c r="AJ334" i="189"/>
  <c r="AM306" i="189"/>
  <c r="AM307" i="282"/>
  <c r="AK314" i="189"/>
  <c r="AK315" i="282"/>
  <c r="AK172" i="189"/>
  <c r="AP339" i="189"/>
  <c r="AP306" i="189"/>
  <c r="AP307" i="282"/>
  <c r="AQ314" i="189"/>
  <c r="AQ315" i="282"/>
  <c r="AK335" i="189"/>
  <c r="AJ330" i="189"/>
  <c r="AN331" i="189"/>
  <c r="AP331" i="189"/>
  <c r="AQ335" i="189"/>
  <c r="AJ335" i="282"/>
  <c r="AJ333" i="189"/>
  <c r="AP314" i="189"/>
  <c r="AP315" i="282"/>
  <c r="AK149" i="189"/>
  <c r="AK302" i="189" l="1"/>
  <c r="AK303" i="282"/>
  <c r="AQ315" i="189"/>
  <c r="AM307" i="189"/>
  <c r="AJ319" i="189"/>
  <c r="AJ314" i="189"/>
  <c r="AJ315" i="282"/>
  <c r="AN302" i="189"/>
  <c r="AN303" i="282"/>
  <c r="AN345" i="282" s="1"/>
  <c r="AO150" i="189"/>
  <c r="AJ149" i="189"/>
  <c r="AK150" i="189"/>
  <c r="AP162" i="189"/>
  <c r="AJ331" i="189"/>
  <c r="AK307" i="189"/>
  <c r="AM302" i="189"/>
  <c r="AM303" i="282"/>
  <c r="AM345" i="282" s="1"/>
  <c r="AP140" i="189"/>
  <c r="AM149" i="189"/>
  <c r="AJ307" i="189"/>
  <c r="AQ176" i="189"/>
  <c r="AJ335" i="189"/>
  <c r="AP307" i="189"/>
  <c r="AL303" i="189"/>
  <c r="AK323" i="189"/>
  <c r="AL307" i="189"/>
  <c r="AN307" i="189"/>
  <c r="AO315" i="189"/>
  <c r="AM176" i="189"/>
  <c r="AO307" i="189"/>
  <c r="AN315" i="189"/>
  <c r="AO302" i="189"/>
  <c r="AO303" i="282"/>
  <c r="AO345" i="282" s="1"/>
  <c r="AM150" i="189"/>
  <c r="AN323" i="189"/>
  <c r="AP128" i="189"/>
  <c r="AJ150" i="189"/>
  <c r="AO109" i="189"/>
  <c r="AJ323" i="189"/>
  <c r="AM315" i="189"/>
  <c r="AP137" i="189"/>
  <c r="AO149" i="189"/>
  <c r="AL315" i="189"/>
  <c r="AO323" i="189"/>
  <c r="AK176" i="189"/>
  <c r="AQ307" i="189"/>
  <c r="AN150" i="189"/>
  <c r="AP315" i="189"/>
  <c r="AK315" i="189"/>
  <c r="AP302" i="189"/>
  <c r="AP303" i="282"/>
  <c r="AP345" i="282" s="1"/>
  <c r="AM323" i="189"/>
  <c r="AP335" i="189"/>
  <c r="AQ323" i="189"/>
  <c r="AQ302" i="189"/>
  <c r="AQ303" i="282"/>
  <c r="AQ345" i="282" s="1"/>
  <c r="AJ339" i="189"/>
  <c r="AP131" i="189"/>
  <c r="AN149" i="189"/>
  <c r="AJ302" i="189"/>
  <c r="AJ303" i="282"/>
  <c r="AJ345" i="282" l="1"/>
  <c r="AM140" i="189"/>
  <c r="AM137" i="189"/>
  <c r="AK128" i="189"/>
  <c r="AP109" i="189"/>
  <c r="AM162" i="189"/>
  <c r="AQ109" i="189"/>
  <c r="AQ162" i="189"/>
  <c r="AN162" i="189"/>
  <c r="AK137" i="189"/>
  <c r="AL334" i="189"/>
  <c r="AL335" i="282"/>
  <c r="AJ315" i="189"/>
  <c r="AO303" i="189"/>
  <c r="AP167" i="189"/>
  <c r="AO113" i="189"/>
  <c r="AK303" i="189"/>
  <c r="AK338" i="189"/>
  <c r="AK339" i="282"/>
  <c r="AK345" i="282" s="1"/>
  <c r="AL149" i="189"/>
  <c r="AM131" i="189"/>
  <c r="AJ162" i="189"/>
  <c r="AK140" i="189"/>
  <c r="AL109" i="189"/>
  <c r="AL162" i="189"/>
  <c r="AK131" i="189"/>
  <c r="AK162" i="189"/>
  <c r="AM128" i="189"/>
  <c r="AL150" i="189"/>
  <c r="AK109" i="189"/>
  <c r="AO162" i="189"/>
  <c r="AM303" i="189"/>
  <c r="AL330" i="189"/>
  <c r="AL331" i="282"/>
  <c r="AJ303" i="189"/>
  <c r="AQ303" i="189"/>
  <c r="AP303" i="189"/>
  <c r="AN109" i="189"/>
  <c r="AN303" i="189"/>
  <c r="AL322" i="189"/>
  <c r="AL323" i="282"/>
  <c r="AM109" i="189"/>
  <c r="AQ167" i="189"/>
  <c r="AJ109" i="189"/>
  <c r="AL345" i="282" l="1"/>
  <c r="AO131" i="189"/>
  <c r="AQ117" i="189"/>
  <c r="AL331" i="189"/>
  <c r="AM119" i="189"/>
  <c r="AQ123" i="189"/>
  <c r="AJ128" i="189"/>
  <c r="AL128" i="189"/>
  <c r="AJ113" i="189"/>
  <c r="AQ128" i="189"/>
  <c r="AJ123" i="189"/>
  <c r="AO140" i="189"/>
  <c r="AQ113" i="189"/>
  <c r="AM167" i="189"/>
  <c r="AQ122" i="189"/>
  <c r="AQ118" i="189"/>
  <c r="AN128" i="189"/>
  <c r="AJ137" i="189"/>
  <c r="AP113" i="189"/>
  <c r="AL113" i="189"/>
  <c r="AK123" i="189"/>
  <c r="AK118" i="189"/>
  <c r="AJ167" i="189"/>
  <c r="AN119" i="189"/>
  <c r="AQ131" i="189"/>
  <c r="AO128" i="189"/>
  <c r="AM122" i="189"/>
  <c r="AN140" i="189"/>
  <c r="AM113" i="189"/>
  <c r="AM123" i="189"/>
  <c r="AL137" i="189"/>
  <c r="AN123" i="189"/>
  <c r="AN137" i="189"/>
  <c r="AL323" i="189"/>
  <c r="AL118" i="189"/>
  <c r="AO122" i="189"/>
  <c r="AK339" i="189"/>
  <c r="AN131" i="189"/>
  <c r="AK119" i="189"/>
  <c r="AN122" i="189"/>
  <c r="AL140" i="189"/>
  <c r="AO119" i="189"/>
  <c r="AL335" i="189"/>
  <c r="AO117" i="189"/>
  <c r="AJ118" i="189"/>
  <c r="AL131" i="189"/>
  <c r="AK113" i="189"/>
  <c r="AO123" i="189"/>
  <c r="AQ119" i="189"/>
  <c r="AO137" i="189"/>
  <c r="AQ137" i="189"/>
  <c r="AL119" i="189"/>
  <c r="AJ140" i="189"/>
  <c r="AN167" i="189"/>
  <c r="AK122" i="189"/>
  <c r="AN117" i="189"/>
  <c r="AO167" i="189"/>
  <c r="AK117" i="189"/>
  <c r="AL167" i="189"/>
  <c r="AM118" i="189"/>
  <c r="AQ140" i="189"/>
  <c r="AJ131" i="189"/>
  <c r="AK167" i="189"/>
  <c r="AN118" i="189"/>
  <c r="AN113" i="189"/>
  <c r="AO118" i="189"/>
  <c r="AJ119" i="189" l="1"/>
  <c r="AM117" i="189"/>
  <c r="AL117" i="189"/>
  <c r="AJ122" i="189"/>
  <c r="AL123" i="189"/>
  <c r="AJ117" i="189"/>
  <c r="AL122" i="189"/>
  <c r="I76" i="189" l="1"/>
  <c r="AO264" i="282" l="1"/>
  <c r="AO262" i="189"/>
  <c r="AM264" i="282"/>
  <c r="AM262" i="189"/>
  <c r="AK264" i="282"/>
  <c r="AK262" i="189"/>
  <c r="AL264" i="282"/>
  <c r="AL262" i="189"/>
  <c r="AN264" i="282"/>
  <c r="AN262" i="189"/>
  <c r="AL264" i="189" l="1"/>
  <c r="AO264" i="189"/>
  <c r="AN264" i="189"/>
  <c r="AJ264" i="282"/>
  <c r="AJ262" i="189"/>
  <c r="AK264" i="189"/>
  <c r="AM264" i="189"/>
  <c r="AN65" i="195" l="1"/>
  <c r="AN26" i="161"/>
  <c r="AN14" i="9"/>
  <c r="J45" i="23" s="1"/>
  <c r="J36" i="23" s="1"/>
  <c r="AJ264" i="189"/>
  <c r="AO14" i="9"/>
  <c r="K45" i="23" s="1"/>
  <c r="K36" i="23" s="1"/>
  <c r="AO65" i="195"/>
  <c r="AO26" i="161"/>
  <c r="AM26" i="161"/>
  <c r="AM65" i="195"/>
  <c r="AM14" i="9"/>
  <c r="I45" i="23" s="1"/>
  <c r="I36" i="23" s="1"/>
  <c r="AK65" i="195"/>
  <c r="AK14" i="9"/>
  <c r="G45" i="23" s="1"/>
  <c r="G36" i="23" s="1"/>
  <c r="AK26" i="161"/>
  <c r="AL65" i="195"/>
  <c r="AL26" i="161"/>
  <c r="AL14" i="9"/>
  <c r="H45" i="23" s="1"/>
  <c r="H36" i="23" s="1"/>
  <c r="AJ26" i="161" l="1"/>
  <c r="AJ65" i="195"/>
  <c r="AJ14" i="9"/>
  <c r="F45" i="23" s="1"/>
  <c r="AK299" i="281" l="1"/>
  <c r="AN299" i="281"/>
  <c r="AM295" i="281"/>
  <c r="AL295" i="281"/>
  <c r="AN295" i="281"/>
  <c r="AQ295" i="281"/>
  <c r="AP299" i="281"/>
  <c r="AO295" i="281"/>
  <c r="AM299" i="281"/>
  <c r="AL299" i="281"/>
  <c r="AQ299" i="281"/>
  <c r="AO299" i="281"/>
  <c r="F36" i="23"/>
  <c r="N45" i="23"/>
  <c r="O45" i="23"/>
  <c r="AJ295" i="281" l="1"/>
  <c r="O36" i="23"/>
  <c r="N36" i="23"/>
  <c r="AP295" i="281"/>
  <c r="AJ299" i="281" l="1"/>
  <c r="AK295" i="281"/>
  <c r="AP264" i="281" l="1"/>
  <c r="AQ264" i="281"/>
  <c r="I491" i="281"/>
  <c r="AO327" i="281" l="1"/>
  <c r="I492" i="282"/>
  <c r="I492" i="281"/>
  <c r="AQ327" i="281"/>
  <c r="AP327" i="281"/>
  <c r="AK327" i="281" l="1"/>
  <c r="AL327" i="281"/>
  <c r="AN327" i="281" l="1"/>
  <c r="AM327" i="281"/>
  <c r="AJ327" i="281" l="1"/>
  <c r="AK311" i="281" l="1"/>
  <c r="AM311" i="281"/>
  <c r="AN311" i="281"/>
  <c r="AO311" i="281"/>
  <c r="AL311" i="281" l="1"/>
  <c r="AP311" i="281"/>
  <c r="AQ311" i="281"/>
  <c r="AJ311" i="281"/>
  <c r="AL319" i="281" l="1"/>
  <c r="AM319" i="281"/>
  <c r="AN319" i="281"/>
  <c r="AK319" i="281"/>
  <c r="AP319" i="281"/>
  <c r="AP323" i="281"/>
  <c r="AO319" i="281" l="1"/>
  <c r="AO339" i="281"/>
  <c r="AQ331" i="281"/>
  <c r="AQ319" i="281"/>
  <c r="AO331" i="281"/>
  <c r="AN331" i="281"/>
  <c r="AP331" i="281"/>
  <c r="AO335" i="281"/>
  <c r="AK335" i="281"/>
  <c r="AN339" i="281"/>
  <c r="AM331" i="281"/>
  <c r="AP339" i="281"/>
  <c r="AM339" i="281"/>
  <c r="AK331" i="281"/>
  <c r="AL339" i="281"/>
  <c r="AN335" i="281"/>
  <c r="AP315" i="281"/>
  <c r="AQ339" i="281"/>
  <c r="AM335" i="281"/>
  <c r="AQ335" i="281" l="1"/>
  <c r="AQ307" i="281"/>
  <c r="AN315" i="281"/>
  <c r="AQ315" i="281"/>
  <c r="AJ319" i="281"/>
  <c r="AL303" i="281"/>
  <c r="AJ307" i="281"/>
  <c r="AM315" i="281"/>
  <c r="AN323" i="281"/>
  <c r="AJ339" i="281"/>
  <c r="AL315" i="281"/>
  <c r="AQ323" i="281"/>
  <c r="AL307" i="281"/>
  <c r="AK307" i="281"/>
  <c r="AJ335" i="281"/>
  <c r="AO323" i="281"/>
  <c r="AM307" i="281"/>
  <c r="AK315" i="281"/>
  <c r="AP307" i="281"/>
  <c r="AP335" i="281"/>
  <c r="AM323" i="281"/>
  <c r="AK323" i="281"/>
  <c r="AN307" i="281"/>
  <c r="AJ323" i="281"/>
  <c r="AJ331" i="281"/>
  <c r="AO315" i="281"/>
  <c r="AO307" i="281"/>
  <c r="AM303" i="281" l="1"/>
  <c r="AM345" i="281" s="1"/>
  <c r="AO303" i="281"/>
  <c r="AO345" i="281" s="1"/>
  <c r="AJ315" i="281"/>
  <c r="AQ303" i="281"/>
  <c r="AQ345" i="281" s="1"/>
  <c r="AP303" i="281"/>
  <c r="AP345" i="281" s="1"/>
  <c r="AN303" i="281"/>
  <c r="AN345" i="281" s="1"/>
  <c r="AK303" i="281"/>
  <c r="AL335" i="281" l="1"/>
  <c r="AL331" i="281"/>
  <c r="AK339" i="281"/>
  <c r="AK345" i="281" s="1"/>
  <c r="AL323" i="281"/>
  <c r="AJ303" i="281"/>
  <c r="AJ345" i="281" s="1"/>
  <c r="AL345" i="281" l="1"/>
  <c r="I79" i="281" l="1"/>
  <c r="I79" i="282"/>
  <c r="AJ264" i="281" l="1"/>
  <c r="AO264" i="281"/>
  <c r="AK264" i="281"/>
  <c r="AN264" i="281"/>
  <c r="AM264" i="281"/>
  <c r="AL264" i="281" l="1"/>
  <c r="AQ295" i="280" l="1"/>
  <c r="AO295" i="280"/>
  <c r="AM299" i="280"/>
  <c r="AK299" i="280"/>
  <c r="AN295" i="280"/>
  <c r="AP299" i="280"/>
  <c r="AL295" i="280"/>
  <c r="AN299" i="280"/>
  <c r="AQ299" i="280"/>
  <c r="AM295" i="280"/>
  <c r="AL299" i="280"/>
  <c r="AO299" i="280"/>
  <c r="AP295" i="280" l="1"/>
  <c r="AK295" i="280"/>
  <c r="AJ295" i="280"/>
  <c r="AJ299" i="280" l="1"/>
  <c r="AQ264" i="280" l="1"/>
  <c r="AP264" i="280"/>
  <c r="I491" i="280"/>
  <c r="AQ327" i="280" l="1"/>
  <c r="AP327" i="280"/>
  <c r="AO327" i="280"/>
  <c r="AK327" i="280" l="1"/>
  <c r="AL327" i="280"/>
  <c r="AM327" i="280" l="1"/>
  <c r="AN327" i="280"/>
  <c r="AJ327" i="280" l="1"/>
  <c r="AM311" i="280" l="1"/>
  <c r="AK311" i="280"/>
  <c r="AN311" i="280"/>
  <c r="AO311" i="280"/>
  <c r="AL311" i="280"/>
  <c r="AP311" i="280"/>
  <c r="AQ311" i="280" l="1"/>
  <c r="AJ311" i="280" l="1"/>
  <c r="AP319" i="280" l="1"/>
  <c r="AN319" i="280"/>
  <c r="AP323" i="280"/>
  <c r="AO319" i="280"/>
  <c r="AQ319" i="280"/>
  <c r="AL319" i="280"/>
  <c r="AQ339" i="280" l="1"/>
  <c r="AO335" i="280"/>
  <c r="AP315" i="280"/>
  <c r="AJ319" i="280"/>
  <c r="AK331" i="280"/>
  <c r="AP331" i="280"/>
  <c r="AN331" i="280"/>
  <c r="AQ331" i="280"/>
  <c r="AO331" i="280"/>
  <c r="AM331" i="280"/>
  <c r="AP335" i="280"/>
  <c r="AM335" i="280"/>
  <c r="AO339" i="280"/>
  <c r="AK335" i="280"/>
  <c r="AK319" i="280"/>
  <c r="AO315" i="280"/>
  <c r="AL335" i="280"/>
  <c r="AN335" i="280"/>
  <c r="AQ335" i="280"/>
  <c r="AL339" i="280"/>
  <c r="AM339" i="280"/>
  <c r="AN339" i="280"/>
  <c r="AM315" i="280" l="1"/>
  <c r="AK307" i="280"/>
  <c r="AN323" i="280"/>
  <c r="AJ323" i="280"/>
  <c r="AP339" i="280"/>
  <c r="AK323" i="280"/>
  <c r="AJ339" i="280"/>
  <c r="AM323" i="280"/>
  <c r="AO323" i="280"/>
  <c r="AL307" i="280"/>
  <c r="AK315" i="280"/>
  <c r="AK303" i="280"/>
  <c r="AQ315" i="280"/>
  <c r="AN307" i="280"/>
  <c r="AP307" i="280"/>
  <c r="AQ307" i="280"/>
  <c r="AM319" i="280"/>
  <c r="AL303" i="280"/>
  <c r="AJ307" i="280"/>
  <c r="AQ323" i="280"/>
  <c r="AJ331" i="280"/>
  <c r="AN315" i="280"/>
  <c r="AM307" i="280"/>
  <c r="AO307" i="280"/>
  <c r="AL315" i="280"/>
  <c r="AN303" i="280" l="1"/>
  <c r="AN345" i="280" s="1"/>
  <c r="AO303" i="280"/>
  <c r="AO345" i="280" s="1"/>
  <c r="AJ335" i="280"/>
  <c r="AJ303" i="280"/>
  <c r="AM303" i="280"/>
  <c r="AM345" i="280" s="1"/>
  <c r="AQ303" i="280"/>
  <c r="AQ345" i="280" s="1"/>
  <c r="AJ315" i="280"/>
  <c r="AP303" i="280"/>
  <c r="AP345" i="280" s="1"/>
  <c r="AL331" i="280" l="1"/>
  <c r="AL323" i="280"/>
  <c r="AJ345" i="280"/>
  <c r="AK339" i="280"/>
  <c r="AK345" i="280" s="1"/>
  <c r="AL345" i="280" l="1"/>
  <c r="AO264" i="280"/>
  <c r="AK264" i="280"/>
  <c r="AN264" i="280"/>
  <c r="AM264" i="280"/>
  <c r="AL264" i="280"/>
  <c r="AJ264" i="280" l="1"/>
  <c r="AP299" i="279" l="1"/>
  <c r="AK299" i="279"/>
  <c r="AQ295" i="279" l="1"/>
  <c r="AN299" i="279"/>
  <c r="AM295" i="279"/>
  <c r="AQ299" i="279"/>
  <c r="AN295" i="279"/>
  <c r="AO295" i="279"/>
  <c r="AL299" i="279"/>
  <c r="AM299" i="279"/>
  <c r="AL295" i="279"/>
  <c r="AK295" i="279" l="1"/>
  <c r="AP295" i="279"/>
  <c r="AO299" i="279"/>
  <c r="AJ295" i="279"/>
  <c r="AJ299" i="279" l="1"/>
  <c r="AP264" i="279" l="1"/>
  <c r="AQ264" i="279"/>
  <c r="I491" i="279"/>
  <c r="AQ327" i="279" l="1"/>
  <c r="I492" i="280"/>
  <c r="I492" i="279"/>
  <c r="AO327" i="279"/>
  <c r="AP327" i="279"/>
  <c r="AL327" i="279" l="1"/>
  <c r="AK327" i="279"/>
  <c r="AM327" i="279" l="1"/>
  <c r="AN327" i="279"/>
  <c r="AJ327" i="279" l="1"/>
  <c r="AM311" i="279" l="1"/>
  <c r="AN311" i="279"/>
  <c r="AQ311" i="279"/>
  <c r="AL311" i="279"/>
  <c r="AP311" i="279"/>
  <c r="AO311" i="279"/>
  <c r="AK311" i="279" l="1"/>
  <c r="AJ311" i="279" l="1"/>
  <c r="AL319" i="279" l="1"/>
  <c r="AK319" i="279"/>
  <c r="AN319" i="279"/>
  <c r="AM319" i="279"/>
  <c r="AP323" i="279"/>
  <c r="AO339" i="279" l="1"/>
  <c r="AM331" i="279"/>
  <c r="AK335" i="279"/>
  <c r="AQ335" i="279"/>
  <c r="AP335" i="279"/>
  <c r="AN335" i="279"/>
  <c r="AP339" i="279"/>
  <c r="AN339" i="279"/>
  <c r="AO315" i="279"/>
  <c r="AK331" i="279"/>
  <c r="AJ319" i="279"/>
  <c r="AQ339" i="279"/>
  <c r="AN331" i="279"/>
  <c r="AM335" i="279"/>
  <c r="AL339" i="279"/>
  <c r="AO331" i="279"/>
  <c r="AO335" i="279"/>
  <c r="AQ331" i="279"/>
  <c r="AM339" i="279"/>
  <c r="AL331" i="279" l="1"/>
  <c r="AM323" i="279"/>
  <c r="AO323" i="279"/>
  <c r="AK323" i="279"/>
  <c r="AQ315" i="279"/>
  <c r="AQ307" i="279"/>
  <c r="AP331" i="279"/>
  <c r="AN315" i="279"/>
  <c r="AO307" i="279"/>
  <c r="AN323" i="279"/>
  <c r="AP315" i="279"/>
  <c r="AJ339" i="279"/>
  <c r="AP319" i="279"/>
  <c r="AK315" i="279"/>
  <c r="AP307" i="279"/>
  <c r="AJ331" i="279"/>
  <c r="AL307" i="279"/>
  <c r="AN307" i="279"/>
  <c r="AM307" i="279"/>
  <c r="AM315" i="279"/>
  <c r="AQ323" i="279"/>
  <c r="AK307" i="279"/>
  <c r="AJ307" i="279"/>
  <c r="AJ323" i="279"/>
  <c r="AL315" i="279"/>
  <c r="AJ335" i="279" l="1"/>
  <c r="AQ303" i="279"/>
  <c r="AK303" i="279"/>
  <c r="AJ315" i="279"/>
  <c r="AL303" i="279"/>
  <c r="AP303" i="279"/>
  <c r="AP345" i="279" s="1"/>
  <c r="AO319" i="279"/>
  <c r="AQ319" i="279"/>
  <c r="AN303" i="279"/>
  <c r="AN345" i="279" s="1"/>
  <c r="AM303" i="279"/>
  <c r="AM345" i="279" s="1"/>
  <c r="AL335" i="279"/>
  <c r="AO303" i="279"/>
  <c r="AO345" i="279" l="1"/>
  <c r="AQ345" i="279"/>
  <c r="AL323" i="279"/>
  <c r="AL345" i="279" s="1"/>
  <c r="AJ303" i="279"/>
  <c r="AJ345" i="279" s="1"/>
  <c r="AK339" i="279"/>
  <c r="AK345" i="279" s="1"/>
  <c r="I79" i="279" l="1"/>
  <c r="I79" i="280"/>
  <c r="AK264" i="279" l="1"/>
  <c r="AN264" i="279"/>
  <c r="AO264" i="279"/>
  <c r="AJ264" i="279"/>
  <c r="AL264" i="279"/>
  <c r="AM264" i="279" l="1"/>
  <c r="AP299" i="278" l="1"/>
  <c r="AM299" i="278" l="1"/>
  <c r="AO295" i="278"/>
  <c r="AK299" i="278"/>
  <c r="AQ299" i="278"/>
  <c r="AM295" i="278"/>
  <c r="AO299" i="278"/>
  <c r="AL299" i="278"/>
  <c r="AN295" i="278"/>
  <c r="AL295" i="278"/>
  <c r="AN299" i="278"/>
  <c r="AQ295" i="278"/>
  <c r="AP295" i="278" l="1"/>
  <c r="AK295" i="278"/>
  <c r="AJ295" i="278"/>
  <c r="AJ299" i="278" l="1"/>
  <c r="AP264" i="278" l="1"/>
  <c r="AQ264" i="278"/>
  <c r="I491" i="278"/>
  <c r="AO327" i="278" l="1"/>
  <c r="AP327" i="278"/>
  <c r="AQ327" i="278"/>
  <c r="AL327" i="278" l="1"/>
  <c r="AK327" i="278"/>
  <c r="AM327" i="278" l="1"/>
  <c r="AN327" i="278"/>
  <c r="AJ327" i="278" l="1"/>
  <c r="AL311" i="278" l="1"/>
  <c r="AK311" i="278"/>
  <c r="AM311" i="278"/>
  <c r="AN311" i="278"/>
  <c r="AJ311" i="278" l="1"/>
  <c r="AP311" i="278"/>
  <c r="AQ311" i="278"/>
  <c r="AO311" i="278"/>
  <c r="AP323" i="278" l="1"/>
  <c r="AL319" i="278"/>
  <c r="AK319" i="278"/>
  <c r="AP319" i="278"/>
  <c r="AQ319" i="278"/>
  <c r="AM319" i="278"/>
  <c r="AN319" i="278"/>
  <c r="AO319" i="278"/>
  <c r="AM339" i="278" l="1"/>
  <c r="AM331" i="278"/>
  <c r="AQ335" i="278"/>
  <c r="AO335" i="278"/>
  <c r="AO315" i="278"/>
  <c r="AP335" i="278"/>
  <c r="AM335" i="278"/>
  <c r="AL339" i="278"/>
  <c r="AK335" i="278"/>
  <c r="AQ331" i="278"/>
  <c r="AO339" i="278"/>
  <c r="AN339" i="278"/>
  <c r="AQ339" i="278"/>
  <c r="AK331" i="278"/>
  <c r="AJ319" i="278"/>
  <c r="AO331" i="278"/>
  <c r="AP339" i="278"/>
  <c r="AN335" i="278"/>
  <c r="AP331" i="278"/>
  <c r="AN331" i="278"/>
  <c r="AO307" i="278" l="1"/>
  <c r="AO323" i="278"/>
  <c r="AJ323" i="278"/>
  <c r="AQ323" i="278"/>
  <c r="AM315" i="278"/>
  <c r="AK307" i="278"/>
  <c r="AL315" i="278"/>
  <c r="AJ307" i="278"/>
  <c r="AP307" i="278"/>
  <c r="AQ315" i="278"/>
  <c r="AL307" i="278"/>
  <c r="AM307" i="278"/>
  <c r="AK315" i="278"/>
  <c r="AM323" i="278"/>
  <c r="AN315" i="278"/>
  <c r="AN307" i="278"/>
  <c r="AJ331" i="278"/>
  <c r="AP315" i="278"/>
  <c r="AK323" i="278"/>
  <c r="AJ335" i="278"/>
  <c r="AJ339" i="278"/>
  <c r="AQ307" i="278"/>
  <c r="AN323" i="278"/>
  <c r="AK303" i="278" l="1"/>
  <c r="AJ315" i="278"/>
  <c r="AN303" i="278"/>
  <c r="AN345" i="278" s="1"/>
  <c r="AL303" i="278"/>
  <c r="AO303" i="278"/>
  <c r="AO345" i="278" s="1"/>
  <c r="AM303" i="278"/>
  <c r="AM345" i="278" s="1"/>
  <c r="AP303" i="278"/>
  <c r="AP345" i="278" s="1"/>
  <c r="AQ303" i="278"/>
  <c r="AQ345" i="278" s="1"/>
  <c r="AL335" i="278" l="1"/>
  <c r="AK339" i="278"/>
  <c r="AK345" i="278" s="1"/>
  <c r="AL331" i="278"/>
  <c r="AL323" i="278"/>
  <c r="AJ303" i="278"/>
  <c r="AJ345" i="278" s="1"/>
  <c r="AL345" i="278" l="1"/>
  <c r="AJ264" i="278" l="1"/>
  <c r="AO264" i="278"/>
  <c r="AL264" i="278"/>
  <c r="AN264" i="278"/>
  <c r="AK264" i="278"/>
  <c r="AM264" i="278" l="1"/>
  <c r="AN299" i="277" l="1"/>
  <c r="AQ299" i="277"/>
  <c r="AK299" i="277"/>
  <c r="AP299" i="277"/>
  <c r="AL299" i="277"/>
  <c r="AO295" i="277"/>
  <c r="AM299" i="277"/>
  <c r="AM295" i="277"/>
  <c r="AL295" i="277"/>
  <c r="AN295" i="277"/>
  <c r="AQ295" i="277"/>
  <c r="AK295" i="277" l="1"/>
  <c r="AJ295" i="277"/>
  <c r="AP295" i="277"/>
  <c r="AO299" i="277"/>
  <c r="AJ299" i="277" l="1"/>
  <c r="AP264" i="277" l="1"/>
  <c r="I491" i="277"/>
  <c r="AQ264" i="277"/>
  <c r="AO327" i="277" l="1"/>
  <c r="AP327" i="277"/>
  <c r="AQ327" i="277"/>
  <c r="AK327" i="277" l="1"/>
  <c r="AL327" i="277"/>
  <c r="AM327" i="277" l="1"/>
  <c r="AN327" i="277"/>
  <c r="AJ327" i="277" l="1"/>
  <c r="AP311" i="277" l="1"/>
  <c r="AM311" i="277"/>
  <c r="AK311" i="277"/>
  <c r="AO311" i="277"/>
  <c r="AL311" i="277" l="1"/>
  <c r="AJ311" i="277"/>
  <c r="AQ311" i="277"/>
  <c r="AN311" i="277"/>
  <c r="AM331" i="277" l="1"/>
  <c r="AK319" i="277"/>
  <c r="AM339" i="277"/>
  <c r="AM335" i="277"/>
  <c r="AO331" i="277"/>
  <c r="AK331" i="277"/>
  <c r="AP319" i="277"/>
  <c r="AP315" i="277"/>
  <c r="AO335" i="277"/>
  <c r="AN335" i="277"/>
  <c r="AO315" i="277"/>
  <c r="AK335" i="277"/>
  <c r="AP323" i="277"/>
  <c r="AN339" i="277"/>
  <c r="AL331" i="277"/>
  <c r="AN331" i="277"/>
  <c r="AQ339" i="277" l="1"/>
  <c r="AO339" i="277"/>
  <c r="AL339" i="277"/>
  <c r="AK339" i="277"/>
  <c r="AQ335" i="277"/>
  <c r="AJ307" i="277"/>
  <c r="AJ319" i="277"/>
  <c r="AQ319" i="277"/>
  <c r="AN323" i="277"/>
  <c r="AP331" i="277"/>
  <c r="AM319" i="277"/>
  <c r="AN319" i="277"/>
  <c r="AL303" i="277"/>
  <c r="AL315" i="277"/>
  <c r="AO323" i="277"/>
  <c r="AJ335" i="277"/>
  <c r="AM307" i="277"/>
  <c r="AK315" i="277"/>
  <c r="AL319" i="277"/>
  <c r="AQ315" i="277"/>
  <c r="AP339" i="277"/>
  <c r="AK307" i="277"/>
  <c r="AM323" i="277"/>
  <c r="AP307" i="277"/>
  <c r="AJ339" i="277"/>
  <c r="AQ307" i="277"/>
  <c r="AJ323" i="277"/>
  <c r="AO319" i="277"/>
  <c r="AQ331" i="277"/>
  <c r="AL323" i="277"/>
  <c r="AN315" i="277"/>
  <c r="AK323" i="277"/>
  <c r="AP335" i="277"/>
  <c r="AO307" i="277"/>
  <c r="AQ323" i="277"/>
  <c r="AM315" i="277"/>
  <c r="AN307" i="277"/>
  <c r="AL307" i="277"/>
  <c r="AJ331" i="277" l="1"/>
  <c r="AP303" i="277"/>
  <c r="AP345" i="277" s="1"/>
  <c r="AJ303" i="277"/>
  <c r="AM303" i="277"/>
  <c r="AM345" i="277" s="1"/>
  <c r="AN303" i="277"/>
  <c r="AN345" i="277" s="1"/>
  <c r="AJ315" i="277"/>
  <c r="AK303" i="277"/>
  <c r="AK345" i="277" s="1"/>
  <c r="AO303" i="277"/>
  <c r="AO345" i="277" s="1"/>
  <c r="AQ303" i="277"/>
  <c r="AQ345" i="277" s="1"/>
  <c r="AJ345" i="277" l="1"/>
  <c r="AL335" i="277"/>
  <c r="AL345" i="277" s="1"/>
  <c r="AM264" i="277" l="1"/>
  <c r="AL264" i="277"/>
  <c r="AN264" i="277"/>
  <c r="AK264" i="277"/>
  <c r="AO264" i="277"/>
  <c r="AJ264" i="277" l="1"/>
  <c r="AL295" i="217" l="1"/>
  <c r="AP295" i="217"/>
  <c r="AQ299" i="217"/>
  <c r="AN299" i="217"/>
  <c r="AO295" i="217"/>
  <c r="AL299" i="217"/>
  <c r="AP299" i="217"/>
  <c r="AQ295" i="217"/>
  <c r="AN295" i="217"/>
  <c r="AO299" i="217"/>
  <c r="AJ295" i="217" l="1"/>
  <c r="AK299" i="217"/>
  <c r="AM295" i="217"/>
  <c r="AM299" i="217"/>
  <c r="AK295" i="217" l="1"/>
  <c r="AJ299" i="217"/>
  <c r="AP264" i="217" l="1"/>
  <c r="AQ264" i="217"/>
  <c r="I491" i="217"/>
  <c r="I492" i="278" l="1"/>
  <c r="I492" i="277"/>
  <c r="I492" i="217"/>
  <c r="AP327" i="217"/>
  <c r="AQ327" i="217"/>
  <c r="AO327" i="217"/>
  <c r="AK327" i="217" l="1"/>
  <c r="AL327" i="217"/>
  <c r="AM327" i="217"/>
  <c r="AN327" i="217" l="1"/>
  <c r="AJ327" i="217" l="1"/>
  <c r="AP311" i="217" l="1"/>
  <c r="AN311" i="217"/>
  <c r="AM311" i="217"/>
  <c r="AQ311" i="217"/>
  <c r="AJ311" i="217" l="1"/>
  <c r="AK311" i="217"/>
  <c r="AO311" i="217"/>
  <c r="AL311" i="217"/>
  <c r="AO319" i="217" l="1"/>
  <c r="AM319" i="217"/>
  <c r="AL319" i="217"/>
  <c r="AP319" i="217"/>
  <c r="AK319" i="217"/>
  <c r="AP323" i="217"/>
  <c r="AN319" i="217"/>
  <c r="AO335" i="217" l="1"/>
  <c r="AN331" i="217"/>
  <c r="AJ319" i="217"/>
  <c r="AP339" i="217"/>
  <c r="AM331" i="217"/>
  <c r="AM335" i="217"/>
  <c r="AQ331" i="217"/>
  <c r="AO331" i="217"/>
  <c r="AP331" i="217"/>
  <c r="AP315" i="217"/>
  <c r="AO315" i="217"/>
  <c r="AK335" i="217"/>
  <c r="AO339" i="217"/>
  <c r="AQ339" i="217"/>
  <c r="AK331" i="217"/>
  <c r="AP335" i="217"/>
  <c r="AQ319" i="217"/>
  <c r="AQ335" i="217"/>
  <c r="AL339" i="217"/>
  <c r="AM339" i="217"/>
  <c r="AN335" i="217"/>
  <c r="AN339" i="217"/>
  <c r="AQ323" i="217" l="1"/>
  <c r="AM315" i="217"/>
  <c r="AM307" i="217"/>
  <c r="AK307" i="217"/>
  <c r="AO307" i="217"/>
  <c r="AK323" i="217"/>
  <c r="AQ307" i="217"/>
  <c r="AL315" i="217"/>
  <c r="AJ335" i="217"/>
  <c r="AJ307" i="217"/>
  <c r="AM323" i="217"/>
  <c r="AQ315" i="217"/>
  <c r="AK339" i="217"/>
  <c r="AJ323" i="217"/>
  <c r="AJ339" i="217"/>
  <c r="AN315" i="217"/>
  <c r="AK315" i="217"/>
  <c r="AO323" i="217"/>
  <c r="AJ331" i="217"/>
  <c r="AL307" i="217"/>
  <c r="AN307" i="217"/>
  <c r="AN323" i="217"/>
  <c r="AP307" i="217"/>
  <c r="AN303" i="217" l="1"/>
  <c r="AN345" i="217" s="1"/>
  <c r="AM303" i="217"/>
  <c r="AM345" i="217" s="1"/>
  <c r="AP303" i="217"/>
  <c r="AP345" i="217" s="1"/>
  <c r="AO303" i="217"/>
  <c r="AO345" i="217" s="1"/>
  <c r="AL303" i="217"/>
  <c r="AJ315" i="217"/>
  <c r="AQ303" i="217"/>
  <c r="AQ345" i="217" s="1"/>
  <c r="AK303" i="217"/>
  <c r="AK345" i="217" s="1"/>
  <c r="AL331" i="217" l="1"/>
  <c r="AJ303" i="217"/>
  <c r="AJ345" i="217" s="1"/>
  <c r="AL335" i="217"/>
  <c r="AL323" i="217"/>
  <c r="AL345" i="217" l="1"/>
  <c r="I79" i="217" l="1"/>
  <c r="I79" i="278"/>
  <c r="I79" i="277"/>
  <c r="AO264" i="217" l="1"/>
  <c r="AN264" i="217"/>
  <c r="AJ264" i="217"/>
  <c r="AM264" i="217"/>
  <c r="AK264" i="217"/>
  <c r="AL264" i="217" l="1"/>
  <c r="AL299" i="212" l="1"/>
  <c r="AO295" i="212"/>
  <c r="AQ295" i="212"/>
  <c r="AQ299" i="212"/>
  <c r="AN295" i="212"/>
  <c r="AP299" i="212"/>
  <c r="AM299" i="212"/>
  <c r="AM295" i="212"/>
  <c r="AK299" i="212"/>
  <c r="AN299" i="212"/>
  <c r="AL295" i="212"/>
  <c r="AJ295" i="212" l="1"/>
  <c r="AP295" i="212"/>
  <c r="AO299" i="212"/>
  <c r="AJ299" i="212" l="1"/>
  <c r="AK295" i="212" l="1"/>
  <c r="AO264" i="212" l="1"/>
  <c r="AQ264" i="212"/>
  <c r="I491" i="212"/>
  <c r="AP264" i="212"/>
  <c r="AP327" i="212" l="1"/>
  <c r="AO327" i="212"/>
  <c r="AQ327" i="212"/>
  <c r="AJ264" i="212" l="1"/>
  <c r="AN264" i="212"/>
  <c r="AM264" i="212"/>
  <c r="AK264" i="212"/>
  <c r="AL264" i="212" l="1"/>
  <c r="AL327" i="212" l="1"/>
  <c r="AK327" i="212"/>
  <c r="AM327" i="212" l="1"/>
  <c r="AN327" i="212"/>
  <c r="AJ327" i="212" l="1"/>
  <c r="AK311" i="212" l="1"/>
  <c r="AM311" i="212"/>
  <c r="AL311" i="212"/>
  <c r="AP311" i="212"/>
  <c r="AO311" i="212"/>
  <c r="AN311" i="212"/>
  <c r="AJ311" i="212" l="1"/>
  <c r="AQ311" i="212"/>
  <c r="AO319" i="212" l="1"/>
  <c r="AN319" i="212"/>
  <c r="AL319" i="212"/>
  <c r="AM319" i="212"/>
  <c r="AP319" i="212"/>
  <c r="AP323" i="212"/>
  <c r="AQ319" i="212" l="1"/>
  <c r="AO331" i="212"/>
  <c r="AK331" i="212"/>
  <c r="AN339" i="212"/>
  <c r="AQ339" i="212"/>
  <c r="AN331" i="212"/>
  <c r="AL339" i="212"/>
  <c r="AM335" i="212"/>
  <c r="AQ335" i="212"/>
  <c r="AK319" i="212"/>
  <c r="AJ319" i="212"/>
  <c r="AO339" i="212"/>
  <c r="AK335" i="212"/>
  <c r="AP335" i="212"/>
  <c r="AP339" i="212"/>
  <c r="AN335" i="212"/>
  <c r="AQ331" i="212"/>
  <c r="AM339" i="212"/>
  <c r="AM331" i="212"/>
  <c r="AO335" i="212"/>
  <c r="AO315" i="212"/>
  <c r="AO323" i="212" l="1"/>
  <c r="AP307" i="212"/>
  <c r="AQ315" i="212"/>
  <c r="AL307" i="212"/>
  <c r="AM323" i="212"/>
  <c r="AJ323" i="212"/>
  <c r="AJ339" i="212"/>
  <c r="AP331" i="212"/>
  <c r="AN315" i="212"/>
  <c r="AK323" i="212"/>
  <c r="AQ307" i="212"/>
  <c r="AK315" i="212"/>
  <c r="AP315" i="212"/>
  <c r="AM315" i="212"/>
  <c r="AO307" i="212"/>
  <c r="AN307" i="212"/>
  <c r="AQ323" i="212"/>
  <c r="AM307" i="212"/>
  <c r="AK307" i="212"/>
  <c r="AJ335" i="212"/>
  <c r="AJ331" i="212"/>
  <c r="AL315" i="212"/>
  <c r="AJ307" i="212"/>
  <c r="AN323" i="212"/>
  <c r="AL331" i="212"/>
  <c r="AJ303" i="212" l="1"/>
  <c r="AP303" i="212"/>
  <c r="AP345" i="212" s="1"/>
  <c r="AL303" i="212"/>
  <c r="AK303" i="212"/>
  <c r="AM303" i="212"/>
  <c r="AM345" i="212" s="1"/>
  <c r="AQ303" i="212"/>
  <c r="AQ345" i="212" s="1"/>
  <c r="AJ315" i="212"/>
  <c r="AN303" i="212"/>
  <c r="AN345" i="212" s="1"/>
  <c r="AO303" i="212"/>
  <c r="AO345" i="212" s="1"/>
  <c r="AK339" i="212" l="1"/>
  <c r="AK345" i="212" s="1"/>
  <c r="AL323" i="212"/>
  <c r="AL335" i="212"/>
  <c r="AJ345" i="212"/>
  <c r="AL345" i="212" l="1"/>
  <c r="AK299" i="205" l="1"/>
  <c r="AQ299" i="205" l="1"/>
  <c r="AL299" i="205"/>
  <c r="AO299" i="205"/>
  <c r="AJ295" i="205"/>
  <c r="AN299" i="205"/>
  <c r="AO295" i="205"/>
  <c r="AM295" i="205"/>
  <c r="AQ295" i="205"/>
  <c r="AL295" i="205"/>
  <c r="AP299" i="205"/>
  <c r="AM299" i="205"/>
  <c r="AN295" i="205"/>
  <c r="AP295" i="205" l="1"/>
  <c r="AK295" i="205" l="1"/>
  <c r="AJ299" i="205" l="1"/>
  <c r="AO264" i="205" l="1"/>
  <c r="I491" i="205"/>
  <c r="AP264" i="205"/>
  <c r="AQ264" i="205"/>
  <c r="I492" i="212" l="1"/>
  <c r="I492" i="205"/>
  <c r="AP327" i="205"/>
  <c r="AQ327" i="205"/>
  <c r="AO327" i="205"/>
  <c r="AM264" i="205" l="1"/>
  <c r="AJ264" i="205"/>
  <c r="AK264" i="205"/>
  <c r="AN264" i="205"/>
  <c r="AL264" i="205" l="1"/>
  <c r="AK327" i="205" l="1"/>
  <c r="AL327" i="205"/>
  <c r="AN327" i="205" l="1"/>
  <c r="AM327" i="205"/>
  <c r="AJ327" i="205" l="1"/>
  <c r="AM311" i="205" l="1"/>
  <c r="AN311" i="205"/>
  <c r="AP311" i="205"/>
  <c r="AL311" i="205"/>
  <c r="AO311" i="205"/>
  <c r="AJ311" i="205" l="1"/>
  <c r="AK311" i="205"/>
  <c r="AQ311" i="205" l="1"/>
  <c r="AK319" i="205" l="1"/>
  <c r="AO319" i="205"/>
  <c r="AM319" i="205"/>
  <c r="AN319" i="205"/>
  <c r="AP323" i="205"/>
  <c r="AQ319" i="205"/>
  <c r="AP319" i="205"/>
  <c r="AL319" i="205"/>
  <c r="AQ335" i="205" l="1"/>
  <c r="AO335" i="205"/>
  <c r="AP331" i="205"/>
  <c r="AM339" i="205"/>
  <c r="AK335" i="205"/>
  <c r="AM331" i="205"/>
  <c r="AK331" i="205"/>
  <c r="AL339" i="205"/>
  <c r="AP315" i="205"/>
  <c r="AO315" i="205"/>
  <c r="AP335" i="205"/>
  <c r="AN335" i="205"/>
  <c r="AQ331" i="205"/>
  <c r="AO331" i="205"/>
  <c r="AO339" i="205"/>
  <c r="AN339" i="205"/>
  <c r="AQ339" i="205"/>
  <c r="AN331" i="205"/>
  <c r="AJ319" i="205"/>
  <c r="AP339" i="205"/>
  <c r="AM335" i="205"/>
  <c r="AO323" i="205" l="1"/>
  <c r="AL315" i="205"/>
  <c r="AO307" i="205"/>
  <c r="AL307" i="205"/>
  <c r="AN315" i="205"/>
  <c r="AK323" i="205"/>
  <c r="AM323" i="205"/>
  <c r="AJ335" i="205"/>
  <c r="AM307" i="205"/>
  <c r="AK315" i="205"/>
  <c r="AJ323" i="205"/>
  <c r="AP307" i="205"/>
  <c r="AQ315" i="205"/>
  <c r="AN323" i="205"/>
  <c r="AQ307" i="205"/>
  <c r="AK307" i="205"/>
  <c r="AJ339" i="205"/>
  <c r="AQ323" i="205"/>
  <c r="AN307" i="205"/>
  <c r="AM315" i="205"/>
  <c r="AJ307" i="205"/>
  <c r="AJ331" i="205"/>
  <c r="AK303" i="205"/>
  <c r="AN303" i="205" l="1"/>
  <c r="AN345" i="205" s="1"/>
  <c r="AQ303" i="205"/>
  <c r="AQ345" i="205" s="1"/>
  <c r="AO303" i="205"/>
  <c r="AO345" i="205" s="1"/>
  <c r="AL303" i="205"/>
  <c r="AJ315" i="205"/>
  <c r="AP303" i="205"/>
  <c r="AP345" i="205" s="1"/>
  <c r="AJ303" i="205"/>
  <c r="AM303" i="205"/>
  <c r="AM345" i="205" s="1"/>
  <c r="AJ345" i="205" l="1"/>
  <c r="AL335" i="205"/>
  <c r="AL323" i="205"/>
  <c r="AL331" i="205"/>
  <c r="AK339" i="205"/>
  <c r="AK345" i="205" s="1"/>
  <c r="AL345" i="205" l="1"/>
  <c r="I79" i="205" l="1"/>
  <c r="I79" i="212"/>
  <c r="AQ299" i="204" l="1"/>
  <c r="AP299" i="204"/>
  <c r="AM299" i="204"/>
  <c r="AM295" i="204"/>
  <c r="AN299" i="204"/>
  <c r="AO295" i="204"/>
  <c r="AN295" i="204"/>
  <c r="AK299" i="204"/>
  <c r="AL295" i="204"/>
  <c r="AL299" i="204"/>
  <c r="AQ295" i="204"/>
  <c r="AO299" i="204"/>
  <c r="AJ295" i="204" l="1"/>
  <c r="AP295" i="204"/>
  <c r="AJ299" i="204" l="1"/>
  <c r="AK295" i="204"/>
  <c r="AO264" i="204" l="1"/>
  <c r="I491" i="204"/>
  <c r="AQ264" i="204"/>
  <c r="AP264" i="204"/>
  <c r="I492" i="204" l="1"/>
  <c r="I492" i="189" s="1"/>
  <c r="I21" i="197" s="1"/>
  <c r="I491" i="189"/>
  <c r="AO327" i="204"/>
  <c r="AQ327" i="204"/>
  <c r="AP327" i="204"/>
  <c r="AJ264" i="204" l="1"/>
  <c r="AM264" i="204"/>
  <c r="AN264" i="204"/>
  <c r="AK264" i="204"/>
  <c r="AL264" i="204" l="1"/>
  <c r="AL327" i="204" l="1"/>
  <c r="AK327" i="204"/>
  <c r="AM327" i="204" l="1"/>
  <c r="AN327" i="204"/>
  <c r="AJ327" i="204" l="1"/>
  <c r="AO311" i="204" l="1"/>
  <c r="AM311" i="204"/>
  <c r="AN311" i="204"/>
  <c r="AK311" i="204"/>
  <c r="AQ311" i="204" l="1"/>
  <c r="AL311" i="204"/>
  <c r="AP311" i="204" l="1"/>
  <c r="AJ311" i="204"/>
  <c r="AN319" i="204" l="1"/>
  <c r="AQ319" i="204"/>
  <c r="AM319" i="204"/>
  <c r="AK319" i="204"/>
  <c r="AO319" i="204"/>
  <c r="AJ319" i="204" l="1"/>
  <c r="AL339" i="204"/>
  <c r="AP335" i="204"/>
  <c r="AP331" i="204"/>
  <c r="AK335" i="204"/>
  <c r="AP339" i="204"/>
  <c r="AM331" i="204"/>
  <c r="AN335" i="204"/>
  <c r="AQ339" i="204"/>
  <c r="AL319" i="204"/>
  <c r="AK331" i="204"/>
  <c r="AN331" i="204"/>
  <c r="AO335" i="204"/>
  <c r="AQ335" i="204"/>
  <c r="AO315" i="204"/>
  <c r="AP315" i="204"/>
  <c r="AN339" i="204"/>
  <c r="AQ331" i="204"/>
  <c r="AM339" i="204"/>
  <c r="AM335" i="204"/>
  <c r="AO339" i="204"/>
  <c r="AP319" i="204"/>
  <c r="AO331" i="204"/>
  <c r="AN323" i="204" l="1"/>
  <c r="AM307" i="204"/>
  <c r="AQ315" i="204"/>
  <c r="AN307" i="204"/>
  <c r="AN315" i="204"/>
  <c r="AO323" i="204"/>
  <c r="AP307" i="204"/>
  <c r="AK315" i="204"/>
  <c r="AJ339" i="204"/>
  <c r="AJ331" i="204"/>
  <c r="AM323" i="204"/>
  <c r="AL307" i="204"/>
  <c r="AK307" i="204"/>
  <c r="AQ323" i="204"/>
  <c r="AJ323" i="204"/>
  <c r="AK323" i="204"/>
  <c r="AM315" i="204"/>
  <c r="AO307" i="204"/>
  <c r="AJ335" i="204"/>
  <c r="AJ307" i="204"/>
  <c r="AP323" i="204"/>
  <c r="AL315" i="204"/>
  <c r="AQ307" i="204"/>
  <c r="AK303" i="204" l="1"/>
  <c r="AQ303" i="204"/>
  <c r="AQ345" i="204" s="1"/>
  <c r="AO303" i="204"/>
  <c r="AO345" i="204" s="1"/>
  <c r="AM303" i="204"/>
  <c r="AM345" i="204" s="1"/>
  <c r="AL303" i="204"/>
  <c r="AJ315" i="204"/>
  <c r="AJ303" i="204"/>
  <c r="AN303" i="204"/>
  <c r="AN345" i="204" s="1"/>
  <c r="AP303" i="204"/>
  <c r="AP345" i="204" s="1"/>
  <c r="AJ345" i="204" l="1"/>
  <c r="AL331" i="204"/>
  <c r="AK339" i="204"/>
  <c r="AK345" i="204" s="1"/>
  <c r="AL335" i="204"/>
  <c r="AL323" i="204"/>
  <c r="AL345" i="204" l="1"/>
  <c r="I79" i="204" l="1"/>
  <c r="I79" i="189" s="1"/>
  <c r="AO107" i="279" l="1"/>
  <c r="AL116" i="212"/>
  <c r="AO116" i="212"/>
  <c r="AL107" i="205"/>
  <c r="AM107" i="205"/>
  <c r="AL107" i="212"/>
  <c r="AQ107" i="212"/>
  <c r="AN170" i="205"/>
  <c r="AL143" i="212"/>
  <c r="AN143" i="205"/>
  <c r="AP107" i="279"/>
  <c r="AK107" i="279"/>
  <c r="AM116" i="212"/>
  <c r="AJ116" i="212"/>
  <c r="AM107" i="212"/>
  <c r="AM170" i="212"/>
  <c r="AO170" i="281"/>
  <c r="AJ170" i="281"/>
  <c r="AQ170" i="281"/>
  <c r="AP170" i="281"/>
  <c r="AL170" i="281"/>
  <c r="AK170" i="281"/>
  <c r="AM170" i="281"/>
  <c r="AN170" i="281"/>
  <c r="AK143" i="212"/>
  <c r="AN143" i="212"/>
  <c r="AO143" i="205"/>
  <c r="AL107" i="279"/>
  <c r="AM107" i="279"/>
  <c r="AK116" i="212"/>
  <c r="AP116" i="212"/>
  <c r="AQ107" i="205"/>
  <c r="AN107" i="212"/>
  <c r="AK107" i="212"/>
  <c r="AM170" i="205"/>
  <c r="AK170" i="212"/>
  <c r="AQ116" i="281"/>
  <c r="AM143" i="212"/>
  <c r="AL143" i="205"/>
  <c r="AJ143" i="205"/>
  <c r="AN107" i="279"/>
  <c r="AN116" i="212"/>
  <c r="AQ116" i="212"/>
  <c r="AP107" i="205"/>
  <c r="AO107" i="212"/>
  <c r="AQ107" i="281"/>
  <c r="AN107" i="281"/>
  <c r="AP107" i="281"/>
  <c r="AM107" i="281"/>
  <c r="AO107" i="281"/>
  <c r="AL107" i="281"/>
  <c r="AK107" i="281"/>
  <c r="AO143" i="212"/>
  <c r="AM143" i="205"/>
  <c r="AK143" i="205"/>
  <c r="AJ107" i="281" l="1"/>
  <c r="AP107" i="212"/>
  <c r="AK107" i="205"/>
  <c r="AP101" i="189"/>
  <c r="AN116" i="205"/>
  <c r="AN143" i="281"/>
  <c r="AK143" i="281"/>
  <c r="AK116" i="281"/>
  <c r="AO116" i="281"/>
  <c r="AJ170" i="212"/>
  <c r="AL170" i="205"/>
  <c r="AQ107" i="279"/>
  <c r="AK116" i="205"/>
  <c r="AO170" i="212"/>
  <c r="AL170" i="212"/>
  <c r="AJ107" i="205"/>
  <c r="AO107" i="205"/>
  <c r="AM143" i="281"/>
  <c r="AP116" i="281"/>
  <c r="AJ116" i="281"/>
  <c r="AJ170" i="205"/>
  <c r="AJ116" i="205"/>
  <c r="AP170" i="212"/>
  <c r="AK170" i="205"/>
  <c r="AP170" i="205"/>
  <c r="AJ143" i="281"/>
  <c r="AJ143" i="212"/>
  <c r="AN170" i="212"/>
  <c r="AN107" i="205"/>
  <c r="AJ107" i="212"/>
  <c r="AN101" i="189"/>
  <c r="AP116" i="205"/>
  <c r="AO143" i="281"/>
  <c r="AL143" i="281"/>
  <c r="AM116" i="281"/>
  <c r="AN116" i="281"/>
  <c r="AL116" i="281"/>
  <c r="AQ170" i="205"/>
  <c r="AM116" i="205"/>
  <c r="AQ170" i="212"/>
  <c r="AO170" i="205"/>
  <c r="AO116" i="205"/>
  <c r="AL116" i="205"/>
  <c r="AQ116" i="205"/>
  <c r="AM107" i="277"/>
  <c r="AJ170" i="278"/>
  <c r="AN170" i="278"/>
  <c r="AO107" i="217"/>
  <c r="AN107" i="217"/>
  <c r="AN116" i="280"/>
  <c r="AL116" i="280"/>
  <c r="AL170" i="280"/>
  <c r="AQ116" i="279"/>
  <c r="AK116" i="279"/>
  <c r="AM143" i="277"/>
  <c r="AL143" i="277"/>
  <c r="AK143" i="280"/>
  <c r="AO143" i="280"/>
  <c r="AO143" i="279"/>
  <c r="AK143" i="217"/>
  <c r="AO143" i="217"/>
  <c r="AM143" i="278"/>
  <c r="AQ170" i="280"/>
  <c r="AK107" i="277"/>
  <c r="AL170" i="278"/>
  <c r="AP170" i="278"/>
  <c r="AP107" i="217"/>
  <c r="AQ116" i="280"/>
  <c r="AP116" i="280"/>
  <c r="AM170" i="280"/>
  <c r="AO116" i="279"/>
  <c r="AM116" i="279"/>
  <c r="AN143" i="277"/>
  <c r="AK107" i="280"/>
  <c r="AM143" i="280"/>
  <c r="AN143" i="279"/>
  <c r="AK143" i="279"/>
  <c r="AL143" i="217"/>
  <c r="AN143" i="217"/>
  <c r="AK143" i="278"/>
  <c r="AP116" i="217"/>
  <c r="AK170" i="278"/>
  <c r="AM170" i="278"/>
  <c r="AP116" i="277"/>
  <c r="AM107" i="217"/>
  <c r="AQ107" i="217"/>
  <c r="AM116" i="280"/>
  <c r="AK116" i="280"/>
  <c r="AQ170" i="217"/>
  <c r="AK170" i="280"/>
  <c r="AL116" i="279"/>
  <c r="AN116" i="279"/>
  <c r="AO107" i="280"/>
  <c r="AJ143" i="280"/>
  <c r="AM143" i="279"/>
  <c r="AL143" i="279"/>
  <c r="AM143" i="217"/>
  <c r="AL143" i="278"/>
  <c r="AJ116" i="217"/>
  <c r="AM170" i="277"/>
  <c r="AJ170" i="277"/>
  <c r="AQ107" i="277"/>
  <c r="AQ170" i="278"/>
  <c r="AO170" i="278"/>
  <c r="AM116" i="277"/>
  <c r="AQ116" i="277"/>
  <c r="AO170" i="277"/>
  <c r="AL107" i="217"/>
  <c r="AO116" i="280"/>
  <c r="AJ116" i="280"/>
  <c r="AL116" i="278"/>
  <c r="AP116" i="278"/>
  <c r="AJ170" i="217"/>
  <c r="AL170" i="217"/>
  <c r="AO170" i="280"/>
  <c r="AN170" i="280"/>
  <c r="AJ116" i="279"/>
  <c r="AP116" i="279"/>
  <c r="AK143" i="277"/>
  <c r="AO143" i="277"/>
  <c r="AN143" i="280"/>
  <c r="AL143" i="280"/>
  <c r="AN143" i="278"/>
  <c r="AO143" i="278"/>
  <c r="AK107" i="217" l="1"/>
  <c r="AO23" i="189"/>
  <c r="AO143" i="189" s="1"/>
  <c r="AO143" i="282"/>
  <c r="AP107" i="280"/>
  <c r="AQ19" i="189"/>
  <c r="AQ107" i="189" s="1"/>
  <c r="AQ107" i="282"/>
  <c r="AP107" i="277"/>
  <c r="AO26" i="189"/>
  <c r="AO170" i="189" s="1"/>
  <c r="AO170" i="282"/>
  <c r="AO107" i="278"/>
  <c r="AP21" i="183"/>
  <c r="AL116" i="277"/>
  <c r="AK170" i="277"/>
  <c r="AK170" i="217"/>
  <c r="AM116" i="217"/>
  <c r="AJ143" i="279"/>
  <c r="AL107" i="280"/>
  <c r="AL20" i="189"/>
  <c r="AL116" i="189" s="1"/>
  <c r="AL116" i="282"/>
  <c r="AQ26" i="189"/>
  <c r="AQ170" i="189" s="1"/>
  <c r="AQ170" i="282"/>
  <c r="AN107" i="278"/>
  <c r="AL107" i="278"/>
  <c r="AM23" i="189"/>
  <c r="AM143" i="189" s="1"/>
  <c r="AM143" i="282"/>
  <c r="AL107" i="277"/>
  <c r="AK107" i="278"/>
  <c r="AN21" i="183"/>
  <c r="AO101" i="189"/>
  <c r="AN116" i="278"/>
  <c r="AJ143" i="277"/>
  <c r="AP170" i="280"/>
  <c r="AM170" i="217"/>
  <c r="AL116" i="217"/>
  <c r="AO170" i="217"/>
  <c r="AN107" i="280"/>
  <c r="AQ116" i="278"/>
  <c r="AQ116" i="217"/>
  <c r="AJ143" i="217"/>
  <c r="AM107" i="280"/>
  <c r="AN20" i="189"/>
  <c r="AN116" i="189" s="1"/>
  <c r="AN116" i="282"/>
  <c r="AQ20" i="189"/>
  <c r="AQ116" i="189" s="1"/>
  <c r="AQ116" i="282"/>
  <c r="AM107" i="278"/>
  <c r="AJ23" i="189"/>
  <c r="AJ143" i="282"/>
  <c r="AK19" i="189"/>
  <c r="AK107" i="189" s="1"/>
  <c r="AK107" i="282"/>
  <c r="AN23" i="189"/>
  <c r="AN143" i="189" s="1"/>
  <c r="AN143" i="282"/>
  <c r="AL101" i="189"/>
  <c r="AK101" i="189"/>
  <c r="AM101" i="189"/>
  <c r="AK116" i="217"/>
  <c r="AO116" i="278"/>
  <c r="AP170" i="217"/>
  <c r="AJ116" i="278"/>
  <c r="AK116" i="277"/>
  <c r="AL170" i="277"/>
  <c r="AO116" i="217"/>
  <c r="AN170" i="217"/>
  <c r="AJ116" i="277"/>
  <c r="AP170" i="277"/>
  <c r="AN116" i="217"/>
  <c r="AM116" i="278"/>
  <c r="AK26" i="189"/>
  <c r="AK170" i="189" s="1"/>
  <c r="AK170" i="282"/>
  <c r="AJ19" i="189"/>
  <c r="AJ107" i="282"/>
  <c r="AN107" i="277"/>
  <c r="AJ107" i="278"/>
  <c r="AK23" i="189"/>
  <c r="AK143" i="189" s="1"/>
  <c r="AK143" i="282"/>
  <c r="AJ107" i="277"/>
  <c r="AL19" i="189"/>
  <c r="AL107" i="189" s="1"/>
  <c r="AL107" i="282"/>
  <c r="AP107" i="278"/>
  <c r="AQ107" i="280"/>
  <c r="AN19" i="189"/>
  <c r="AN107" i="189" s="1"/>
  <c r="AN107" i="282"/>
  <c r="AO107" i="277"/>
  <c r="AQ107" i="278"/>
  <c r="AL23" i="189"/>
  <c r="AL143" i="189" s="1"/>
  <c r="AL143" i="282"/>
  <c r="AQ101" i="189"/>
  <c r="AJ101" i="189"/>
  <c r="AJ143" i="278"/>
  <c r="AQ170" i="277"/>
  <c r="AO116" i="277"/>
  <c r="AN170" i="277"/>
  <c r="AJ170" i="280"/>
  <c r="AK116" i="278"/>
  <c r="AN116" i="277"/>
  <c r="AO116" i="204"/>
  <c r="AQ116" i="204"/>
  <c r="AQ170" i="279"/>
  <c r="AL170" i="279"/>
  <c r="AL170" i="204"/>
  <c r="AJ170" i="204"/>
  <c r="AL143" i="204"/>
  <c r="AO143" i="204"/>
  <c r="AK116" i="204"/>
  <c r="AN116" i="204"/>
  <c r="AK170" i="279"/>
  <c r="AO170" i="279"/>
  <c r="AK170" i="204"/>
  <c r="AN170" i="204"/>
  <c r="AM143" i="204"/>
  <c r="AJ116" i="204"/>
  <c r="AP116" i="204"/>
  <c r="AM170" i="279"/>
  <c r="AJ170" i="279"/>
  <c r="AM170" i="204"/>
  <c r="AP170" i="204"/>
  <c r="AP107" i="204"/>
  <c r="AN143" i="204"/>
  <c r="AL116" i="204"/>
  <c r="AM116" i="204"/>
  <c r="AP170" i="279"/>
  <c r="AN170" i="279"/>
  <c r="AO170" i="204"/>
  <c r="AQ170" i="204"/>
  <c r="AJ143" i="204"/>
  <c r="AK143" i="204"/>
  <c r="AL161" i="281"/>
  <c r="AN161" i="281"/>
  <c r="AJ161" i="212" l="1"/>
  <c r="AN243" i="281"/>
  <c r="AN244" i="281"/>
  <c r="AN245" i="281"/>
  <c r="AN246" i="281"/>
  <c r="AN242" i="281"/>
  <c r="AN248" i="281"/>
  <c r="AN247" i="281"/>
  <c r="AL244" i="281"/>
  <c r="AL243" i="281"/>
  <c r="AL246" i="281"/>
  <c r="AL245" i="281"/>
  <c r="AL247" i="281"/>
  <c r="AL248" i="281"/>
  <c r="AL242" i="281"/>
  <c r="AJ161" i="205"/>
  <c r="AJ161" i="281"/>
  <c r="AO107" i="204"/>
  <c r="AN26" i="189"/>
  <c r="AN170" i="189" s="1"/>
  <c r="AN170" i="282"/>
  <c r="AO20" i="189"/>
  <c r="AO116" i="189" s="1"/>
  <c r="AO116" i="282"/>
  <c r="AM20" i="189"/>
  <c r="AM116" i="189" s="1"/>
  <c r="AM116" i="282"/>
  <c r="AM21" i="183"/>
  <c r="AL21" i="183"/>
  <c r="AP19" i="189"/>
  <c r="AP107" i="189" s="1"/>
  <c r="AP107" i="282"/>
  <c r="AN102" i="189"/>
  <c r="AJ107" i="279"/>
  <c r="AK102" i="189"/>
  <c r="AM26" i="189"/>
  <c r="AM170" i="189" s="1"/>
  <c r="AM170" i="282"/>
  <c r="AQ102" i="189"/>
  <c r="AK100" i="189"/>
  <c r="AL161" i="205"/>
  <c r="AP161" i="212"/>
  <c r="AK161" i="212"/>
  <c r="AN161" i="212"/>
  <c r="AK161" i="205"/>
  <c r="AL161" i="212"/>
  <c r="AO161" i="212"/>
  <c r="AN107" i="204"/>
  <c r="AJ107" i="204"/>
  <c r="AK107" i="204"/>
  <c r="AJ107" i="217"/>
  <c r="AJ107" i="189"/>
  <c r="AP102" i="189"/>
  <c r="AL26" i="189"/>
  <c r="AL170" i="189" s="1"/>
  <c r="AL170" i="282"/>
  <c r="AO19" i="183"/>
  <c r="AL19" i="183"/>
  <c r="AJ143" i="189"/>
  <c r="AO102" i="189"/>
  <c r="AO19" i="189"/>
  <c r="AO107" i="189" s="1"/>
  <c r="AO107" i="282"/>
  <c r="AM102" i="189"/>
  <c r="AK20" i="189"/>
  <c r="AK116" i="189" s="1"/>
  <c r="AK116" i="282"/>
  <c r="AM107" i="204"/>
  <c r="AL107" i="204"/>
  <c r="AJ21" i="183"/>
  <c r="AQ21" i="183"/>
  <c r="AL100" i="189"/>
  <c r="AM19" i="189"/>
  <c r="AM107" i="282"/>
  <c r="AK21" i="183"/>
  <c r="AQ100" i="189"/>
  <c r="AP100" i="189"/>
  <c r="AL102" i="189"/>
  <c r="AP20" i="189"/>
  <c r="AP116" i="189" s="1"/>
  <c r="AP116" i="282"/>
  <c r="AO21" i="183"/>
  <c r="AM100" i="189"/>
  <c r="AN100" i="189"/>
  <c r="AQ161" i="212"/>
  <c r="AM161" i="212"/>
  <c r="AQ161" i="205"/>
  <c r="AP161" i="205"/>
  <c r="AN161" i="205"/>
  <c r="AQ107" i="204"/>
  <c r="AJ26" i="189"/>
  <c r="AJ170" i="189" s="1"/>
  <c r="AJ170" i="282"/>
  <c r="AN19" i="183"/>
  <c r="AP26" i="189"/>
  <c r="AP170" i="189" s="1"/>
  <c r="AP170" i="282"/>
  <c r="AO100" i="189"/>
  <c r="AJ20" i="189"/>
  <c r="AJ116" i="282"/>
  <c r="AM161" i="205"/>
  <c r="AO161" i="205"/>
  <c r="AP161" i="281"/>
  <c r="AO161" i="281"/>
  <c r="AQ161" i="281"/>
  <c r="AK161" i="281"/>
  <c r="AM161" i="281"/>
  <c r="AJ161" i="280"/>
  <c r="AJ161" i="279" l="1"/>
  <c r="AJ161" i="277"/>
  <c r="AJ161" i="217"/>
  <c r="I75" i="189"/>
  <c r="I28" i="197" s="1"/>
  <c r="AJ161" i="278"/>
  <c r="AJ25" i="189"/>
  <c r="AJ161" i="282"/>
  <c r="AJ116" i="189"/>
  <c r="AO20" i="183"/>
  <c r="AQ19" i="183"/>
  <c r="AQ98" i="189"/>
  <c r="AP244" i="205"/>
  <c r="AP242" i="205"/>
  <c r="AP246" i="205"/>
  <c r="AP245" i="205"/>
  <c r="AP247" i="205"/>
  <c r="AP248" i="205"/>
  <c r="AP243" i="205"/>
  <c r="AM22" i="183"/>
  <c r="AO22" i="183"/>
  <c r="AP19" i="183"/>
  <c r="AQ23" i="183"/>
  <c r="AJ244" i="217"/>
  <c r="AK98" i="189"/>
  <c r="I78" i="205"/>
  <c r="AJ107" i="280"/>
  <c r="AQ22" i="183"/>
  <c r="AO23" i="183"/>
  <c r="AJ247" i="212"/>
  <c r="AJ245" i="212"/>
  <c r="AJ244" i="212"/>
  <c r="AJ248" i="212"/>
  <c r="AJ242" i="212"/>
  <c r="AJ243" i="212"/>
  <c r="AJ246" i="212"/>
  <c r="AK161" i="280"/>
  <c r="AN161" i="217"/>
  <c r="AP161" i="280"/>
  <c r="AK161" i="279"/>
  <c r="AL161" i="277"/>
  <c r="AN161" i="279"/>
  <c r="AK246" i="281"/>
  <c r="AK248" i="281"/>
  <c r="AK245" i="281"/>
  <c r="AK244" i="281"/>
  <c r="AK242" i="281"/>
  <c r="AK247" i="281"/>
  <c r="AK243" i="281"/>
  <c r="AO244" i="281"/>
  <c r="AO245" i="281"/>
  <c r="AO242" i="281"/>
  <c r="AO243" i="281"/>
  <c r="AO246" i="281"/>
  <c r="AO248" i="281"/>
  <c r="AO247" i="281"/>
  <c r="AO243" i="205"/>
  <c r="AO245" i="205"/>
  <c r="AO246" i="205"/>
  <c r="AO244" i="205"/>
  <c r="AO248" i="205"/>
  <c r="AO242" i="205"/>
  <c r="AO247" i="205"/>
  <c r="AL23" i="183"/>
  <c r="AJ102" i="189"/>
  <c r="AP98" i="189"/>
  <c r="AM247" i="212"/>
  <c r="AM245" i="212"/>
  <c r="AM248" i="212"/>
  <c r="AM244" i="212"/>
  <c r="AM242" i="212"/>
  <c r="AM243" i="212"/>
  <c r="AM246" i="212"/>
  <c r="AM23" i="183"/>
  <c r="AM20" i="183"/>
  <c r="AL22" i="183"/>
  <c r="AM98" i="189"/>
  <c r="I78" i="212"/>
  <c r="AK23" i="183"/>
  <c r="AP22" i="183"/>
  <c r="AJ19" i="183"/>
  <c r="AO244" i="212"/>
  <c r="AO248" i="212"/>
  <c r="AO245" i="212"/>
  <c r="AO246" i="212"/>
  <c r="AO242" i="212"/>
  <c r="AO247" i="212"/>
  <c r="AO243" i="212"/>
  <c r="AN244" i="212"/>
  <c r="AN247" i="212"/>
  <c r="AN246" i="212"/>
  <c r="AN242" i="212"/>
  <c r="AN245" i="212"/>
  <c r="AN243" i="212"/>
  <c r="AN248" i="212"/>
  <c r="AL245" i="205"/>
  <c r="AL247" i="205"/>
  <c r="AL243" i="205"/>
  <c r="AL242" i="205"/>
  <c r="AL248" i="205"/>
  <c r="AL246" i="205"/>
  <c r="AL244" i="205"/>
  <c r="AK19" i="183"/>
  <c r="AQ161" i="217"/>
  <c r="AL161" i="278"/>
  <c r="AP161" i="279"/>
  <c r="AQ161" i="279"/>
  <c r="AN161" i="278"/>
  <c r="AQ161" i="280"/>
  <c r="AL161" i="280"/>
  <c r="AQ161" i="277"/>
  <c r="AM161" i="277"/>
  <c r="AO161" i="280"/>
  <c r="AO161" i="277"/>
  <c r="AN98" i="189"/>
  <c r="AQ244" i="205"/>
  <c r="AQ247" i="205"/>
  <c r="AQ243" i="205"/>
  <c r="AQ245" i="205"/>
  <c r="AQ246" i="205"/>
  <c r="AQ248" i="205"/>
  <c r="AQ242" i="205"/>
  <c r="AQ245" i="212"/>
  <c r="AQ242" i="212"/>
  <c r="AQ247" i="212"/>
  <c r="AQ243" i="212"/>
  <c r="AQ244" i="212"/>
  <c r="AQ246" i="212"/>
  <c r="AQ248" i="212"/>
  <c r="AN20" i="183"/>
  <c r="AP20" i="183"/>
  <c r="AP23" i="183"/>
  <c r="AL20" i="183"/>
  <c r="AJ98" i="189"/>
  <c r="AK247" i="205"/>
  <c r="AK244" i="205"/>
  <c r="AK242" i="205"/>
  <c r="AK248" i="205"/>
  <c r="AK243" i="205"/>
  <c r="AK246" i="205"/>
  <c r="AK245" i="205"/>
  <c r="AP247" i="212"/>
  <c r="AP245" i="212"/>
  <c r="AP248" i="212"/>
  <c r="AP244" i="212"/>
  <c r="AP246" i="212"/>
  <c r="AP242" i="212"/>
  <c r="AP243" i="212"/>
  <c r="AK20" i="183"/>
  <c r="AK22" i="183"/>
  <c r="AN22" i="183"/>
  <c r="AJ245" i="281"/>
  <c r="AJ243" i="281"/>
  <c r="AJ244" i="281"/>
  <c r="AJ247" i="281"/>
  <c r="AJ248" i="281"/>
  <c r="AJ242" i="281"/>
  <c r="AJ246" i="281"/>
  <c r="AQ161" i="278"/>
  <c r="AL161" i="217"/>
  <c r="AK161" i="217"/>
  <c r="AK161" i="278"/>
  <c r="AP161" i="277"/>
  <c r="AM161" i="279"/>
  <c r="AM246" i="281"/>
  <c r="AM243" i="281"/>
  <c r="AM245" i="281"/>
  <c r="AM244" i="281"/>
  <c r="AM248" i="281"/>
  <c r="AM247" i="281"/>
  <c r="AM242" i="281"/>
  <c r="AQ246" i="281"/>
  <c r="AQ244" i="281"/>
  <c r="AQ248" i="281"/>
  <c r="AQ242" i="281"/>
  <c r="AQ243" i="281"/>
  <c r="AQ247" i="281"/>
  <c r="AQ245" i="281"/>
  <c r="AP247" i="281"/>
  <c r="AP245" i="281"/>
  <c r="AP243" i="281"/>
  <c r="AP244" i="281"/>
  <c r="AP246" i="281"/>
  <c r="AP248" i="281"/>
  <c r="AP242" i="281"/>
  <c r="AM242" i="205"/>
  <c r="AM246" i="205"/>
  <c r="AM248" i="205"/>
  <c r="AM245" i="205"/>
  <c r="AM247" i="205"/>
  <c r="AM243" i="205"/>
  <c r="AM244" i="205"/>
  <c r="AJ100" i="189"/>
  <c r="AN242" i="205"/>
  <c r="AN248" i="205"/>
  <c r="AN246" i="205"/>
  <c r="AN245" i="205"/>
  <c r="AN243" i="205"/>
  <c r="AN247" i="205"/>
  <c r="AN244" i="205"/>
  <c r="AM19" i="183"/>
  <c r="AQ20" i="183"/>
  <c r="AM107" i="189"/>
  <c r="AL98" i="189"/>
  <c r="AL248" i="212"/>
  <c r="AL246" i="212"/>
  <c r="AL243" i="212"/>
  <c r="AL244" i="212"/>
  <c r="AL247" i="212"/>
  <c r="AL242" i="212"/>
  <c r="AL245" i="212"/>
  <c r="AK247" i="212"/>
  <c r="AK243" i="212"/>
  <c r="AK244" i="212"/>
  <c r="AK245" i="212"/>
  <c r="AK242" i="212"/>
  <c r="AK246" i="212"/>
  <c r="AK248" i="212"/>
  <c r="AN23" i="183"/>
  <c r="AO98" i="189"/>
  <c r="AJ245" i="205"/>
  <c r="AJ247" i="205"/>
  <c r="AJ242" i="205"/>
  <c r="AJ248" i="205"/>
  <c r="AJ243" i="205"/>
  <c r="AJ244" i="205"/>
  <c r="AJ246" i="205"/>
  <c r="AO161" i="279"/>
  <c r="AN161" i="277"/>
  <c r="AP161" i="278"/>
  <c r="AO161" i="278"/>
  <c r="AN161" i="280"/>
  <c r="AK161" i="277"/>
  <c r="AP161" i="217"/>
  <c r="AM161" i="278"/>
  <c r="AL161" i="279"/>
  <c r="AM161" i="280"/>
  <c r="AM161" i="217"/>
  <c r="AO161" i="217"/>
  <c r="AJ243" i="217" l="1"/>
  <c r="AJ242" i="279"/>
  <c r="AJ245" i="282"/>
  <c r="AJ247" i="282"/>
  <c r="AJ245" i="279"/>
  <c r="AJ242" i="282"/>
  <c r="AJ247" i="217"/>
  <c r="AJ246" i="217"/>
  <c r="AJ242" i="217"/>
  <c r="AJ248" i="217"/>
  <c r="AJ245" i="217"/>
  <c r="AJ244" i="279"/>
  <c r="AJ246" i="279"/>
  <c r="AJ248" i="282"/>
  <c r="AJ243" i="282"/>
  <c r="AJ246" i="282"/>
  <c r="AJ243" i="279"/>
  <c r="AJ244" i="282"/>
  <c r="AJ248" i="279"/>
  <c r="AJ247" i="279"/>
  <c r="AJ161" i="204"/>
  <c r="I78" i="204"/>
  <c r="AQ25" i="189"/>
  <c r="AQ161" i="189" s="1"/>
  <c r="AQ161" i="282"/>
  <c r="AK25" i="189"/>
  <c r="AK161" i="282"/>
  <c r="AO248" i="217"/>
  <c r="AO242" i="217"/>
  <c r="AO243" i="217"/>
  <c r="AO245" i="217"/>
  <c r="AO244" i="217"/>
  <c r="AO247" i="217"/>
  <c r="AO246" i="217"/>
  <c r="AM242" i="280"/>
  <c r="AM244" i="280"/>
  <c r="AM243" i="280"/>
  <c r="AM246" i="280"/>
  <c r="AM245" i="280"/>
  <c r="AM247" i="280"/>
  <c r="AM248" i="280"/>
  <c r="AP244" i="217"/>
  <c r="AP248" i="217"/>
  <c r="AP242" i="217"/>
  <c r="AP246" i="217"/>
  <c r="AP243" i="217"/>
  <c r="AP247" i="217"/>
  <c r="AP245" i="217"/>
  <c r="AN246" i="280"/>
  <c r="AN247" i="280"/>
  <c r="AN245" i="280"/>
  <c r="AN242" i="280"/>
  <c r="AN244" i="280"/>
  <c r="AN243" i="280"/>
  <c r="AN248" i="280"/>
  <c r="AO246" i="278"/>
  <c r="AO242" i="278"/>
  <c r="AO247" i="278"/>
  <c r="AO243" i="278"/>
  <c r="AO245" i="278"/>
  <c r="AO244" i="278"/>
  <c r="AO248" i="278"/>
  <c r="I78" i="280"/>
  <c r="I78" i="279"/>
  <c r="AK245" i="278"/>
  <c r="AK243" i="278"/>
  <c r="AK247" i="278"/>
  <c r="AK244" i="278"/>
  <c r="AK242" i="278"/>
  <c r="AK248" i="278"/>
  <c r="AK246" i="278"/>
  <c r="I78" i="281"/>
  <c r="AQ244" i="280"/>
  <c r="AQ243" i="280"/>
  <c r="AQ248" i="280"/>
  <c r="AQ245" i="280"/>
  <c r="AQ242" i="280"/>
  <c r="AQ246" i="280"/>
  <c r="AQ247" i="280"/>
  <c r="AL25" i="189"/>
  <c r="AL161" i="189" s="1"/>
  <c r="AL161" i="282"/>
  <c r="AM18" i="183"/>
  <c r="AN244" i="279"/>
  <c r="AN242" i="279"/>
  <c r="AN248" i="279"/>
  <c r="AN247" i="279"/>
  <c r="AN245" i="279"/>
  <c r="AN243" i="279"/>
  <c r="AN246" i="279"/>
  <c r="AL247" i="277"/>
  <c r="AL245" i="277"/>
  <c r="AL248" i="277"/>
  <c r="AL242" i="277"/>
  <c r="AL244" i="277"/>
  <c r="AL246" i="277"/>
  <c r="AL243" i="277"/>
  <c r="AK245" i="279"/>
  <c r="AK244" i="279"/>
  <c r="AK246" i="279"/>
  <c r="AK247" i="279"/>
  <c r="AK243" i="279"/>
  <c r="AK242" i="279"/>
  <c r="AK248" i="279"/>
  <c r="AK18" i="183"/>
  <c r="AQ161" i="204"/>
  <c r="AO161" i="204"/>
  <c r="I78" i="282"/>
  <c r="AM245" i="217"/>
  <c r="AM248" i="217"/>
  <c r="AM246" i="217"/>
  <c r="AM242" i="217"/>
  <c r="AM247" i="217"/>
  <c r="AM243" i="217"/>
  <c r="AM244" i="217"/>
  <c r="AL248" i="279"/>
  <c r="AL247" i="279"/>
  <c r="AL244" i="279"/>
  <c r="AL245" i="279"/>
  <c r="AL243" i="279"/>
  <c r="AL246" i="279"/>
  <c r="AL242" i="279"/>
  <c r="AM244" i="278"/>
  <c r="AM243" i="278"/>
  <c r="AM246" i="278"/>
  <c r="AM247" i="278"/>
  <c r="AM242" i="278"/>
  <c r="AM245" i="278"/>
  <c r="AM248" i="278"/>
  <c r="AM244" i="277"/>
  <c r="AM242" i="277"/>
  <c r="AM245" i="277"/>
  <c r="AM243" i="277"/>
  <c r="AM246" i="277"/>
  <c r="AM247" i="277"/>
  <c r="AM248" i="277"/>
  <c r="AL246" i="280"/>
  <c r="AL247" i="280"/>
  <c r="AL244" i="280"/>
  <c r="AL245" i="280"/>
  <c r="AL242" i="280"/>
  <c r="AL243" i="280"/>
  <c r="AL248" i="280"/>
  <c r="AQ243" i="279"/>
  <c r="AQ245" i="279"/>
  <c r="AQ244" i="279"/>
  <c r="AQ247" i="279"/>
  <c r="AQ242" i="279"/>
  <c r="AQ248" i="279"/>
  <c r="AQ246" i="279"/>
  <c r="I78" i="217"/>
  <c r="AQ244" i="217"/>
  <c r="AQ242" i="217"/>
  <c r="AQ248" i="217"/>
  <c r="AQ247" i="217"/>
  <c r="AQ246" i="217"/>
  <c r="AQ245" i="217"/>
  <c r="AQ243" i="217"/>
  <c r="AP18" i="183"/>
  <c r="AN246" i="217"/>
  <c r="AN243" i="217"/>
  <c r="AN242" i="217"/>
  <c r="AN248" i="217"/>
  <c r="AN244" i="217"/>
  <c r="AN245" i="217"/>
  <c r="AN247" i="217"/>
  <c r="AJ245" i="280"/>
  <c r="AJ247" i="280"/>
  <c r="AJ246" i="280"/>
  <c r="AJ242" i="280"/>
  <c r="AJ243" i="280"/>
  <c r="AJ248" i="280"/>
  <c r="AJ244" i="280"/>
  <c r="AK161" i="204"/>
  <c r="AL161" i="204"/>
  <c r="AN161" i="204"/>
  <c r="AN247" i="277"/>
  <c r="AN242" i="277"/>
  <c r="AN244" i="277"/>
  <c r="AN248" i="277"/>
  <c r="AN243" i="277"/>
  <c r="AN245" i="277"/>
  <c r="AN246" i="277"/>
  <c r="AM25" i="189"/>
  <c r="AM161" i="189" s="1"/>
  <c r="AM161" i="282"/>
  <c r="AJ20" i="183"/>
  <c r="AP244" i="277"/>
  <c r="AP242" i="277"/>
  <c r="AP243" i="277"/>
  <c r="AP248" i="277"/>
  <c r="AP245" i="277"/>
  <c r="AP247" i="277"/>
  <c r="AP246" i="277"/>
  <c r="AL245" i="217"/>
  <c r="AL247" i="217"/>
  <c r="AL248" i="217"/>
  <c r="AL242" i="217"/>
  <c r="AL244" i="217"/>
  <c r="AL243" i="217"/>
  <c r="AL246" i="217"/>
  <c r="AN25" i="189"/>
  <c r="AN161" i="189" s="1"/>
  <c r="AN161" i="282"/>
  <c r="AJ18" i="183"/>
  <c r="AN18" i="183"/>
  <c r="AO244" i="277"/>
  <c r="AO243" i="277"/>
  <c r="AO248" i="277"/>
  <c r="AO246" i="277"/>
  <c r="AO247" i="277"/>
  <c r="AO245" i="277"/>
  <c r="AO242" i="277"/>
  <c r="AN242" i="278"/>
  <c r="AN245" i="278"/>
  <c r="AN244" i="278"/>
  <c r="AN246" i="278"/>
  <c r="AN243" i="278"/>
  <c r="AN248" i="278"/>
  <c r="AN247" i="278"/>
  <c r="AL244" i="278"/>
  <c r="AL246" i="278"/>
  <c r="AL243" i="278"/>
  <c r="AL242" i="278"/>
  <c r="AL245" i="278"/>
  <c r="AL247" i="278"/>
  <c r="AL248" i="278"/>
  <c r="AP247" i="280"/>
  <c r="AP248" i="280"/>
  <c r="AP244" i="280"/>
  <c r="AP243" i="280"/>
  <c r="AP246" i="280"/>
  <c r="AP245" i="280"/>
  <c r="AP242" i="280"/>
  <c r="AK244" i="280"/>
  <c r="AK242" i="280"/>
  <c r="AK248" i="280"/>
  <c r="AK245" i="280"/>
  <c r="AK243" i="280"/>
  <c r="AK247" i="280"/>
  <c r="AK246" i="280"/>
  <c r="AQ18" i="183"/>
  <c r="AJ247" i="277"/>
  <c r="AJ244" i="277"/>
  <c r="AJ248" i="277"/>
  <c r="AJ245" i="277"/>
  <c r="AJ242" i="277"/>
  <c r="AJ243" i="277"/>
  <c r="AJ246" i="277"/>
  <c r="I78" i="277"/>
  <c r="AK242" i="277"/>
  <c r="AK248" i="277"/>
  <c r="AK246" i="277"/>
  <c r="AK243" i="277"/>
  <c r="AK245" i="277"/>
  <c r="AK244" i="277"/>
  <c r="AK247" i="277"/>
  <c r="AP243" i="278"/>
  <c r="AP245" i="278"/>
  <c r="AP248" i="278"/>
  <c r="AP247" i="278"/>
  <c r="AP242" i="278"/>
  <c r="AP246" i="278"/>
  <c r="AP244" i="278"/>
  <c r="AO244" i="279"/>
  <c r="AO246" i="279"/>
  <c r="AO243" i="279"/>
  <c r="AO245" i="279"/>
  <c r="AO248" i="279"/>
  <c r="AO242" i="279"/>
  <c r="AO247" i="279"/>
  <c r="AO18" i="183"/>
  <c r="AL18" i="183"/>
  <c r="AM247" i="279"/>
  <c r="AM245" i="279"/>
  <c r="AM248" i="279"/>
  <c r="AM243" i="279"/>
  <c r="AM242" i="279"/>
  <c r="AM244" i="279"/>
  <c r="AM246" i="279"/>
  <c r="AP25" i="189"/>
  <c r="AP161" i="189" s="1"/>
  <c r="AP161" i="282"/>
  <c r="AK244" i="217"/>
  <c r="AK242" i="217"/>
  <c r="AK248" i="217"/>
  <c r="AK245" i="217"/>
  <c r="AK243" i="217"/>
  <c r="AK247" i="217"/>
  <c r="AK246" i="217"/>
  <c r="AO25" i="189"/>
  <c r="AO161" i="189" s="1"/>
  <c r="AO161" i="282"/>
  <c r="AQ244" i="278"/>
  <c r="AQ247" i="278"/>
  <c r="AQ242" i="278"/>
  <c r="AQ248" i="278"/>
  <c r="AQ243" i="278"/>
  <c r="AQ245" i="278"/>
  <c r="AQ246" i="278"/>
  <c r="AO246" i="280"/>
  <c r="AO248" i="280"/>
  <c r="AO244" i="280"/>
  <c r="AO245" i="280"/>
  <c r="AO243" i="280"/>
  <c r="AO242" i="280"/>
  <c r="AO247" i="280"/>
  <c r="AQ242" i="277"/>
  <c r="AQ243" i="277"/>
  <c r="AQ247" i="277"/>
  <c r="AQ245" i="277"/>
  <c r="AQ248" i="277"/>
  <c r="AQ244" i="277"/>
  <c r="AQ246" i="277"/>
  <c r="AP244" i="279"/>
  <c r="AP248" i="279"/>
  <c r="AP243" i="279"/>
  <c r="AP245" i="279"/>
  <c r="AP246" i="279"/>
  <c r="AP242" i="279"/>
  <c r="AP247" i="279"/>
  <c r="AJ22" i="183"/>
  <c r="I78" i="278"/>
  <c r="AJ23" i="183"/>
  <c r="AJ161" i="189"/>
  <c r="AJ248" i="278"/>
  <c r="AJ245" i="278"/>
  <c r="AJ242" i="278"/>
  <c r="AJ246" i="278"/>
  <c r="AJ243" i="278"/>
  <c r="AJ247" i="278"/>
  <c r="AJ244" i="278"/>
  <c r="AM161" i="204"/>
  <c r="AP161" i="204"/>
  <c r="AJ490" i="189" l="1"/>
  <c r="AJ81" i="197" s="1"/>
  <c r="AO490" i="189"/>
  <c r="AO81" i="197" s="1"/>
  <c r="AK490" i="189"/>
  <c r="AK81" i="197" s="1"/>
  <c r="AN490" i="189"/>
  <c r="AN81" i="197" s="1"/>
  <c r="AP490" i="189"/>
  <c r="AP81" i="197" s="1"/>
  <c r="AM490" i="189"/>
  <c r="AM81" i="197" s="1"/>
  <c r="AL490" i="189"/>
  <c r="AL81" i="197" s="1"/>
  <c r="AQ490" i="189"/>
  <c r="AQ81" i="197" s="1"/>
  <c r="I78" i="189"/>
  <c r="I29" i="197" s="1"/>
  <c r="I30" i="197" s="1"/>
  <c r="AL245" i="204"/>
  <c r="AL247" i="204"/>
  <c r="AL248" i="204"/>
  <c r="AL242" i="204"/>
  <c r="AL243" i="204"/>
  <c r="AL244" i="204"/>
  <c r="AL246" i="204"/>
  <c r="AK246" i="282"/>
  <c r="AK247" i="282"/>
  <c r="AK243" i="282"/>
  <c r="AK248" i="282"/>
  <c r="AK244" i="282"/>
  <c r="AK245" i="282"/>
  <c r="AK242" i="282"/>
  <c r="AJ246" i="204"/>
  <c r="AJ246" i="189" s="1"/>
  <c r="AJ32" i="183" s="1"/>
  <c r="AJ43" i="183" s="1"/>
  <c r="AJ76" i="183" s="1"/>
  <c r="AJ87" i="183" s="1"/>
  <c r="AJ20" i="195" s="1"/>
  <c r="AJ243" i="204"/>
  <c r="AJ247" i="204"/>
  <c r="AJ244" i="204"/>
  <c r="AJ244" i="189" s="1"/>
  <c r="AJ30" i="183" s="1"/>
  <c r="AJ41" i="183" s="1"/>
  <c r="AJ74" i="183" s="1"/>
  <c r="AJ85" i="183" s="1"/>
  <c r="AJ18" i="195" s="1"/>
  <c r="AJ248" i="204"/>
  <c r="AJ245" i="204"/>
  <c r="AJ242" i="204"/>
  <c r="AP243" i="282"/>
  <c r="AP242" i="282"/>
  <c r="AP245" i="282"/>
  <c r="AP247" i="282"/>
  <c r="AP248" i="282"/>
  <c r="AP244" i="282"/>
  <c r="AP246" i="282"/>
  <c r="AN246" i="204"/>
  <c r="AN244" i="204"/>
  <c r="AN243" i="204"/>
  <c r="AN245" i="204"/>
  <c r="AN247" i="204"/>
  <c r="AN248" i="204"/>
  <c r="AN242" i="204"/>
  <c r="AO244" i="204"/>
  <c r="AO246" i="204"/>
  <c r="AO243" i="204"/>
  <c r="AO242" i="204"/>
  <c r="AO245" i="204"/>
  <c r="AO247" i="204"/>
  <c r="AO248" i="204"/>
  <c r="AL243" i="282"/>
  <c r="AL248" i="282"/>
  <c r="AL244" i="282"/>
  <c r="AL246" i="282"/>
  <c r="AL242" i="282"/>
  <c r="AL245" i="282"/>
  <c r="AL247" i="282"/>
  <c r="AQ244" i="282"/>
  <c r="AQ243" i="282"/>
  <c r="AQ248" i="282"/>
  <c r="AQ245" i="282"/>
  <c r="AQ242" i="282"/>
  <c r="AQ247" i="282"/>
  <c r="AQ246" i="282"/>
  <c r="AP248" i="204"/>
  <c r="AP245" i="204"/>
  <c r="AP247" i="204"/>
  <c r="AP246" i="204"/>
  <c r="AP244" i="204"/>
  <c r="AP242" i="204"/>
  <c r="AP243" i="204"/>
  <c r="AM242" i="204"/>
  <c r="AM246" i="204"/>
  <c r="AM244" i="204"/>
  <c r="AM248" i="204"/>
  <c r="AM245" i="204"/>
  <c r="AM247" i="204"/>
  <c r="AM243" i="204"/>
  <c r="AO246" i="282"/>
  <c r="AO246" i="189" s="1"/>
  <c r="AO32" i="183" s="1"/>
  <c r="AO43" i="183" s="1"/>
  <c r="AO76" i="183" s="1"/>
  <c r="AO87" i="183" s="1"/>
  <c r="AO20" i="195" s="1"/>
  <c r="AO248" i="282"/>
  <c r="AO245" i="282"/>
  <c r="AO244" i="282"/>
  <c r="AO242" i="282"/>
  <c r="AO247" i="282"/>
  <c r="AO243" i="282"/>
  <c r="AM242" i="282"/>
  <c r="AM248" i="282"/>
  <c r="AM244" i="282"/>
  <c r="AM243" i="282"/>
  <c r="AM246" i="282"/>
  <c r="AM246" i="189" s="1"/>
  <c r="AM32" i="183" s="1"/>
  <c r="AM43" i="183" s="1"/>
  <c r="AM76" i="183" s="1"/>
  <c r="AM87" i="183" s="1"/>
  <c r="AM20" i="195" s="1"/>
  <c r="AM245" i="282"/>
  <c r="AM247" i="282"/>
  <c r="AN243" i="282"/>
  <c r="AN247" i="282"/>
  <c r="AN245" i="282"/>
  <c r="AN242" i="282"/>
  <c r="AN248" i="282"/>
  <c r="AN246" i="282"/>
  <c r="AN244" i="282"/>
  <c r="AK245" i="204"/>
  <c r="AK247" i="204"/>
  <c r="AK246" i="204"/>
  <c r="AK243" i="204"/>
  <c r="AK242" i="204"/>
  <c r="AK248" i="204"/>
  <c r="AK244" i="204"/>
  <c r="AQ244" i="204"/>
  <c r="AQ248" i="204"/>
  <c r="AQ242" i="204"/>
  <c r="AQ243" i="204"/>
  <c r="AQ247" i="204"/>
  <c r="AQ245" i="204"/>
  <c r="AQ246" i="204"/>
  <c r="AK161" i="189"/>
  <c r="AL246" i="189" l="1"/>
  <c r="AL32" i="183" s="1"/>
  <c r="AL43" i="183" s="1"/>
  <c r="AL76" i="183" s="1"/>
  <c r="AL87" i="183" s="1"/>
  <c r="AL20" i="195" s="1"/>
  <c r="AN246" i="189"/>
  <c r="AN32" i="183" s="1"/>
  <c r="AN43" i="183" s="1"/>
  <c r="AN76" i="183" s="1"/>
  <c r="AN87" i="183" s="1"/>
  <c r="AN20" i="195" s="1"/>
  <c r="AQ246" i="189"/>
  <c r="AQ32" i="183" s="1"/>
  <c r="AQ43" i="183" s="1"/>
  <c r="AQ76" i="183" s="1"/>
  <c r="AQ87" i="183" s="1"/>
  <c r="AQ20" i="195" s="1"/>
  <c r="AP246" i="189"/>
  <c r="AP32" i="183" s="1"/>
  <c r="AP43" i="183" s="1"/>
  <c r="AP76" i="183" s="1"/>
  <c r="AP87" i="183" s="1"/>
  <c r="AP20" i="195" s="1"/>
  <c r="AJ247" i="189"/>
  <c r="AJ33" i="183" s="1"/>
  <c r="AJ44" i="183" s="1"/>
  <c r="AJ77" i="183" s="1"/>
  <c r="AJ88" i="183" s="1"/>
  <c r="AJ21" i="195" s="1"/>
  <c r="AJ242" i="189"/>
  <c r="AJ28" i="183" s="1"/>
  <c r="AJ39" i="183" s="1"/>
  <c r="AJ248" i="189"/>
  <c r="AJ34" i="183" s="1"/>
  <c r="AJ45" i="183" s="1"/>
  <c r="AJ78" i="183" s="1"/>
  <c r="AJ89" i="183" s="1"/>
  <c r="AJ22" i="195" s="1"/>
  <c r="AJ245" i="189"/>
  <c r="AJ31" i="183" s="1"/>
  <c r="AJ42" i="183" s="1"/>
  <c r="AJ75" i="183" s="1"/>
  <c r="AJ86" i="183" s="1"/>
  <c r="AJ19" i="195" s="1"/>
  <c r="AK246" i="189"/>
  <c r="AK32" i="183" s="1"/>
  <c r="AK43" i="183" s="1"/>
  <c r="AK76" i="183" s="1"/>
  <c r="AK87" i="183" s="1"/>
  <c r="AK20" i="195" s="1"/>
  <c r="AJ243" i="189"/>
  <c r="AJ29" i="183" s="1"/>
  <c r="AJ40" i="183" s="1"/>
  <c r="AJ73" i="183" s="1"/>
  <c r="AJ84" i="183" s="1"/>
  <c r="AJ17" i="195" s="1"/>
  <c r="I82" i="197"/>
  <c r="AJ84" i="197" s="1"/>
  <c r="I20" i="197"/>
  <c r="I22" i="197" s="1"/>
  <c r="I26" i="197" s="1"/>
  <c r="I79" i="197" s="1"/>
  <c r="AN247" i="189"/>
  <c r="AN33" i="183" s="1"/>
  <c r="AN44" i="183" s="1"/>
  <c r="AN77" i="183" s="1"/>
  <c r="AN88" i="183" s="1"/>
  <c r="AN21" i="195" s="1"/>
  <c r="AM247" i="189"/>
  <c r="AM33" i="183" s="1"/>
  <c r="AM44" i="183" s="1"/>
  <c r="AM77" i="183" s="1"/>
  <c r="AM88" i="183" s="1"/>
  <c r="AM21" i="195" s="1"/>
  <c r="AM244" i="189"/>
  <c r="AM30" i="183" s="1"/>
  <c r="AM41" i="183" s="1"/>
  <c r="AM74" i="183" s="1"/>
  <c r="AM85" i="183" s="1"/>
  <c r="AM18" i="195" s="1"/>
  <c r="AO243" i="189"/>
  <c r="AO29" i="183" s="1"/>
  <c r="AO40" i="183" s="1"/>
  <c r="AO73" i="183" s="1"/>
  <c r="AO84" i="183" s="1"/>
  <c r="AO17" i="195" s="1"/>
  <c r="AO245" i="189"/>
  <c r="AO31" i="183" s="1"/>
  <c r="AO42" i="183" s="1"/>
  <c r="AO75" i="183" s="1"/>
  <c r="AO86" i="183" s="1"/>
  <c r="AO19" i="195" s="1"/>
  <c r="AQ248" i="189"/>
  <c r="AQ34" i="183" s="1"/>
  <c r="AQ45" i="183" s="1"/>
  <c r="AQ78" i="183" s="1"/>
  <c r="AQ89" i="183" s="1"/>
  <c r="AQ22" i="195" s="1"/>
  <c r="AL247" i="189"/>
  <c r="AL33" i="183" s="1"/>
  <c r="AL44" i="183" s="1"/>
  <c r="AL77" i="183" s="1"/>
  <c r="AL88" i="183" s="1"/>
  <c r="AL21" i="195" s="1"/>
  <c r="AL244" i="189"/>
  <c r="AL30" i="183" s="1"/>
  <c r="AL41" i="183" s="1"/>
  <c r="AL74" i="183" s="1"/>
  <c r="AL85" i="183" s="1"/>
  <c r="AL18" i="195" s="1"/>
  <c r="AP247" i="189"/>
  <c r="AP33" i="183" s="1"/>
  <c r="AP44" i="183" s="1"/>
  <c r="AP77" i="183" s="1"/>
  <c r="AP88" i="183" s="1"/>
  <c r="AP21" i="195" s="1"/>
  <c r="AK245" i="189"/>
  <c r="AK31" i="183" s="1"/>
  <c r="AK42" i="183" s="1"/>
  <c r="AK75" i="183" s="1"/>
  <c r="AK86" i="183" s="1"/>
  <c r="AK19" i="195" s="1"/>
  <c r="AK247" i="189"/>
  <c r="AK33" i="183" s="1"/>
  <c r="AK44" i="183" s="1"/>
  <c r="AK77" i="183" s="1"/>
  <c r="AK88" i="183" s="1"/>
  <c r="AK21" i="195" s="1"/>
  <c r="AN244" i="189"/>
  <c r="AN30" i="183" s="1"/>
  <c r="AN41" i="183" s="1"/>
  <c r="AN74" i="183" s="1"/>
  <c r="AN85" i="183" s="1"/>
  <c r="AN18" i="195" s="1"/>
  <c r="AN245" i="189"/>
  <c r="AN31" i="183" s="1"/>
  <c r="AN42" i="183" s="1"/>
  <c r="AN75" i="183" s="1"/>
  <c r="AN86" i="183" s="1"/>
  <c r="AN19" i="195" s="1"/>
  <c r="AM243" i="189"/>
  <c r="AM29" i="183" s="1"/>
  <c r="AM40" i="183" s="1"/>
  <c r="AM73" i="183" s="1"/>
  <c r="AM84" i="183" s="1"/>
  <c r="AM17" i="195" s="1"/>
  <c r="AO244" i="189"/>
  <c r="AO30" i="183" s="1"/>
  <c r="AO41" i="183" s="1"/>
  <c r="AO74" i="183" s="1"/>
  <c r="AO85" i="183" s="1"/>
  <c r="AO18" i="195" s="1"/>
  <c r="AQ245" i="189"/>
  <c r="AQ31" i="183" s="1"/>
  <c r="AQ42" i="183" s="1"/>
  <c r="AQ75" i="183" s="1"/>
  <c r="AQ86" i="183" s="1"/>
  <c r="AQ19" i="195" s="1"/>
  <c r="AQ244" i="189"/>
  <c r="AQ30" i="183" s="1"/>
  <c r="AQ41" i="183" s="1"/>
  <c r="AQ74" i="183" s="1"/>
  <c r="AQ85" i="183" s="1"/>
  <c r="AQ18" i="195" s="1"/>
  <c r="AP248" i="189"/>
  <c r="AP34" i="183" s="1"/>
  <c r="AP45" i="183" s="1"/>
  <c r="AP78" i="183" s="1"/>
  <c r="AP89" i="183" s="1"/>
  <c r="AP22" i="195" s="1"/>
  <c r="AP243" i="189"/>
  <c r="AP29" i="183" s="1"/>
  <c r="AP40" i="183" s="1"/>
  <c r="AP73" i="183" s="1"/>
  <c r="AP84" i="183" s="1"/>
  <c r="AP17" i="195" s="1"/>
  <c r="AK242" i="189"/>
  <c r="AK243" i="189"/>
  <c r="AK29" i="183" s="1"/>
  <c r="AK40" i="183" s="1"/>
  <c r="AK73" i="183" s="1"/>
  <c r="AK84" i="183" s="1"/>
  <c r="AK17" i="195" s="1"/>
  <c r="AN242" i="189"/>
  <c r="AM242" i="189"/>
  <c r="AO242" i="189"/>
  <c r="AQ242" i="189"/>
  <c r="AL242" i="189"/>
  <c r="AL243" i="189"/>
  <c r="AL29" i="183" s="1"/>
  <c r="AL40" i="183" s="1"/>
  <c r="AL73" i="183" s="1"/>
  <c r="AL84" i="183" s="1"/>
  <c r="AL17" i="195" s="1"/>
  <c r="AP244" i="189"/>
  <c r="AP30" i="183" s="1"/>
  <c r="AP41" i="183" s="1"/>
  <c r="AP74" i="183" s="1"/>
  <c r="AP85" i="183" s="1"/>
  <c r="AP18" i="195" s="1"/>
  <c r="AP242" i="189"/>
  <c r="AK248" i="189"/>
  <c r="AK34" i="183" s="1"/>
  <c r="AK45" i="183" s="1"/>
  <c r="AK78" i="183" s="1"/>
  <c r="AK89" i="183" s="1"/>
  <c r="AK22" i="195" s="1"/>
  <c r="AN248" i="189"/>
  <c r="AN34" i="183" s="1"/>
  <c r="AN45" i="183" s="1"/>
  <c r="AN78" i="183" s="1"/>
  <c r="AN89" i="183" s="1"/>
  <c r="AN22" i="195" s="1"/>
  <c r="AN243" i="189"/>
  <c r="AN29" i="183" s="1"/>
  <c r="AN40" i="183" s="1"/>
  <c r="AN73" i="183" s="1"/>
  <c r="AN84" i="183" s="1"/>
  <c r="AN17" i="195" s="1"/>
  <c r="AM245" i="189"/>
  <c r="AM31" i="183" s="1"/>
  <c r="AM42" i="183" s="1"/>
  <c r="AM75" i="183" s="1"/>
  <c r="AM86" i="183" s="1"/>
  <c r="AM19" i="195" s="1"/>
  <c r="AM248" i="189"/>
  <c r="AM34" i="183" s="1"/>
  <c r="AM45" i="183" s="1"/>
  <c r="AM78" i="183" s="1"/>
  <c r="AM89" i="183" s="1"/>
  <c r="AM22" i="195" s="1"/>
  <c r="AO247" i="189"/>
  <c r="AO33" i="183" s="1"/>
  <c r="AO44" i="183" s="1"/>
  <c r="AO77" i="183" s="1"/>
  <c r="AO88" i="183" s="1"/>
  <c r="AO21" i="195" s="1"/>
  <c r="AO248" i="189"/>
  <c r="AO34" i="183" s="1"/>
  <c r="AO45" i="183" s="1"/>
  <c r="AO78" i="183" s="1"/>
  <c r="AO89" i="183" s="1"/>
  <c r="AO22" i="195" s="1"/>
  <c r="AQ247" i="189"/>
  <c r="AQ33" i="183" s="1"/>
  <c r="AQ44" i="183" s="1"/>
  <c r="AQ77" i="183" s="1"/>
  <c r="AQ88" i="183" s="1"/>
  <c r="AQ21" i="195" s="1"/>
  <c r="AQ243" i="189"/>
  <c r="AQ29" i="183" s="1"/>
  <c r="AQ40" i="183" s="1"/>
  <c r="AQ73" i="183" s="1"/>
  <c r="AQ84" i="183" s="1"/>
  <c r="AQ17" i="195" s="1"/>
  <c r="AL245" i="189"/>
  <c r="AL31" i="183" s="1"/>
  <c r="AL42" i="183" s="1"/>
  <c r="AL75" i="183" s="1"/>
  <c r="AL86" i="183" s="1"/>
  <c r="AL19" i="195" s="1"/>
  <c r="AL248" i="189"/>
  <c r="AL34" i="183" s="1"/>
  <c r="AL45" i="183" s="1"/>
  <c r="AL78" i="183" s="1"/>
  <c r="AL89" i="183" s="1"/>
  <c r="AL22" i="195" s="1"/>
  <c r="AP245" i="189"/>
  <c r="AP31" i="183" s="1"/>
  <c r="AP42" i="183" s="1"/>
  <c r="AP75" i="183" s="1"/>
  <c r="AP86" i="183" s="1"/>
  <c r="AP19" i="195" s="1"/>
  <c r="AK244" i="189"/>
  <c r="AK30" i="183" s="1"/>
  <c r="AK41" i="183" s="1"/>
  <c r="AK74" i="183" s="1"/>
  <c r="AK85" i="183" s="1"/>
  <c r="AK18" i="195" s="1"/>
  <c r="AJ46" i="183" l="1"/>
  <c r="AJ40" i="197" s="1"/>
  <c r="AJ52" i="197" s="1"/>
  <c r="AO84" i="197"/>
  <c r="AO86" i="197" s="1"/>
  <c r="AK84" i="197"/>
  <c r="AK86" i="197" s="1"/>
  <c r="AP84" i="197"/>
  <c r="AP86" i="197" s="1"/>
  <c r="AQ84" i="197"/>
  <c r="AQ86" i="197" s="1"/>
  <c r="AN84" i="197"/>
  <c r="AN86" i="197" s="1"/>
  <c r="AM84" i="197"/>
  <c r="AM86" i="197" s="1"/>
  <c r="AL84" i="197"/>
  <c r="AL86" i="197" s="1"/>
  <c r="AJ86" i="197"/>
  <c r="AJ72" i="183"/>
  <c r="AJ83" i="183" s="1"/>
  <c r="AJ90" i="183" s="1"/>
  <c r="AM28" i="183"/>
  <c r="AM39" i="183" s="1"/>
  <c r="AL28" i="183"/>
  <c r="AL39" i="183" s="1"/>
  <c r="AN28" i="183"/>
  <c r="AN39" i="183" s="1"/>
  <c r="AP28" i="183"/>
  <c r="AP39" i="183" s="1"/>
  <c r="AK28" i="183"/>
  <c r="AK39" i="183" s="1"/>
  <c r="AQ28" i="183"/>
  <c r="AQ39" i="183" s="1"/>
  <c r="AO28" i="183"/>
  <c r="AO39" i="183" s="1"/>
  <c r="AJ18" i="9" l="1"/>
  <c r="AJ164" i="161"/>
  <c r="AM164" i="161"/>
  <c r="AL164" i="161"/>
  <c r="AK164" i="161"/>
  <c r="AN18" i="9"/>
  <c r="J49" i="23" s="1"/>
  <c r="AN164" i="161"/>
  <c r="AP18" i="9"/>
  <c r="L49" i="23" s="1"/>
  <c r="AP164" i="161"/>
  <c r="AO164" i="161"/>
  <c r="AQ18" i="9"/>
  <c r="AQ164" i="161"/>
  <c r="AJ16" i="195"/>
  <c r="AJ61" i="195" s="1"/>
  <c r="AJ117" i="195" s="1"/>
  <c r="AK18" i="9"/>
  <c r="AL18" i="9"/>
  <c r="H49" i="23" s="1"/>
  <c r="AM18" i="9"/>
  <c r="I49" i="23" s="1"/>
  <c r="AO18" i="9"/>
  <c r="K49" i="23" s="1"/>
  <c r="AJ25" i="161"/>
  <c r="AJ39" i="197"/>
  <c r="AJ41" i="197" s="1"/>
  <c r="AJ45" i="197" s="1"/>
  <c r="AJ53" i="197" s="1"/>
  <c r="AJ54" i="197" s="1"/>
  <c r="AK46" i="183"/>
  <c r="AK40" i="197" s="1"/>
  <c r="AK52" i="197" s="1"/>
  <c r="AK72" i="183"/>
  <c r="AK83" i="183" s="1"/>
  <c r="AQ46" i="183"/>
  <c r="AQ40" i="197" s="1"/>
  <c r="AQ52" i="197" s="1"/>
  <c r="AQ72" i="183"/>
  <c r="AQ83" i="183" s="1"/>
  <c r="AL46" i="183"/>
  <c r="AL40" i="197" s="1"/>
  <c r="AL52" i="197" s="1"/>
  <c r="AL72" i="183"/>
  <c r="AL83" i="183" s="1"/>
  <c r="AM46" i="183"/>
  <c r="AM40" i="197" s="1"/>
  <c r="AM52" i="197" s="1"/>
  <c r="AM72" i="183"/>
  <c r="AM83" i="183" s="1"/>
  <c r="AN46" i="183"/>
  <c r="AN40" i="197" s="1"/>
  <c r="AN52" i="197" s="1"/>
  <c r="AN72" i="183"/>
  <c r="AN83" i="183" s="1"/>
  <c r="AO46" i="183"/>
  <c r="AO40" i="197" s="1"/>
  <c r="AO52" i="197" s="1"/>
  <c r="AO72" i="183"/>
  <c r="AO83" i="183" s="1"/>
  <c r="AP46" i="183"/>
  <c r="AP40" i="197" s="1"/>
  <c r="AP52" i="197" s="1"/>
  <c r="AP72" i="183"/>
  <c r="AP83" i="183" s="1"/>
  <c r="F49" i="23" l="1"/>
  <c r="F40" i="23" s="1"/>
  <c r="M49" i="23"/>
  <c r="M40" i="23" s="1"/>
  <c r="AJ49" i="195"/>
  <c r="AJ107" i="195" s="1"/>
  <c r="AJ108" i="195" s="1"/>
  <c r="AJ109" i="195" s="1"/>
  <c r="AJ124" i="195" s="1"/>
  <c r="AJ37" i="195"/>
  <c r="AJ97" i="195" s="1"/>
  <c r="AJ98" i="195" s="1"/>
  <c r="AJ99" i="195" s="1"/>
  <c r="AJ125" i="195" s="1"/>
  <c r="AJ23" i="195"/>
  <c r="AJ75" i="195"/>
  <c r="AJ167" i="161" s="1"/>
  <c r="AJ213" i="161" s="1"/>
  <c r="AJ87" i="195"/>
  <c r="G49" i="23"/>
  <c r="AP16" i="195"/>
  <c r="AP90" i="183"/>
  <c r="J40" i="23"/>
  <c r="L40" i="23"/>
  <c r="AK90" i="183"/>
  <c r="AK16" i="195"/>
  <c r="I40" i="23"/>
  <c r="K40" i="23"/>
  <c r="AO90" i="183"/>
  <c r="AO16" i="195"/>
  <c r="AJ119" i="195"/>
  <c r="AJ126" i="195" s="1"/>
  <c r="AJ118" i="195"/>
  <c r="AN16" i="195"/>
  <c r="AN90" i="183"/>
  <c r="H40" i="23"/>
  <c r="AM90" i="183"/>
  <c r="AM16" i="195"/>
  <c r="AL90" i="183"/>
  <c r="AL16" i="195"/>
  <c r="AQ16" i="195"/>
  <c r="AQ90" i="183"/>
  <c r="AJ65" i="197"/>
  <c r="F26" i="23"/>
  <c r="N49" i="23" l="1"/>
  <c r="G40" i="23"/>
  <c r="O49" i="23"/>
  <c r="AJ100" i="195"/>
  <c r="AK96" i="195" s="1"/>
  <c r="AJ110" i="195"/>
  <c r="AK106" i="195" s="1"/>
  <c r="AJ120" i="195"/>
  <c r="AK116" i="195" s="1"/>
  <c r="AM87" i="195"/>
  <c r="AM61" i="195"/>
  <c r="AM117" i="195" s="1"/>
  <c r="AM75" i="195"/>
  <c r="AM23" i="195"/>
  <c r="AM37" i="195"/>
  <c r="AM97" i="195" s="1"/>
  <c r="AM49" i="195"/>
  <c r="AM107" i="195" s="1"/>
  <c r="AK23" i="195"/>
  <c r="AK61" i="195"/>
  <c r="AK117" i="195" s="1"/>
  <c r="AK87" i="195"/>
  <c r="AK37" i="195"/>
  <c r="AK97" i="195" s="1"/>
  <c r="AK75" i="195"/>
  <c r="AK49" i="195"/>
  <c r="AK107" i="195" s="1"/>
  <c r="AP61" i="195"/>
  <c r="AP117" i="195" s="1"/>
  <c r="AP37" i="195"/>
  <c r="AP97" i="195" s="1"/>
  <c r="AP49" i="195"/>
  <c r="AP107" i="195" s="1"/>
  <c r="AP87" i="195"/>
  <c r="AP23" i="195"/>
  <c r="AP75" i="195"/>
  <c r="AP39" i="197"/>
  <c r="AP41" i="197" s="1"/>
  <c r="AP45" i="197" s="1"/>
  <c r="AP53" i="197" s="1"/>
  <c r="AP54" i="197" s="1"/>
  <c r="AP25" i="161"/>
  <c r="AL39" i="197"/>
  <c r="AL41" i="197" s="1"/>
  <c r="AL45" i="197" s="1"/>
  <c r="AL53" i="197" s="1"/>
  <c r="AL54" i="197" s="1"/>
  <c r="AL25" i="161"/>
  <c r="AQ37" i="195"/>
  <c r="AQ97" i="195" s="1"/>
  <c r="AQ87" i="195"/>
  <c r="AQ61" i="195"/>
  <c r="AQ117" i="195" s="1"/>
  <c r="AQ23" i="195"/>
  <c r="AQ49" i="195"/>
  <c r="AQ107" i="195" s="1"/>
  <c r="AQ75" i="195"/>
  <c r="AL75" i="195"/>
  <c r="AL37" i="195"/>
  <c r="AL97" i="195" s="1"/>
  <c r="AL23" i="195"/>
  <c r="AL87" i="195"/>
  <c r="AL49" i="195"/>
  <c r="AL107" i="195" s="1"/>
  <c r="AL61" i="195"/>
  <c r="AL117" i="195" s="1"/>
  <c r="AN61" i="195"/>
  <c r="AN117" i="195" s="1"/>
  <c r="AN75" i="195"/>
  <c r="AN37" i="195"/>
  <c r="AN97" i="195" s="1"/>
  <c r="AN87" i="195"/>
  <c r="AN49" i="195"/>
  <c r="AN107" i="195" s="1"/>
  <c r="AN23" i="195"/>
  <c r="AO39" i="197"/>
  <c r="AO41" i="197" s="1"/>
  <c r="AO45" i="197" s="1"/>
  <c r="AO53" i="197" s="1"/>
  <c r="AO54" i="197" s="1"/>
  <c r="AO25" i="161"/>
  <c r="AJ68" i="197"/>
  <c r="AJ74" i="197" s="1"/>
  <c r="AQ39" i="197"/>
  <c r="AQ41" i="197" s="1"/>
  <c r="AQ45" i="197" s="1"/>
  <c r="AQ53" i="197" s="1"/>
  <c r="AQ54" i="197" s="1"/>
  <c r="AQ25" i="161"/>
  <c r="AM25" i="161"/>
  <c r="AM39" i="197"/>
  <c r="AM41" i="197" s="1"/>
  <c r="AM45" i="197" s="1"/>
  <c r="AM53" i="197" s="1"/>
  <c r="AM54" i="197" s="1"/>
  <c r="AN39" i="197"/>
  <c r="AN41" i="197" s="1"/>
  <c r="AN45" i="197" s="1"/>
  <c r="AN53" i="197" s="1"/>
  <c r="AN54" i="197" s="1"/>
  <c r="AN25" i="161"/>
  <c r="AO23" i="195"/>
  <c r="AO49" i="195"/>
  <c r="AO107" i="195" s="1"/>
  <c r="AO87" i="195"/>
  <c r="AO61" i="195"/>
  <c r="AO117" i="195" s="1"/>
  <c r="AO75" i="195"/>
  <c r="AO37" i="195"/>
  <c r="AO97" i="195" s="1"/>
  <c r="AK25" i="161"/>
  <c r="AK39" i="197"/>
  <c r="AK41" i="197" s="1"/>
  <c r="AK45" i="197" s="1"/>
  <c r="AK53" i="197" s="1"/>
  <c r="AK54" i="197" s="1"/>
  <c r="AJ127" i="195"/>
  <c r="O40" i="23" l="1"/>
  <c r="N40" i="23"/>
  <c r="AK118" i="195"/>
  <c r="AJ67" i="197"/>
  <c r="AJ72" i="197" s="1"/>
  <c r="F25" i="23" s="1"/>
  <c r="AK98" i="195"/>
  <c r="AK99" i="195" s="1"/>
  <c r="AK125" i="195" s="1"/>
  <c r="AK108" i="195"/>
  <c r="AK109" i="195" s="1"/>
  <c r="AK124" i="195" s="1"/>
  <c r="AN65" i="197"/>
  <c r="J26" i="23"/>
  <c r="AM65" i="197"/>
  <c r="I26" i="23"/>
  <c r="AN167" i="161"/>
  <c r="AN213" i="161" s="1"/>
  <c r="AK65" i="197"/>
  <c r="G26" i="23"/>
  <c r="AL167" i="161"/>
  <c r="AL213" i="161" s="1"/>
  <c r="AQ167" i="161"/>
  <c r="AQ213" i="161" s="1"/>
  <c r="L26" i="23"/>
  <c r="AP65" i="197"/>
  <c r="AP167" i="161"/>
  <c r="AP213" i="161" s="1"/>
  <c r="AJ168" i="161"/>
  <c r="AO167" i="161"/>
  <c r="AO213" i="161" s="1"/>
  <c r="M26" i="23"/>
  <c r="AQ65" i="197"/>
  <c r="F24" i="23"/>
  <c r="AJ15" i="283"/>
  <c r="AJ18" i="283" s="1"/>
  <c r="AO65" i="197"/>
  <c r="K26" i="23"/>
  <c r="H26" i="23"/>
  <c r="AL65" i="197"/>
  <c r="AK167" i="161"/>
  <c r="AK213" i="161" s="1"/>
  <c r="AM167" i="161"/>
  <c r="AM213" i="161" s="1"/>
  <c r="AP119" i="195"/>
  <c r="AP126" i="195" s="1"/>
  <c r="AM119" i="195"/>
  <c r="AM126" i="195" s="1"/>
  <c r="AO119" i="195"/>
  <c r="AO126" i="195" s="1"/>
  <c r="AL119" i="195"/>
  <c r="AL126" i="195" s="1"/>
  <c r="AK119" i="195"/>
  <c r="AK126" i="195" s="1"/>
  <c r="AN119" i="195"/>
  <c r="AN126" i="195" s="1"/>
  <c r="AQ119" i="195"/>
  <c r="AQ126" i="195" s="1"/>
  <c r="AJ13" i="9" l="1"/>
  <c r="F44" i="23" s="1"/>
  <c r="AK110" i="195"/>
  <c r="AL106" i="195" s="1"/>
  <c r="AL108" i="195" s="1"/>
  <c r="AL109" i="195" s="1"/>
  <c r="AL124" i="195" s="1"/>
  <c r="AK100" i="195"/>
  <c r="AL96" i="195" s="1"/>
  <c r="AL98" i="195" s="1"/>
  <c r="AL99" i="195" s="1"/>
  <c r="AL125" i="195" s="1"/>
  <c r="I113" i="283"/>
  <c r="AJ59" i="15"/>
  <c r="AJ214" i="161"/>
  <c r="N26" i="23"/>
  <c r="O26" i="23"/>
  <c r="AN68" i="197"/>
  <c r="AN74" i="197" s="1"/>
  <c r="AK127" i="195"/>
  <c r="AL68" i="197"/>
  <c r="AL74" i="197" s="1"/>
  <c r="AQ68" i="197"/>
  <c r="AQ74" i="197" s="1"/>
  <c r="AP68" i="197"/>
  <c r="AP74" i="197" s="1"/>
  <c r="AM68" i="197"/>
  <c r="AM74" i="197" s="1"/>
  <c r="AK120" i="195"/>
  <c r="AL116" i="195" s="1"/>
  <c r="AL118" i="195" s="1"/>
  <c r="AL120" i="195" s="1"/>
  <c r="AM116" i="195" s="1"/>
  <c r="AM118" i="195" s="1"/>
  <c r="AM120" i="195" s="1"/>
  <c r="AN116" i="195" s="1"/>
  <c r="AN118" i="195" s="1"/>
  <c r="AN120" i="195" s="1"/>
  <c r="AO116" i="195" s="1"/>
  <c r="AO118" i="195" s="1"/>
  <c r="AO120" i="195" s="1"/>
  <c r="AP116" i="195" s="1"/>
  <c r="AP118" i="195" s="1"/>
  <c r="AP120" i="195" s="1"/>
  <c r="AQ116" i="195" s="1"/>
  <c r="AQ118" i="195" s="1"/>
  <c r="AQ120" i="195" s="1"/>
  <c r="AO68" i="197"/>
  <c r="AO74" i="197" s="1"/>
  <c r="AK68" i="197"/>
  <c r="AK74" i="197" s="1"/>
  <c r="AN67" i="197" l="1"/>
  <c r="AN72" i="197" s="1"/>
  <c r="AN13" i="9" s="1"/>
  <c r="AL100" i="195"/>
  <c r="AM96" i="195" s="1"/>
  <c r="AM98" i="195" s="1"/>
  <c r="AM99" i="195" s="1"/>
  <c r="AM67" i="197"/>
  <c r="AM72" i="197" s="1"/>
  <c r="AM13" i="9" s="1"/>
  <c r="AQ67" i="197"/>
  <c r="AQ72" i="197" s="1"/>
  <c r="AP67" i="197"/>
  <c r="AP72" i="197" s="1"/>
  <c r="L25" i="23" s="1"/>
  <c r="AL67" i="197"/>
  <c r="AL72" i="197" s="1"/>
  <c r="H25" i="23" s="1"/>
  <c r="G24" i="23"/>
  <c r="AK15" i="283"/>
  <c r="AK18" i="283" s="1"/>
  <c r="L24" i="23"/>
  <c r="AP15" i="283"/>
  <c r="AP18" i="283" s="1"/>
  <c r="H24" i="23"/>
  <c r="AL15" i="283"/>
  <c r="AL18" i="283" s="1"/>
  <c r="AN15" i="283"/>
  <c r="AN18" i="283" s="1"/>
  <c r="J24" i="23"/>
  <c r="AJ45" i="15"/>
  <c r="K24" i="23"/>
  <c r="AO15" i="283"/>
  <c r="AO18" i="283" s="1"/>
  <c r="F35" i="23"/>
  <c r="AK168" i="161"/>
  <c r="AK67" i="197"/>
  <c r="AK72" i="197" s="1"/>
  <c r="AL127" i="195"/>
  <c r="I24" i="23"/>
  <c r="AM15" i="283"/>
  <c r="AM18" i="283" s="1"/>
  <c r="AQ15" i="283"/>
  <c r="AQ18" i="283" s="1"/>
  <c r="M24" i="23"/>
  <c r="AO67" i="197"/>
  <c r="AO72" i="197" s="1"/>
  <c r="AL110" i="195"/>
  <c r="AM106" i="195" s="1"/>
  <c r="AM108" i="195" s="1"/>
  <c r="AK113" i="283"/>
  <c r="AL113" i="283" s="1"/>
  <c r="AM113" i="283" s="1"/>
  <c r="AN113" i="283" s="1"/>
  <c r="AO113" i="283" s="1"/>
  <c r="I202" i="283"/>
  <c r="I250" i="283" s="1"/>
  <c r="I68" i="283"/>
  <c r="J25" i="23" l="1"/>
  <c r="M25" i="23"/>
  <c r="AP13" i="9"/>
  <c r="AQ13" i="9"/>
  <c r="I25" i="23"/>
  <c r="AM125" i="195"/>
  <c r="AM100" i="195"/>
  <c r="AN96" i="195" s="1"/>
  <c r="AN98" i="195" s="1"/>
  <c r="AN99" i="195" s="1"/>
  <c r="AN125" i="195" s="1"/>
  <c r="AL13" i="9"/>
  <c r="H44" i="23" s="1"/>
  <c r="H35" i="23" s="1"/>
  <c r="AM109" i="195"/>
  <c r="AM124" i="195" s="1"/>
  <c r="AK214" i="161"/>
  <c r="AK68" i="283"/>
  <c r="AL68" i="283" s="1"/>
  <c r="AM68" i="283" s="1"/>
  <c r="AN68" i="283" s="1"/>
  <c r="AQ59" i="15"/>
  <c r="AQ45" i="15" s="1"/>
  <c r="I120" i="283"/>
  <c r="AK13" i="9"/>
  <c r="G25" i="23"/>
  <c r="AO59" i="15"/>
  <c r="AO45" i="15" s="1"/>
  <c r="I118" i="283"/>
  <c r="O24" i="23"/>
  <c r="N24" i="23"/>
  <c r="AM59" i="15"/>
  <c r="AM45" i="15" s="1"/>
  <c r="I116" i="283"/>
  <c r="AL168" i="161"/>
  <c r="J44" i="23"/>
  <c r="J35" i="23" s="1"/>
  <c r="F31" i="23"/>
  <c r="AN59" i="15"/>
  <c r="AN45" i="15" s="1"/>
  <c r="I117" i="283"/>
  <c r="AP113" i="283"/>
  <c r="AQ113" i="283" s="1"/>
  <c r="AR113" i="283" s="1"/>
  <c r="AO13" i="9"/>
  <c r="K25" i="23"/>
  <c r="AL59" i="15"/>
  <c r="AL45" i="15" s="1"/>
  <c r="I115" i="283"/>
  <c r="AP59" i="15"/>
  <c r="AP45" i="15" s="1"/>
  <c r="I119" i="283"/>
  <c r="I44" i="23"/>
  <c r="I35" i="23" s="1"/>
  <c r="AK59" i="15"/>
  <c r="AK45" i="15" s="1"/>
  <c r="I114" i="283"/>
  <c r="L44" i="23" l="1"/>
  <c r="L35" i="23" s="1"/>
  <c r="M44" i="23"/>
  <c r="M35" i="23" s="1"/>
  <c r="AM127" i="195"/>
  <c r="AM168" i="161" s="1"/>
  <c r="AM110" i="195"/>
  <c r="AN106" i="195" s="1"/>
  <c r="AN108" i="195" s="1"/>
  <c r="I70" i="283"/>
  <c r="AM115" i="283"/>
  <c r="AN115" i="283" s="1"/>
  <c r="AO115" i="283" s="1"/>
  <c r="I204" i="283"/>
  <c r="I252" i="283" s="1"/>
  <c r="J31" i="23"/>
  <c r="O25" i="23"/>
  <c r="N25" i="23"/>
  <c r="I209" i="283"/>
  <c r="I257" i="283" s="1"/>
  <c r="K257" i="283" s="1"/>
  <c r="I75" i="283"/>
  <c r="K44" i="23"/>
  <c r="K35" i="23" s="1"/>
  <c r="I72" i="283"/>
  <c r="I206" i="283"/>
  <c r="I254" i="283" s="1"/>
  <c r="AO117" i="283"/>
  <c r="AP117" i="283" s="1"/>
  <c r="AQ117" i="283" s="1"/>
  <c r="AR117" i="283" s="1"/>
  <c r="K31" i="23"/>
  <c r="L31" i="23"/>
  <c r="G31" i="23"/>
  <c r="I208" i="283"/>
  <c r="I256" i="283" s="1"/>
  <c r="I74" i="283"/>
  <c r="AQ119" i="283"/>
  <c r="AR119" i="283" s="1"/>
  <c r="AL214" i="161"/>
  <c r="I31" i="23"/>
  <c r="AP118" i="283"/>
  <c r="AQ118" i="283" s="1"/>
  <c r="AR118" i="283" s="1"/>
  <c r="I73" i="283"/>
  <c r="I207" i="283"/>
  <c r="I255" i="283" s="1"/>
  <c r="AN100" i="195"/>
  <c r="AO96" i="195" s="1"/>
  <c r="AO98" i="195" s="1"/>
  <c r="AO68" i="283"/>
  <c r="AP68" i="283" s="1"/>
  <c r="AQ68" i="283" s="1"/>
  <c r="I164" i="283" s="1"/>
  <c r="AL114" i="283"/>
  <c r="AM114" i="283" s="1"/>
  <c r="AN114" i="283" s="1"/>
  <c r="AO114" i="283" s="1"/>
  <c r="AP114" i="283" s="1"/>
  <c r="I203" i="283"/>
  <c r="I251" i="283" s="1"/>
  <c r="I69" i="283"/>
  <c r="H31" i="23"/>
  <c r="I205" i="283"/>
  <c r="I253" i="283" s="1"/>
  <c r="AN116" i="283"/>
  <c r="AO116" i="283" s="1"/>
  <c r="AP116" i="283" s="1"/>
  <c r="AQ116" i="283" s="1"/>
  <c r="AR116" i="283" s="1"/>
  <c r="I71" i="283"/>
  <c r="G44" i="23"/>
  <c r="M31" i="23"/>
  <c r="AQ114" i="283" l="1"/>
  <c r="AR114" i="283" s="1"/>
  <c r="O31" i="23"/>
  <c r="AP115" i="283"/>
  <c r="AQ115" i="283" s="1"/>
  <c r="AR115" i="283" s="1"/>
  <c r="AN109" i="195"/>
  <c r="AN124" i="195" s="1"/>
  <c r="AN127" i="195" s="1"/>
  <c r="N31" i="23"/>
  <c r="AO164" i="283"/>
  <c r="AO202" i="283" s="1"/>
  <c r="AM164" i="283"/>
  <c r="AM202" i="283" s="1"/>
  <c r="AP164" i="283"/>
  <c r="AP202" i="283" s="1"/>
  <c r="AR164" i="283"/>
  <c r="AL164" i="283"/>
  <c r="AL202" i="283" s="1"/>
  <c r="AQ164" i="283"/>
  <c r="AQ202" i="283" s="1"/>
  <c r="AN164" i="283"/>
  <c r="AN202" i="283" s="1"/>
  <c r="AK164" i="283"/>
  <c r="AK202" i="283" s="1"/>
  <c r="AM70" i="283"/>
  <c r="AN70" i="283" s="1"/>
  <c r="AO70" i="283" s="1"/>
  <c r="AL69" i="283"/>
  <c r="AP73" i="283"/>
  <c r="AN71" i="283"/>
  <c r="G35" i="23"/>
  <c r="O44" i="23"/>
  <c r="N44" i="23"/>
  <c r="AQ74" i="283"/>
  <c r="I170" i="283" s="1"/>
  <c r="AO72" i="283"/>
  <c r="AO99" i="195"/>
  <c r="AO125" i="195" s="1"/>
  <c r="AM214" i="161"/>
  <c r="AR68" i="283"/>
  <c r="AN168" i="161" l="1"/>
  <c r="AN214" i="161" s="1"/>
  <c r="AR202" i="283"/>
  <c r="AN110" i="195"/>
  <c r="AO106" i="195" s="1"/>
  <c r="AO108" i="195" s="1"/>
  <c r="AO109" i="195" s="1"/>
  <c r="AO124" i="195" s="1"/>
  <c r="AO127" i="195" s="1"/>
  <c r="AO100" i="195"/>
  <c r="AP96" i="195" s="1"/>
  <c r="AP98" i="195" s="1"/>
  <c r="AP99" i="195" s="1"/>
  <c r="AP125" i="195" s="1"/>
  <c r="AP70" i="283"/>
  <c r="AQ70" i="283" s="1"/>
  <c r="I166" i="283" s="1"/>
  <c r="AO71" i="283"/>
  <c r="AP71" i="283" s="1"/>
  <c r="AQ71" i="283" s="1"/>
  <c r="AR170" i="283"/>
  <c r="AQ170" i="283"/>
  <c r="AQ208" i="283" s="1"/>
  <c r="G256" i="283" s="1"/>
  <c r="K256" i="283" s="1"/>
  <c r="AM69" i="283"/>
  <c r="AN69" i="283" s="1"/>
  <c r="AO69" i="283" s="1"/>
  <c r="N35" i="23"/>
  <c r="O35" i="23"/>
  <c r="G250" i="283"/>
  <c r="K250" i="283" s="1"/>
  <c r="AP72" i="283"/>
  <c r="AQ72" i="283" s="1"/>
  <c r="AR72" i="283" s="1"/>
  <c r="AR74" i="283"/>
  <c r="AQ73" i="283"/>
  <c r="AR73" i="283" s="1"/>
  <c r="AR208" i="283" l="1"/>
  <c r="AO110" i="195"/>
  <c r="AP106" i="195" s="1"/>
  <c r="AP108" i="195" s="1"/>
  <c r="AP109" i="195" s="1"/>
  <c r="AP124" i="195" s="1"/>
  <c r="AP127" i="195" s="1"/>
  <c r="I167" i="283"/>
  <c r="AN167" i="283" s="1"/>
  <c r="AN205" i="283" s="1"/>
  <c r="AP69" i="283"/>
  <c r="AP166" i="283"/>
  <c r="AP204" i="283" s="1"/>
  <c r="AN166" i="283"/>
  <c r="AN204" i="283" s="1"/>
  <c r="AR166" i="283"/>
  <c r="AQ166" i="283"/>
  <c r="AQ204" i="283" s="1"/>
  <c r="AM166" i="283"/>
  <c r="AM204" i="283" s="1"/>
  <c r="AO166" i="283"/>
  <c r="AO204" i="283" s="1"/>
  <c r="I169" i="283"/>
  <c r="I168" i="283"/>
  <c r="AR71" i="283"/>
  <c r="AO168" i="161"/>
  <c r="AR70" i="283"/>
  <c r="AP100" i="195"/>
  <c r="AQ96" i="195" s="1"/>
  <c r="AQ98" i="195" s="1"/>
  <c r="AR204" i="283" l="1"/>
  <c r="AO167" i="283"/>
  <c r="AO205" i="283" s="1"/>
  <c r="AP167" i="283"/>
  <c r="AP205" i="283" s="1"/>
  <c r="AR167" i="283"/>
  <c r="AR205" i="283" s="1"/>
  <c r="AQ167" i="283"/>
  <c r="AQ205" i="283" s="1"/>
  <c r="AQ69" i="283"/>
  <c r="I165" i="283" s="1"/>
  <c r="AR165" i="283" s="1"/>
  <c r="AQ99" i="195"/>
  <c r="AQ125" i="195" s="1"/>
  <c r="AO214" i="161"/>
  <c r="AP110" i="195"/>
  <c r="AQ106" i="195" s="1"/>
  <c r="AQ108" i="195" s="1"/>
  <c r="AP168" i="161"/>
  <c r="AR169" i="283"/>
  <c r="AR207" i="283" s="1"/>
  <c r="AQ169" i="283"/>
  <c r="AQ207" i="283" s="1"/>
  <c r="AP169" i="283"/>
  <c r="AP207" i="283" s="1"/>
  <c r="AO168" i="283"/>
  <c r="AO206" i="283" s="1"/>
  <c r="AQ168" i="283"/>
  <c r="AQ206" i="283" s="1"/>
  <c r="AP168" i="283"/>
  <c r="AP206" i="283" s="1"/>
  <c r="AR168" i="283"/>
  <c r="AR206" i="283" s="1"/>
  <c r="G252" i="283"/>
  <c r="K252" i="283" s="1"/>
  <c r="AR69" i="283" l="1"/>
  <c r="AR203" i="283" s="1"/>
  <c r="G255" i="283"/>
  <c r="K255" i="283" s="1"/>
  <c r="G253" i="283"/>
  <c r="K253" i="283" s="1"/>
  <c r="AN165" i="283"/>
  <c r="AN203" i="283" s="1"/>
  <c r="AP165" i="283"/>
  <c r="AP203" i="283" s="1"/>
  <c r="AQ165" i="283"/>
  <c r="AQ203" i="283" s="1"/>
  <c r="AO165" i="283"/>
  <c r="AO203" i="283" s="1"/>
  <c r="AM165" i="283"/>
  <c r="AM203" i="283" s="1"/>
  <c r="AL165" i="283"/>
  <c r="AL203" i="283" s="1"/>
  <c r="G254" i="283"/>
  <c r="K254" i="283" s="1"/>
  <c r="AQ109" i="195"/>
  <c r="AQ124" i="195" s="1"/>
  <c r="AQ127" i="195" s="1"/>
  <c r="AP214" i="161"/>
  <c r="AQ100" i="195"/>
  <c r="G251" i="283" l="1"/>
  <c r="K251" i="283" s="1"/>
  <c r="AQ110" i="195"/>
  <c r="AQ168" i="161"/>
  <c r="AQ214" i="161" l="1"/>
  <c r="AJ35" i="189" l="1"/>
  <c r="AJ271" i="281"/>
  <c r="AJ272" i="281" s="1"/>
  <c r="AK271" i="281"/>
  <c r="AK272" i="281" s="1"/>
  <c r="AL271" i="281"/>
  <c r="AL272" i="281" s="1"/>
  <c r="AM271" i="281"/>
  <c r="AM272" i="281" s="1"/>
  <c r="AN271" i="281"/>
  <c r="AN272" i="281" s="1"/>
  <c r="AO271" i="281"/>
  <c r="AO272" i="281" s="1"/>
  <c r="AP271" i="281"/>
  <c r="AP272" i="281" s="1"/>
  <c r="AQ271" i="281"/>
  <c r="AQ272" i="281" s="1"/>
  <c r="AJ271" i="189" l="1"/>
  <c r="AJ272" i="189" s="1"/>
  <c r="AK271" i="189"/>
  <c r="AK272" i="189" s="1"/>
  <c r="AK24" i="194" s="1"/>
  <c r="AQ271" i="189"/>
  <c r="AQ272" i="189" s="1"/>
  <c r="AQ24" i="194" s="1"/>
  <c r="AL271" i="189"/>
  <c r="AL272" i="189" s="1"/>
  <c r="AL24" i="194" s="1"/>
  <c r="AP271" i="189"/>
  <c r="AP272" i="189" s="1"/>
  <c r="AP24" i="194" s="1"/>
  <c r="AO271" i="189"/>
  <c r="AO272" i="189" s="1"/>
  <c r="AO24" i="194" s="1"/>
  <c r="AN271" i="189"/>
  <c r="AN272" i="189" s="1"/>
  <c r="AN24" i="194" s="1"/>
  <c r="AM271" i="189"/>
  <c r="AM272" i="189" s="1"/>
  <c r="AM24" i="194" s="1"/>
  <c r="AP207" i="161" l="1"/>
  <c r="AP26" i="194"/>
  <c r="AJ24" i="194"/>
  <c r="AO26" i="194"/>
  <c r="AO207" i="161"/>
  <c r="AK26" i="194"/>
  <c r="AK207" i="161"/>
  <c r="AN26" i="194"/>
  <c r="AN207" i="161"/>
  <c r="AQ26" i="194"/>
  <c r="AQ207" i="161"/>
  <c r="AM26" i="194"/>
  <c r="AM207" i="161"/>
  <c r="AL26" i="194"/>
  <c r="AL207" i="161"/>
  <c r="AN64" i="194" l="1"/>
  <c r="AN58" i="194"/>
  <c r="AL64" i="194"/>
  <c r="AL58" i="194"/>
  <c r="AK58" i="194"/>
  <c r="AK64" i="194"/>
  <c r="AM58" i="194"/>
  <c r="AM64" i="194"/>
  <c r="AQ58" i="194"/>
  <c r="AQ64" i="194"/>
  <c r="AJ207" i="161"/>
  <c r="AJ26" i="194"/>
  <c r="AJ58" i="194" s="1"/>
  <c r="AP58" i="194"/>
  <c r="AP64" i="194"/>
  <c r="AO58" i="194"/>
  <c r="AO64" i="194"/>
  <c r="AQ19" i="9" l="1"/>
  <c r="M50" i="23" s="1"/>
  <c r="M41" i="23" s="1"/>
  <c r="AN19" i="9"/>
  <c r="J50" i="23" s="1"/>
  <c r="J41" i="23" s="1"/>
  <c r="AK19" i="9"/>
  <c r="G50" i="23" s="1"/>
  <c r="G41" i="23" s="1"/>
  <c r="AL19" i="9"/>
  <c r="H50" i="23" s="1"/>
  <c r="H41" i="23" s="1"/>
  <c r="AO19" i="9"/>
  <c r="K50" i="23" s="1"/>
  <c r="K41" i="23" s="1"/>
  <c r="AP19" i="9"/>
  <c r="L50" i="23" s="1"/>
  <c r="L41" i="23" s="1"/>
  <c r="AM19" i="9"/>
  <c r="I50" i="23" s="1"/>
  <c r="I41" i="23" s="1"/>
  <c r="AO163" i="161"/>
  <c r="AQ163" i="161"/>
  <c r="AL163" i="161"/>
  <c r="AK163" i="161"/>
  <c r="AP163" i="161"/>
  <c r="AJ64" i="194"/>
  <c r="AM163" i="161"/>
  <c r="AN163" i="161"/>
  <c r="AJ19" i="9" l="1"/>
  <c r="AP205" i="161"/>
  <c r="AN205" i="161"/>
  <c r="AJ163" i="161"/>
  <c r="AO205" i="161"/>
  <c r="AM205" i="161"/>
  <c r="AK205" i="161"/>
  <c r="AL205" i="161"/>
  <c r="AQ205" i="161"/>
  <c r="F50" i="23" l="1"/>
  <c r="AJ205" i="161"/>
  <c r="F41" i="23" l="1"/>
  <c r="N50" i="23"/>
  <c r="O50" i="23"/>
  <c r="N41" i="23" l="1"/>
  <c r="O41" i="23"/>
  <c r="AI363" i="189" l="1"/>
  <c r="AI17" i="283" s="1"/>
  <c r="AI18" i="283" s="1"/>
  <c r="I112" i="283" s="1"/>
  <c r="AJ112" i="283" l="1"/>
  <c r="AK112" i="283" s="1"/>
  <c r="I67" i="283"/>
  <c r="I201" i="283"/>
  <c r="I249" i="283" s="1"/>
  <c r="AL112" i="283" l="1"/>
  <c r="AJ67" i="283"/>
  <c r="AM112" i="283" l="1"/>
  <c r="AK67" i="283"/>
  <c r="AL67" i="283" s="1"/>
  <c r="AM67" i="283" s="1"/>
  <c r="AN67" i="283" s="1"/>
  <c r="AO67" i="283" l="1"/>
  <c r="AP67" i="283" s="1"/>
  <c r="AQ67" i="283" s="1"/>
  <c r="AN112" i="283"/>
  <c r="AR67" i="283" l="1"/>
  <c r="AO112" i="283"/>
  <c r="AP112" i="283" s="1"/>
  <c r="AQ112" i="283" s="1"/>
  <c r="AR112" i="283" s="1"/>
  <c r="I163" i="283" l="1"/>
  <c r="AP163" i="283" l="1"/>
  <c r="AP201" i="283" s="1"/>
  <c r="AQ163" i="283"/>
  <c r="AQ201" i="283" s="1"/>
  <c r="AL163" i="283"/>
  <c r="AL201" i="283" s="1"/>
  <c r="AO163" i="283"/>
  <c r="AO201" i="283" s="1"/>
  <c r="AN163" i="283"/>
  <c r="AN201" i="283" s="1"/>
  <c r="AM163" i="283"/>
  <c r="AM201" i="283" s="1"/>
  <c r="AJ163" i="283"/>
  <c r="AJ201" i="283" s="1"/>
  <c r="AR163" i="283"/>
  <c r="AR201" i="283" s="1"/>
  <c r="AK163" i="283"/>
  <c r="AK201" i="283" s="1"/>
  <c r="G249" i="283" l="1"/>
  <c r="K249" i="283" s="1"/>
  <c r="AQ298" i="189" l="1"/>
  <c r="AP298" i="189"/>
  <c r="AO298" i="189"/>
  <c r="AN298" i="189"/>
  <c r="AM298" i="189"/>
  <c r="AL298" i="189"/>
  <c r="AK298" i="189"/>
  <c r="AJ298" i="189"/>
  <c r="AQ294" i="189"/>
  <c r="AP294" i="189"/>
  <c r="AO294" i="189"/>
  <c r="AN294" i="189"/>
  <c r="AM294" i="189"/>
  <c r="AL294" i="189"/>
  <c r="AK294" i="189"/>
  <c r="AJ294" i="189"/>
  <c r="AO297" i="189" l="1"/>
  <c r="AJ293" i="189"/>
  <c r="AQ297" i="189"/>
  <c r="AL293" i="189"/>
  <c r="AK297" i="189"/>
  <c r="AN293" i="189"/>
  <c r="AM297" i="189"/>
  <c r="AP293" i="189"/>
  <c r="AJ297" i="189"/>
  <c r="AM293" i="189"/>
  <c r="AL297" i="189"/>
  <c r="AO293" i="189"/>
  <c r="AN297" i="189"/>
  <c r="AQ293" i="189"/>
  <c r="AP297" i="189"/>
  <c r="AK293" i="189"/>
  <c r="AK295" i="189" l="1"/>
  <c r="AP299" i="189"/>
  <c r="AM299" i="189"/>
  <c r="AJ295" i="189"/>
  <c r="AQ295" i="189"/>
  <c r="AL299" i="189"/>
  <c r="AM295" i="189"/>
  <c r="AN295" i="189"/>
  <c r="AQ299" i="189"/>
  <c r="AN299" i="189"/>
  <c r="AJ299" i="189"/>
  <c r="AL295" i="189"/>
  <c r="AO299" i="189"/>
  <c r="AO295" i="189"/>
  <c r="AP295" i="189"/>
  <c r="AK299" i="189"/>
  <c r="AP345" i="189" l="1"/>
  <c r="AO345" i="189"/>
  <c r="AL345" i="189"/>
  <c r="AN345" i="189"/>
  <c r="AK345" i="189"/>
  <c r="AQ345" i="189"/>
  <c r="AM345" i="189"/>
  <c r="AJ345" i="189"/>
  <c r="AJ47" i="194" l="1"/>
  <c r="F56" i="23"/>
  <c r="AQ47" i="194"/>
  <c r="M56" i="23"/>
  <c r="AK47" i="194"/>
  <c r="G56" i="23"/>
  <c r="AM47" i="194"/>
  <c r="I56" i="23"/>
  <c r="AL47" i="194"/>
  <c r="H56" i="23"/>
  <c r="J56" i="23"/>
  <c r="AN47" i="194"/>
  <c r="AO47" i="194"/>
  <c r="K56" i="23"/>
  <c r="L56" i="23"/>
  <c r="AP47" i="194"/>
  <c r="AK62" i="194" l="1"/>
  <c r="AK210" i="161"/>
  <c r="AK60" i="194"/>
  <c r="AJ210" i="161"/>
  <c r="AJ62" i="194"/>
  <c r="AJ60" i="194"/>
  <c r="AP62" i="194"/>
  <c r="AP60" i="194"/>
  <c r="AP210" i="161"/>
  <c r="AL60" i="194"/>
  <c r="AL210" i="161"/>
  <c r="AL62" i="194"/>
  <c r="AQ62" i="194"/>
  <c r="AQ60" i="194"/>
  <c r="AQ210" i="161"/>
  <c r="N56" i="23"/>
  <c r="O56" i="23"/>
  <c r="AO210" i="161"/>
  <c r="AO62" i="194"/>
  <c r="AO60" i="194"/>
  <c r="AN60" i="194"/>
  <c r="AN62" i="194"/>
  <c r="AN210" i="161"/>
  <c r="AM210" i="161"/>
  <c r="AM60" i="194"/>
  <c r="AM62" i="194"/>
  <c r="AN70" i="9" l="1"/>
  <c r="AM24" i="161"/>
  <c r="AM70" i="9"/>
  <c r="AO24" i="161"/>
  <c r="AQ24" i="161"/>
  <c r="AJ24" i="161"/>
  <c r="AP24" i="161"/>
  <c r="AO70" i="9"/>
  <c r="AQ70" i="9"/>
  <c r="AJ70" i="9"/>
  <c r="AK70" i="9"/>
  <c r="AN24" i="161"/>
  <c r="AL24" i="161"/>
  <c r="AL70" i="9"/>
  <c r="AP70" i="9"/>
  <c r="AK24" i="161"/>
  <c r="AE363" i="189" l="1"/>
  <c r="AG363" i="189" l="1"/>
  <c r="AG17" i="283" s="1"/>
  <c r="AG18" i="283" s="1"/>
  <c r="I110" i="283" s="1"/>
  <c r="AF363" i="189"/>
  <c r="AF17" i="283" s="1"/>
  <c r="AF18" i="283" s="1"/>
  <c r="I109" i="283" s="1"/>
  <c r="AE17" i="283"/>
  <c r="AE18" i="283" l="1"/>
  <c r="I199" i="283"/>
  <c r="I247" i="283" s="1"/>
  <c r="I65" i="283"/>
  <c r="AH110" i="283"/>
  <c r="AI110" i="283" s="1"/>
  <c r="AJ110" i="283" s="1"/>
  <c r="AK110" i="283" s="1"/>
  <c r="AG109" i="283"/>
  <c r="AH109" i="283" s="1"/>
  <c r="I198" i="283"/>
  <c r="I246" i="283" s="1"/>
  <c r="I64" i="283"/>
  <c r="AL110" i="283" l="1"/>
  <c r="AM110" i="283" s="1"/>
  <c r="AN110" i="283" s="1"/>
  <c r="AO110" i="283" s="1"/>
  <c r="AP110" i="283" s="1"/>
  <c r="AI109" i="283"/>
  <c r="I108" i="283"/>
  <c r="AI216" i="283"/>
  <c r="AJ219" i="283" s="1"/>
  <c r="AJ56" i="15" s="1"/>
  <c r="AG64" i="283"/>
  <c r="AH65" i="283"/>
  <c r="AI65" i="283" s="1"/>
  <c r="AJ65" i="283" s="1"/>
  <c r="AK65" i="283" s="1"/>
  <c r="AQ110" i="283" l="1"/>
  <c r="AR110" i="283" s="1"/>
  <c r="AH64" i="283"/>
  <c r="AF108" i="283"/>
  <c r="AG108" i="283" s="1"/>
  <c r="AH108" i="283" s="1"/>
  <c r="I197" i="283"/>
  <c r="I245" i="283" s="1"/>
  <c r="I63" i="283"/>
  <c r="AJ109" i="283"/>
  <c r="AK109" i="283" s="1"/>
  <c r="AJ58" i="15"/>
  <c r="AJ60" i="15" s="1"/>
  <c r="AL65" i="283"/>
  <c r="AK56" i="15" l="1"/>
  <c r="AK58" i="15" s="1"/>
  <c r="AK60" i="15" s="1"/>
  <c r="AF63" i="283"/>
  <c r="AG63" i="283" s="1"/>
  <c r="AH63" i="283" s="1"/>
  <c r="AI64" i="283"/>
  <c r="AJ64" i="283" s="1"/>
  <c r="AL109" i="283"/>
  <c r="AM109" i="283" s="1"/>
  <c r="AN109" i="283" s="1"/>
  <c r="AO109" i="283" s="1"/>
  <c r="AM65" i="283"/>
  <c r="AI108" i="283"/>
  <c r="AJ108" i="283" s="1"/>
  <c r="AK108" i="283" s="1"/>
  <c r="AK64" i="283" l="1"/>
  <c r="AL64" i="283" s="1"/>
  <c r="AM64" i="283" s="1"/>
  <c r="AP109" i="283"/>
  <c r="AQ109" i="283" s="1"/>
  <c r="AL108" i="283"/>
  <c r="AL56" i="15"/>
  <c r="AL58" i="15" s="1"/>
  <c r="AL60" i="15" s="1"/>
  <c r="AI63" i="283"/>
  <c r="AN65" i="283"/>
  <c r="AO65" i="283" s="1"/>
  <c r="AP65" i="283" l="1"/>
  <c r="AQ65" i="283" s="1"/>
  <c r="AM108" i="283"/>
  <c r="AN108" i="283" s="1"/>
  <c r="AO108" i="283" s="1"/>
  <c r="AJ63" i="283"/>
  <c r="AK63" i="283" s="1"/>
  <c r="AN64" i="283"/>
  <c r="AO64" i="283" s="1"/>
  <c r="AP64" i="283" s="1"/>
  <c r="AQ64" i="283" s="1"/>
  <c r="AM56" i="15"/>
  <c r="AM58" i="15" s="1"/>
  <c r="AM60" i="15" s="1"/>
  <c r="AR109" i="283"/>
  <c r="I161" i="283" l="1"/>
  <c r="AN161" i="283" s="1"/>
  <c r="AN199" i="283" s="1"/>
  <c r="AR65" i="283"/>
  <c r="AP108" i="283"/>
  <c r="AQ108" i="283" s="1"/>
  <c r="AR108" i="283" s="1"/>
  <c r="AL63" i="283"/>
  <c r="AM63" i="283" s="1"/>
  <c r="AN63" i="283" s="1"/>
  <c r="AR64" i="283"/>
  <c r="I160" i="283"/>
  <c r="AN56" i="15"/>
  <c r="AN58" i="15" s="1"/>
  <c r="AN60" i="15" s="1"/>
  <c r="AH161" i="283" l="1"/>
  <c r="AH199" i="283" s="1"/>
  <c r="AM161" i="283"/>
  <c r="AM199" i="283" s="1"/>
  <c r="AQ161" i="283"/>
  <c r="AQ199" i="283" s="1"/>
  <c r="AL161" i="283"/>
  <c r="AL199" i="283" s="1"/>
  <c r="AI161" i="283"/>
  <c r="AI199" i="283" s="1"/>
  <c r="AR161" i="283"/>
  <c r="AR199" i="283" s="1"/>
  <c r="AJ161" i="283"/>
  <c r="AJ199" i="283" s="1"/>
  <c r="AO161" i="283"/>
  <c r="AO199" i="283" s="1"/>
  <c r="AP161" i="283"/>
  <c r="AP199" i="283" s="1"/>
  <c r="AK161" i="283"/>
  <c r="AK199" i="283" s="1"/>
  <c r="AO63" i="283"/>
  <c r="AP63" i="283" s="1"/>
  <c r="AQ63" i="283" s="1"/>
  <c r="AO56" i="15"/>
  <c r="AO58" i="15" s="1"/>
  <c r="AO60" i="15" s="1"/>
  <c r="AO160" i="283"/>
  <c r="AO198" i="283" s="1"/>
  <c r="AI160" i="283"/>
  <c r="AI198" i="283" s="1"/>
  <c r="AJ160" i="283"/>
  <c r="AJ198" i="283" s="1"/>
  <c r="AM160" i="283"/>
  <c r="AM198" i="283" s="1"/>
  <c r="AH160" i="283"/>
  <c r="AH198" i="283" s="1"/>
  <c r="AL160" i="283"/>
  <c r="AL198" i="283" s="1"/>
  <c r="AQ160" i="283"/>
  <c r="AQ198" i="283" s="1"/>
  <c r="AR160" i="283"/>
  <c r="AR198" i="283" s="1"/>
  <c r="AN160" i="283"/>
  <c r="AN198" i="283" s="1"/>
  <c r="AK160" i="283"/>
  <c r="AK198" i="283" s="1"/>
  <c r="AG160" i="283"/>
  <c r="AG198" i="283" s="1"/>
  <c r="AP160" i="283"/>
  <c r="AP198" i="283" s="1"/>
  <c r="G247" i="283" l="1"/>
  <c r="K247" i="283" s="1"/>
  <c r="I159" i="283"/>
  <c r="AR63" i="283"/>
  <c r="AP56" i="15"/>
  <c r="AP58" i="15" s="1"/>
  <c r="AP60" i="15" s="1"/>
  <c r="G246" i="283"/>
  <c r="K246" i="283" s="1"/>
  <c r="AR159" i="283" l="1"/>
  <c r="AR197" i="283" s="1"/>
  <c r="AO159" i="283"/>
  <c r="AO197" i="283" s="1"/>
  <c r="AL159" i="283"/>
  <c r="AL197" i="283" s="1"/>
  <c r="AI159" i="283"/>
  <c r="AI197" i="283" s="1"/>
  <c r="AI210" i="283" s="1"/>
  <c r="AF159" i="283"/>
  <c r="AF197" i="283" s="1"/>
  <c r="AF210" i="283" s="1"/>
  <c r="AP159" i="283"/>
  <c r="AP197" i="283" s="1"/>
  <c r="AM159" i="283"/>
  <c r="AM197" i="283" s="1"/>
  <c r="AJ159" i="283"/>
  <c r="AJ197" i="283" s="1"/>
  <c r="AG159" i="283"/>
  <c r="AG197" i="283" s="1"/>
  <c r="AG210" i="283" s="1"/>
  <c r="AQ159" i="283"/>
  <c r="AQ197" i="283" s="1"/>
  <c r="AN159" i="283"/>
  <c r="AN197" i="283" s="1"/>
  <c r="AK159" i="283"/>
  <c r="AK197" i="283" s="1"/>
  <c r="AH159" i="283"/>
  <c r="AH197" i="283" s="1"/>
  <c r="AH210" i="283" s="1"/>
  <c r="AQ56" i="15"/>
  <c r="AQ58" i="15" s="1"/>
  <c r="AQ60" i="15" s="1"/>
  <c r="AI217" i="283" l="1"/>
  <c r="AJ220" i="283" s="1"/>
  <c r="AJ64" i="15" s="1"/>
  <c r="AQ210" i="283"/>
  <c r="AQ67" i="15" s="1"/>
  <c r="AQ46" i="15" s="1"/>
  <c r="AP210" i="283"/>
  <c r="AP67" i="15" s="1"/>
  <c r="AP46" i="15" s="1"/>
  <c r="AO210" i="283"/>
  <c r="AO67" i="15" s="1"/>
  <c r="AO46" i="15" s="1"/>
  <c r="AN210" i="283"/>
  <c r="AN67" i="15" s="1"/>
  <c r="AN46" i="15" s="1"/>
  <c r="AM210" i="283"/>
  <c r="AM67" i="15" s="1"/>
  <c r="AM46" i="15" s="1"/>
  <c r="AL210" i="283"/>
  <c r="AL67" i="15" s="1"/>
  <c r="AL46" i="15" s="1"/>
  <c r="G245" i="283"/>
  <c r="K245" i="283" s="1"/>
  <c r="AK210" i="283"/>
  <c r="AK67" i="15" s="1"/>
  <c r="AK46" i="15" s="1"/>
  <c r="AJ210" i="283"/>
  <c r="AJ67" i="15" s="1"/>
  <c r="AJ46" i="15" s="1"/>
  <c r="AK15" i="9" l="1"/>
  <c r="G32" i="23"/>
  <c r="AJ66" i="15"/>
  <c r="AJ68" i="15" s="1"/>
  <c r="AJ42" i="15"/>
  <c r="G222" i="283"/>
  <c r="H32" i="23"/>
  <c r="AL15" i="9"/>
  <c r="H46" i="23" s="1"/>
  <c r="I32" i="23"/>
  <c r="AM15" i="9"/>
  <c r="I46" i="23" s="1"/>
  <c r="M32" i="23"/>
  <c r="AQ15" i="9"/>
  <c r="M46" i="23" s="1"/>
  <c r="F32" i="23"/>
  <c r="AJ15" i="9"/>
  <c r="AN15" i="9"/>
  <c r="J46" i="23" s="1"/>
  <c r="J32" i="23"/>
  <c r="AO15" i="9"/>
  <c r="K46" i="23" s="1"/>
  <c r="K32" i="23"/>
  <c r="L32" i="23"/>
  <c r="AP15" i="9"/>
  <c r="L46" i="23" s="1"/>
  <c r="F28" i="23" l="1"/>
  <c r="AJ44" i="15"/>
  <c r="K37" i="23"/>
  <c r="J37" i="23"/>
  <c r="O32" i="23"/>
  <c r="N32" i="23"/>
  <c r="M37" i="23"/>
  <c r="I37" i="23"/>
  <c r="H37" i="23"/>
  <c r="L37" i="23"/>
  <c r="F46" i="23"/>
  <c r="AK64" i="15"/>
  <c r="AK66" i="15" s="1"/>
  <c r="AK68" i="15" s="1"/>
  <c r="AJ72" i="15"/>
  <c r="G46" i="23"/>
  <c r="G37" i="23" l="1"/>
  <c r="AL64" i="15"/>
  <c r="AL66" i="15" s="1"/>
  <c r="AL68" i="15" s="1"/>
  <c r="AK72" i="15"/>
  <c r="AJ50" i="161"/>
  <c r="AJ25" i="15"/>
  <c r="F30" i="23"/>
  <c r="AJ47" i="15"/>
  <c r="F37" i="23"/>
  <c r="O46" i="23"/>
  <c r="N46" i="23"/>
  <c r="AJ19" i="15" l="1"/>
  <c r="AK42" i="15"/>
  <c r="AJ151" i="161"/>
  <c r="AJ155" i="161" s="1"/>
  <c r="AJ234" i="161"/>
  <c r="F33" i="23"/>
  <c r="N37" i="23"/>
  <c r="O37" i="23"/>
  <c r="AJ51" i="161"/>
  <c r="AJ22" i="161"/>
  <c r="AM64" i="15"/>
  <c r="AM66" i="15" s="1"/>
  <c r="AM68" i="15" s="1"/>
  <c r="AL72" i="15"/>
  <c r="AJ87" i="161" l="1"/>
  <c r="AJ64" i="161"/>
  <c r="AJ66" i="161" s="1"/>
  <c r="AJ139" i="161" s="1"/>
  <c r="AJ141" i="161" s="1"/>
  <c r="AJ41" i="161"/>
  <c r="AJ86" i="161" s="1"/>
  <c r="AJ105" i="161"/>
  <c r="AJ21" i="15"/>
  <c r="AJ26" i="15" s="1"/>
  <c r="AJ28" i="15" s="1"/>
  <c r="AJ27" i="161"/>
  <c r="AN64" i="15"/>
  <c r="AN66" i="15" s="1"/>
  <c r="AN68" i="15" s="1"/>
  <c r="AM72" i="15"/>
  <c r="F82" i="23"/>
  <c r="G28" i="23"/>
  <c r="AK44" i="15"/>
  <c r="AJ89" i="161" l="1"/>
  <c r="F84" i="23"/>
  <c r="F85" i="23"/>
  <c r="AK50" i="161"/>
  <c r="AK51" i="161" s="1"/>
  <c r="AK47" i="15"/>
  <c r="G30" i="23"/>
  <c r="AK25" i="15"/>
  <c r="AO64" i="15"/>
  <c r="AO66" i="15" s="1"/>
  <c r="AO68" i="15" s="1"/>
  <c r="AN72" i="15"/>
  <c r="F86" i="23"/>
  <c r="AJ32" i="15"/>
  <c r="AJ35" i="15" s="1"/>
  <c r="AJ145" i="161"/>
  <c r="AJ16" i="9" l="1"/>
  <c r="AK151" i="161"/>
  <c r="AK155" i="161" s="1"/>
  <c r="AK19" i="15"/>
  <c r="AL42" i="15"/>
  <c r="AK234" i="161"/>
  <c r="AP64" i="15"/>
  <c r="AP66" i="15" s="1"/>
  <c r="AP68" i="15" s="1"/>
  <c r="AO72" i="15"/>
  <c r="G33" i="23"/>
  <c r="AJ30" i="161"/>
  <c r="AJ17" i="9"/>
  <c r="AK71" i="161"/>
  <c r="AK87" i="161"/>
  <c r="G82" i="23" l="1"/>
  <c r="F48" i="23"/>
  <c r="H28" i="23"/>
  <c r="AL44" i="15"/>
  <c r="AK27" i="161"/>
  <c r="AQ64" i="15"/>
  <c r="AQ66" i="15" s="1"/>
  <c r="AQ68" i="15" s="1"/>
  <c r="AQ72" i="15" s="1"/>
  <c r="AP72" i="15"/>
  <c r="AK21" i="15"/>
  <c r="AK26" i="15" s="1"/>
  <c r="AK28" i="15" s="1"/>
  <c r="F47" i="23"/>
  <c r="AJ20" i="9"/>
  <c r="AJ23" i="161" l="1"/>
  <c r="AJ31" i="161" s="1"/>
  <c r="AJ162" i="161"/>
  <c r="F39" i="23"/>
  <c r="G85" i="23"/>
  <c r="G84" i="23"/>
  <c r="AK32" i="15"/>
  <c r="AK35" i="15" s="1"/>
  <c r="G86" i="23"/>
  <c r="F38" i="23"/>
  <c r="H30" i="23"/>
  <c r="AL25" i="15"/>
  <c r="AL47" i="15"/>
  <c r="AL50" i="161"/>
  <c r="AL51" i="161" s="1"/>
  <c r="AL151" i="161" l="1"/>
  <c r="AL155" i="161" s="1"/>
  <c r="AL19" i="15"/>
  <c r="AL234" i="161"/>
  <c r="AM42" i="15"/>
  <c r="H33" i="23"/>
  <c r="AJ106" i="161"/>
  <c r="AJ108" i="161" s="1"/>
  <c r="AL71" i="161"/>
  <c r="AL87" i="161"/>
  <c r="AK16" i="9"/>
  <c r="AJ204" i="161"/>
  <c r="G47" i="23" l="1"/>
  <c r="AL21" i="15"/>
  <c r="AL26" i="15" s="1"/>
  <c r="AL28" i="15" s="1"/>
  <c r="AJ112" i="161"/>
  <c r="H82" i="23"/>
  <c r="I28" i="23"/>
  <c r="AM44" i="15"/>
  <c r="AL27" i="161"/>
  <c r="AM25" i="15" l="1"/>
  <c r="AM47" i="15"/>
  <c r="AM50" i="161"/>
  <c r="AM51" i="161" s="1"/>
  <c r="I30" i="23"/>
  <c r="G38" i="23"/>
  <c r="H85" i="23"/>
  <c r="H84" i="23"/>
  <c r="AJ115" i="161"/>
  <c r="AL32" i="15"/>
  <c r="AL35" i="15" s="1"/>
  <c r="H86" i="23"/>
  <c r="I33" i="23" l="1"/>
  <c r="AN42" i="15"/>
  <c r="AM151" i="161"/>
  <c r="AM155" i="161" s="1"/>
  <c r="AM19" i="15"/>
  <c r="AM234" i="161"/>
  <c r="AJ128" i="161"/>
  <c r="AL16" i="9"/>
  <c r="H47" i="23" s="1"/>
  <c r="AM87" i="161"/>
  <c r="AM71" i="161"/>
  <c r="AJ131" i="161" l="1"/>
  <c r="AJ133" i="161"/>
  <c r="AM21" i="15"/>
  <c r="AM26" i="15" s="1"/>
  <c r="AM28" i="15" s="1"/>
  <c r="J28" i="23"/>
  <c r="AN44" i="15"/>
  <c r="H38" i="23"/>
  <c r="AM27" i="161"/>
  <c r="I82" i="23"/>
  <c r="I86" i="23" l="1"/>
  <c r="AM32" i="15"/>
  <c r="AM35" i="15" s="1"/>
  <c r="AJ165" i="161"/>
  <c r="AJ32" i="161"/>
  <c r="I84" i="23"/>
  <c r="I85" i="23"/>
  <c r="AN47" i="15"/>
  <c r="J30" i="23"/>
  <c r="AN25" i="15"/>
  <c r="AN50" i="161"/>
  <c r="AN51" i="161" s="1"/>
  <c r="AJ166" i="161"/>
  <c r="AJ33" i="161"/>
  <c r="AJ212" i="161" l="1"/>
  <c r="AN71" i="161"/>
  <c r="AN87" i="161"/>
  <c r="AN19" i="15"/>
  <c r="AN234" i="161"/>
  <c r="AO42" i="15"/>
  <c r="AN151" i="161"/>
  <c r="AN155" i="161" s="1"/>
  <c r="J33" i="23"/>
  <c r="AM16" i="9"/>
  <c r="I47" i="23" s="1"/>
  <c r="AJ233" i="161"/>
  <c r="AJ211" i="161"/>
  <c r="AJ169" i="161"/>
  <c r="J82" i="23" l="1"/>
  <c r="AN27" i="161"/>
  <c r="AN21" i="15"/>
  <c r="AN26" i="15" s="1"/>
  <c r="AN28" i="15" s="1"/>
  <c r="I38" i="23"/>
  <c r="AO44" i="15"/>
  <c r="K28" i="23"/>
  <c r="AJ48" i="187"/>
  <c r="AJ51" i="187" s="1"/>
  <c r="AJ53" i="187" s="1"/>
  <c r="AJ56" i="187" s="1"/>
  <c r="AJ86" i="187" s="1"/>
  <c r="AJ58" i="187" s="1"/>
  <c r="AJ59" i="187" s="1"/>
  <c r="AJ67" i="187" s="1"/>
  <c r="AJ176" i="161"/>
  <c r="AJ178" i="161" s="1"/>
  <c r="AJ196" i="161" s="1"/>
  <c r="AJ179" i="161" l="1"/>
  <c r="AJ185" i="161" s="1"/>
  <c r="AJ187" i="161" s="1"/>
  <c r="AJ191" i="161" s="1"/>
  <c r="AJ195" i="161" s="1"/>
  <c r="AJ197" i="161" s="1"/>
  <c r="AJ21" i="9" s="1"/>
  <c r="J84" i="23"/>
  <c r="J85" i="23"/>
  <c r="K30" i="23"/>
  <c r="K33" i="23" s="1"/>
  <c r="K82" i="23" s="1"/>
  <c r="AO47" i="15"/>
  <c r="AO50" i="161"/>
  <c r="AO51" i="161" s="1"/>
  <c r="AO25" i="15"/>
  <c r="AN32" i="15"/>
  <c r="AN35" i="15" s="1"/>
  <c r="J86" i="23"/>
  <c r="AJ206" i="161" l="1"/>
  <c r="AJ215" i="161" s="1"/>
  <c r="AJ221" i="161" s="1"/>
  <c r="AJ227" i="161" s="1"/>
  <c r="AJ229" i="161" s="1"/>
  <c r="AJ35" i="161" s="1"/>
  <c r="AJ34" i="161"/>
  <c r="AJ180" i="161"/>
  <c r="AK175" i="161" s="1"/>
  <c r="AO19" i="15"/>
  <c r="AP42" i="15"/>
  <c r="AO234" i="161"/>
  <c r="AO151" i="161"/>
  <c r="AO155" i="161" s="1"/>
  <c r="K85" i="23"/>
  <c r="K84" i="23"/>
  <c r="AN16" i="9"/>
  <c r="J47" i="23" s="1"/>
  <c r="AO71" i="161"/>
  <c r="AO87" i="161"/>
  <c r="F51" i="23"/>
  <c r="AJ22" i="9"/>
  <c r="AJ220" i="161" l="1"/>
  <c r="AJ36" i="161"/>
  <c r="F61" i="23"/>
  <c r="F64" i="23" s="1"/>
  <c r="F53" i="23" s="1"/>
  <c r="AJ67" i="9" s="1"/>
  <c r="AJ52" i="9"/>
  <c r="AJ54" i="9" s="1"/>
  <c r="F55" i="23" s="1"/>
  <c r="F59" i="23" s="1"/>
  <c r="J38" i="23"/>
  <c r="AO27" i="161"/>
  <c r="F42" i="23"/>
  <c r="L28" i="23"/>
  <c r="AP44" i="15"/>
  <c r="AO21" i="15"/>
  <c r="AO26" i="15" s="1"/>
  <c r="AO28" i="15" s="1"/>
  <c r="AJ222" i="161" l="1"/>
  <c r="AK219" i="161" s="1"/>
  <c r="AP25" i="15"/>
  <c r="L30" i="23"/>
  <c r="L33" i="23" s="1"/>
  <c r="L82" i="23" s="1"/>
  <c r="AP47" i="15"/>
  <c r="AP50" i="161"/>
  <c r="AP51" i="161" s="1"/>
  <c r="AJ11" i="267"/>
  <c r="AJ69" i="9"/>
  <c r="AO32" i="15"/>
  <c r="AO35" i="15" s="1"/>
  <c r="K86" i="23"/>
  <c r="AK19" i="161"/>
  <c r="AK40" i="161" l="1"/>
  <c r="AK48" i="161" s="1"/>
  <c r="AK53" i="161" s="1"/>
  <c r="AK73" i="161" s="1"/>
  <c r="AK75" i="161" s="1"/>
  <c r="AK78" i="161" s="1"/>
  <c r="AK80" i="161" s="1"/>
  <c r="AO16" i="9"/>
  <c r="K47" i="23" s="1"/>
  <c r="AJ13" i="267"/>
  <c r="AJ71" i="9"/>
  <c r="AP71" i="161"/>
  <c r="AP87" i="161"/>
  <c r="L85" i="23"/>
  <c r="L84" i="23"/>
  <c r="AP19" i="15"/>
  <c r="AP234" i="161"/>
  <c r="AQ42" i="15"/>
  <c r="AP151" i="161"/>
  <c r="AP155" i="161" s="1"/>
  <c r="AP21" i="15" l="1"/>
  <c r="AP26" i="15" s="1"/>
  <c r="AP28" i="15" s="1"/>
  <c r="AK20" i="161"/>
  <c r="AK140" i="161"/>
  <c r="M28" i="23"/>
  <c r="AQ44" i="15"/>
  <c r="AP27" i="161"/>
  <c r="K38" i="23"/>
  <c r="O28" i="23" l="1"/>
  <c r="AK141" i="161"/>
  <c r="AP32" i="15"/>
  <c r="AP35" i="15" s="1"/>
  <c r="L86" i="23"/>
  <c r="AQ25" i="15"/>
  <c r="AQ50" i="161"/>
  <c r="AQ51" i="161" s="1"/>
  <c r="M30" i="23"/>
  <c r="AQ47" i="15"/>
  <c r="AK21" i="161"/>
  <c r="AK145" i="161" l="1"/>
  <c r="AK22" i="161"/>
  <c r="AK41" i="161"/>
  <c r="AK86" i="161" s="1"/>
  <c r="AK89" i="161" s="1"/>
  <c r="AQ87" i="161"/>
  <c r="AQ71" i="161"/>
  <c r="M33" i="23"/>
  <c r="O30" i="23"/>
  <c r="AQ151" i="161"/>
  <c r="AQ155" i="161" s="1"/>
  <c r="AQ234" i="161"/>
  <c r="AQ19" i="15"/>
  <c r="AP16" i="9"/>
  <c r="L47" i="23" s="1"/>
  <c r="L38" i="23" l="1"/>
  <c r="AQ21" i="15"/>
  <c r="AQ26" i="15" s="1"/>
  <c r="AQ28" i="15" s="1"/>
  <c r="AK105" i="161"/>
  <c r="AK17" i="9"/>
  <c r="AK30" i="161"/>
  <c r="AQ27" i="161"/>
  <c r="O33" i="23"/>
  <c r="M82" i="23"/>
  <c r="M86" i="23" l="1"/>
  <c r="AQ32" i="15"/>
  <c r="AQ35" i="15" s="1"/>
  <c r="G48" i="23"/>
  <c r="AK20" i="9"/>
  <c r="M84" i="23"/>
  <c r="M85" i="23"/>
  <c r="N82" i="23"/>
  <c r="O82" i="23"/>
  <c r="O85" i="23" l="1"/>
  <c r="N85" i="23"/>
  <c r="G39" i="23"/>
  <c r="AQ16" i="9"/>
  <c r="M47" i="23" s="1"/>
  <c r="AK23" i="161"/>
  <c r="AK31" i="161" s="1"/>
  <c r="AK162" i="161"/>
  <c r="N84" i="23"/>
  <c r="N83" i="23" s="1"/>
  <c r="O84" i="23"/>
  <c r="O86" i="23"/>
  <c r="M38" i="23" l="1"/>
  <c r="O47" i="23"/>
  <c r="N47" i="23"/>
  <c r="AK106" i="161"/>
  <c r="AK108" i="161" s="1"/>
  <c r="AK204" i="161"/>
  <c r="N38" i="23" l="1"/>
  <c r="O38" i="23"/>
  <c r="AK112" i="161"/>
  <c r="AK115" i="161" l="1"/>
  <c r="AK128" i="161" l="1"/>
  <c r="AK131" i="161" l="1"/>
  <c r="AK133" i="161"/>
  <c r="AK165" i="161" l="1"/>
  <c r="AK32" i="161"/>
  <c r="AK33" i="161"/>
  <c r="AK166" i="161"/>
  <c r="AK211" i="161" l="1"/>
  <c r="AK233" i="161"/>
  <c r="AK169" i="161"/>
  <c r="AK212" i="161"/>
  <c r="AK176" i="161" l="1"/>
  <c r="AK48" i="187"/>
  <c r="AK51" i="187" s="1"/>
  <c r="AK53" i="187" s="1"/>
  <c r="AK56" i="187" s="1"/>
  <c r="AK86" i="187" s="1"/>
  <c r="AK58" i="187" s="1"/>
  <c r="AK59" i="187" s="1"/>
  <c r="AK67" i="187" s="1"/>
  <c r="AK178" i="161" l="1"/>
  <c r="AK196" i="161" l="1"/>
  <c r="AK179" i="161"/>
  <c r="AK185" i="161" s="1"/>
  <c r="AK187" i="161" s="1"/>
  <c r="AK191" i="161" s="1"/>
  <c r="AK195" i="161" s="1"/>
  <c r="AK197" i="161" l="1"/>
  <c r="AK206" i="161" s="1"/>
  <c r="AK215" i="161" s="1"/>
  <c r="AK180" i="161"/>
  <c r="AL175" i="161" s="1"/>
  <c r="AK21" i="9" l="1"/>
  <c r="G51" i="23" s="1"/>
  <c r="AK34" i="161"/>
  <c r="AK220" i="161"/>
  <c r="AK221" i="161"/>
  <c r="AK227" i="161" s="1"/>
  <c r="AK229" i="161" s="1"/>
  <c r="AK35" i="161" s="1"/>
  <c r="AK22" i="9" l="1"/>
  <c r="AK36" i="161"/>
  <c r="AK222" i="161"/>
  <c r="AL219" i="161" s="1"/>
  <c r="G42" i="23"/>
  <c r="G61" i="23" l="1"/>
  <c r="G64" i="23" s="1"/>
  <c r="G53" i="23" s="1"/>
  <c r="AK67" i="9" s="1"/>
  <c r="AL19" i="161"/>
  <c r="AL40" i="161" s="1"/>
  <c r="AL48" i="161" s="1"/>
  <c r="AL53" i="161" s="1"/>
  <c r="AL73" i="161" s="1"/>
  <c r="AL75" i="161" s="1"/>
  <c r="AL78" i="161" s="1"/>
  <c r="AL80" i="161" s="1"/>
  <c r="G55" i="23" l="1"/>
  <c r="G59" i="23" s="1"/>
  <c r="AL20" i="161"/>
  <c r="AL140" i="161"/>
  <c r="AK11" i="267"/>
  <c r="AK69" i="9"/>
  <c r="AL21" i="161" l="1"/>
  <c r="AK13" i="267"/>
  <c r="AK71" i="9"/>
  <c r="AL141" i="161"/>
  <c r="AL22" i="161" l="1"/>
  <c r="AL41" i="161"/>
  <c r="AL86" i="161" s="1"/>
  <c r="AL89" i="161" s="1"/>
  <c r="AL145" i="161"/>
  <c r="AL105" i="161" l="1"/>
  <c r="AL17" i="9"/>
  <c r="AL30" i="161"/>
  <c r="H48" i="23" l="1"/>
  <c r="AL20" i="9"/>
  <c r="H39" i="23" l="1"/>
  <c r="AL162" i="161"/>
  <c r="AL23" i="161"/>
  <c r="AL31" i="161" s="1"/>
  <c r="AL204" i="161" l="1"/>
  <c r="AL106" i="161"/>
  <c r="AL108" i="161" s="1"/>
  <c r="AL112" i="161" l="1"/>
  <c r="AL115" i="161" l="1"/>
  <c r="AL128" i="161" l="1"/>
  <c r="AL131" i="161" l="1"/>
  <c r="AL133" i="161"/>
  <c r="AL32" i="161" l="1"/>
  <c r="AL165" i="161"/>
  <c r="AL33" i="161"/>
  <c r="AL166" i="161"/>
  <c r="AL233" i="161" l="1"/>
  <c r="AL211" i="161"/>
  <c r="AL169" i="161"/>
  <c r="AL212" i="161"/>
  <c r="AL176" i="161" l="1"/>
  <c r="AL178" i="161" s="1"/>
  <c r="AL196" i="161" s="1"/>
  <c r="AL48" i="187"/>
  <c r="AL51" i="187" s="1"/>
  <c r="AL53" i="187" s="1"/>
  <c r="AL56" i="187" s="1"/>
  <c r="AL86" i="187" s="1"/>
  <c r="AL58" i="187" s="1"/>
  <c r="AL59" i="187" s="1"/>
  <c r="AL67" i="187" s="1"/>
  <c r="AL179" i="161" l="1"/>
  <c r="AL185" i="161" s="1"/>
  <c r="AL187" i="161" s="1"/>
  <c r="AL191" i="161" s="1"/>
  <c r="AL195" i="161" s="1"/>
  <c r="AL197" i="161" s="1"/>
  <c r="AL180" i="161" l="1"/>
  <c r="AM175" i="161" s="1"/>
  <c r="AL206" i="161"/>
  <c r="AL215" i="161" s="1"/>
  <c r="AL34" i="161"/>
  <c r="AL21" i="9"/>
  <c r="AL220" i="161" l="1"/>
  <c r="AL221" i="161"/>
  <c r="AL227" i="161" s="1"/>
  <c r="AL229" i="161" s="1"/>
  <c r="AL35" i="161" s="1"/>
  <c r="AL22" i="9"/>
  <c r="H51" i="23"/>
  <c r="H42" i="23" l="1"/>
  <c r="AL222" i="161"/>
  <c r="AM219" i="161" s="1"/>
  <c r="AL36" i="161"/>
  <c r="H61" i="23"/>
  <c r="H64" i="23" s="1"/>
  <c r="H53" i="23" s="1"/>
  <c r="AM19" i="161" l="1"/>
  <c r="AL67" i="9"/>
  <c r="H55" i="23"/>
  <c r="H59" i="23" s="1"/>
  <c r="AL69" i="9" l="1"/>
  <c r="AL11" i="267"/>
  <c r="AM40" i="161"/>
  <c r="AM48" i="161" s="1"/>
  <c r="AM53" i="161" s="1"/>
  <c r="AM73" i="161" s="1"/>
  <c r="AM75" i="161" s="1"/>
  <c r="AM78" i="161" s="1"/>
  <c r="AM80" i="161" s="1"/>
  <c r="AL71" i="9" l="1"/>
  <c r="AL13" i="267"/>
  <c r="AM140" i="161"/>
  <c r="AM20" i="161"/>
  <c r="AM141" i="161" l="1"/>
  <c r="AM21" i="161"/>
  <c r="AM145" i="161" l="1"/>
  <c r="AM41" i="161"/>
  <c r="AM86" i="161" s="1"/>
  <c r="AM89" i="161" s="1"/>
  <c r="AM22" i="161"/>
  <c r="AM105" i="161" l="1"/>
  <c r="AM30" i="161"/>
  <c r="AM17" i="9"/>
  <c r="I48" i="23" l="1"/>
  <c r="AM20" i="9"/>
  <c r="AM162" i="161" l="1"/>
  <c r="AM23" i="161"/>
  <c r="AM31" i="161" s="1"/>
  <c r="I39" i="23"/>
  <c r="AM106" i="161" l="1"/>
  <c r="AM108" i="161" s="1"/>
  <c r="AM204" i="161"/>
  <c r="AM112" i="161" l="1"/>
  <c r="AM115" i="161" l="1"/>
  <c r="AM128" i="161" l="1"/>
  <c r="AM131" i="161" l="1"/>
  <c r="AM133" i="161"/>
  <c r="AM166" i="161" l="1"/>
  <c r="AM33" i="161"/>
  <c r="AM32" i="161"/>
  <c r="AM165" i="161"/>
  <c r="AM212" i="161" l="1"/>
  <c r="AM233" i="161"/>
  <c r="AM211" i="161"/>
  <c r="AM169" i="161"/>
  <c r="AM48" i="187" l="1"/>
  <c r="AM51" i="187" s="1"/>
  <c r="AM53" i="187" s="1"/>
  <c r="AM56" i="187" s="1"/>
  <c r="AM86" i="187" s="1"/>
  <c r="AM58" i="187" s="1"/>
  <c r="AM59" i="187" s="1"/>
  <c r="AM67" i="187" s="1"/>
  <c r="AM176" i="161"/>
  <c r="AM178" i="161" l="1"/>
  <c r="AM196" i="161" l="1"/>
  <c r="AM179" i="161"/>
  <c r="AM185" i="161" s="1"/>
  <c r="AM187" i="161" s="1"/>
  <c r="AM191" i="161" s="1"/>
  <c r="AM195" i="161" s="1"/>
  <c r="AM197" i="161" l="1"/>
  <c r="AM180" i="161"/>
  <c r="AN175" i="161" s="1"/>
  <c r="AM21" i="9" l="1"/>
  <c r="AM34" i="161"/>
  <c r="AM206" i="161"/>
  <c r="AM215" i="161" s="1"/>
  <c r="I51" i="23" l="1"/>
  <c r="AM22" i="9"/>
  <c r="AM220" i="161"/>
  <c r="AM221" i="161"/>
  <c r="AM227" i="161" s="1"/>
  <c r="AM229" i="161" s="1"/>
  <c r="AM35" i="161" s="1"/>
  <c r="AM36" i="161" l="1"/>
  <c r="AN19" i="161" s="1"/>
  <c r="I42" i="23"/>
  <c r="AM222" i="161"/>
  <c r="AN219" i="161" s="1"/>
  <c r="I61" i="23"/>
  <c r="I64" i="23" s="1"/>
  <c r="I53" i="23" s="1"/>
  <c r="AN40" i="161" l="1"/>
  <c r="AN48" i="161" s="1"/>
  <c r="AN53" i="161" s="1"/>
  <c r="AN73" i="161" s="1"/>
  <c r="AN75" i="161" s="1"/>
  <c r="AN78" i="161" s="1"/>
  <c r="AN80" i="161" s="1"/>
  <c r="I55" i="23"/>
  <c r="I59" i="23" s="1"/>
  <c r="AM67" i="9"/>
  <c r="AM11" i="267" l="1"/>
  <c r="AM69" i="9"/>
  <c r="AN20" i="161"/>
  <c r="AN140" i="161"/>
  <c r="AN21" i="161" l="1"/>
  <c r="AN141" i="161"/>
  <c r="AM71" i="9"/>
  <c r="AM13" i="267"/>
  <c r="AN145" i="161" l="1"/>
  <c r="AN41" i="161"/>
  <c r="AN86" i="161" s="1"/>
  <c r="AN89" i="161" s="1"/>
  <c r="AN22" i="161"/>
  <c r="AN30" i="161" l="1"/>
  <c r="AN17" i="9"/>
  <c r="AN105" i="161"/>
  <c r="J48" i="23" l="1"/>
  <c r="AN20" i="9"/>
  <c r="AN23" i="161" l="1"/>
  <c r="AN31" i="161" s="1"/>
  <c r="AN162" i="161"/>
  <c r="J39" i="23"/>
  <c r="AN106" i="161" l="1"/>
  <c r="AN108" i="161" s="1"/>
  <c r="AN204" i="161"/>
  <c r="AN112" i="161" l="1"/>
  <c r="AN115" i="161" l="1"/>
  <c r="AN128" i="161" l="1"/>
  <c r="AN133" i="161" l="1"/>
  <c r="AN131" i="161"/>
  <c r="AN33" i="161" l="1"/>
  <c r="AN166" i="161"/>
  <c r="AN165" i="161"/>
  <c r="AN32" i="161"/>
  <c r="AN211" i="161" l="1"/>
  <c r="AN233" i="161"/>
  <c r="AN169" i="161"/>
  <c r="AN212" i="161"/>
  <c r="AN48" i="187" l="1"/>
  <c r="AN51" i="187" s="1"/>
  <c r="AN53" i="187" s="1"/>
  <c r="AN56" i="187" s="1"/>
  <c r="AN86" i="187" s="1"/>
  <c r="AN58" i="187" s="1"/>
  <c r="AN59" i="187" s="1"/>
  <c r="AN67" i="187" s="1"/>
  <c r="AN176" i="161"/>
  <c r="AN178" i="161" l="1"/>
  <c r="AN196" i="161" l="1"/>
  <c r="AN179" i="161"/>
  <c r="AN185" i="161" s="1"/>
  <c r="AN187" i="161" s="1"/>
  <c r="AN191" i="161" s="1"/>
  <c r="AN195" i="161" s="1"/>
  <c r="AN197" i="161" l="1"/>
  <c r="AN180" i="161"/>
  <c r="AO175" i="161" s="1"/>
  <c r="AN21" i="9" l="1"/>
  <c r="AN34" i="161"/>
  <c r="AN206" i="161"/>
  <c r="AN215" i="161" s="1"/>
  <c r="J51" i="23" l="1"/>
  <c r="AN22" i="9"/>
  <c r="AN220" i="161"/>
  <c r="AN221" i="161"/>
  <c r="AN227" i="161" s="1"/>
  <c r="AN229" i="161" s="1"/>
  <c r="AN35" i="161" s="1"/>
  <c r="J42" i="23" l="1"/>
  <c r="AN36" i="161"/>
  <c r="AN222" i="161"/>
  <c r="AO219" i="161" s="1"/>
  <c r="J61" i="23"/>
  <c r="J64" i="23" s="1"/>
  <c r="J53" i="23" s="1"/>
  <c r="AN67" i="9" l="1"/>
  <c r="J55" i="23"/>
  <c r="J59" i="23" s="1"/>
  <c r="AO19" i="161"/>
  <c r="AO40" i="161" l="1"/>
  <c r="AO48" i="161" s="1"/>
  <c r="AO53" i="161" s="1"/>
  <c r="AO73" i="161" s="1"/>
  <c r="AO75" i="161" s="1"/>
  <c r="AO78" i="161" s="1"/>
  <c r="AO80" i="161" s="1"/>
  <c r="AN11" i="267"/>
  <c r="AN69" i="9"/>
  <c r="AN71" i="9" l="1"/>
  <c r="AN13" i="267"/>
  <c r="AO20" i="161"/>
  <c r="AO140" i="161"/>
  <c r="AO21" i="161" l="1"/>
  <c r="AO141" i="161"/>
  <c r="AO145" i="161" l="1"/>
  <c r="AO41" i="161"/>
  <c r="AO86" i="161" s="1"/>
  <c r="AO89" i="161" s="1"/>
  <c r="AO22" i="161"/>
  <c r="AO105" i="161" l="1"/>
  <c r="AO17" i="9"/>
  <c r="AO30" i="161"/>
  <c r="AO20" i="9" l="1"/>
  <c r="K48" i="23"/>
  <c r="AO162" i="161" l="1"/>
  <c r="AO23" i="161"/>
  <c r="AO31" i="161" s="1"/>
  <c r="K39" i="23"/>
  <c r="AO106" i="161" l="1"/>
  <c r="AO108" i="161" s="1"/>
  <c r="AO204" i="161"/>
  <c r="AO112" i="161" l="1"/>
  <c r="AO115" i="161" l="1"/>
  <c r="AO128" i="161" l="1"/>
  <c r="AO133" i="161" l="1"/>
  <c r="AO131" i="161"/>
  <c r="AO33" i="161" l="1"/>
  <c r="AO166" i="161"/>
  <c r="AO165" i="161"/>
  <c r="AO32" i="161"/>
  <c r="AO212" i="161" l="1"/>
  <c r="AO233" i="161"/>
  <c r="AO211" i="161"/>
  <c r="AO169" i="161"/>
  <c r="AO48" i="187" l="1"/>
  <c r="AO51" i="187" s="1"/>
  <c r="AO53" i="187" s="1"/>
  <c r="AO56" i="187" s="1"/>
  <c r="AO86" i="187" s="1"/>
  <c r="AO58" i="187" s="1"/>
  <c r="AO59" i="187" s="1"/>
  <c r="AO67" i="187" s="1"/>
  <c r="AO176" i="161"/>
  <c r="AO178" i="161" s="1"/>
  <c r="AO196" i="161" s="1"/>
  <c r="AO179" i="161" l="1"/>
  <c r="AO185" i="161" s="1"/>
  <c r="AO187" i="161" s="1"/>
  <c r="AO191" i="161" s="1"/>
  <c r="AO195" i="161" s="1"/>
  <c r="AO197" i="161" s="1"/>
  <c r="AO180" i="161" l="1"/>
  <c r="AP175" i="161" s="1"/>
  <c r="AO206" i="161"/>
  <c r="AO215" i="161" s="1"/>
  <c r="AO21" i="9"/>
  <c r="AO34" i="161"/>
  <c r="AO220" i="161" l="1"/>
  <c r="AO221" i="161"/>
  <c r="AO227" i="161" s="1"/>
  <c r="AO229" i="161" s="1"/>
  <c r="AO35" i="161" s="1"/>
  <c r="K51" i="23"/>
  <c r="AO22" i="9"/>
  <c r="AO36" i="161" l="1"/>
  <c r="AP19" i="161" s="1"/>
  <c r="K42" i="23"/>
  <c r="K61" i="23"/>
  <c r="K64" i="23" s="1"/>
  <c r="K53" i="23" s="1"/>
  <c r="AO222" i="161"/>
  <c r="AP219" i="161" s="1"/>
  <c r="AP40" i="161" l="1"/>
  <c r="AP48" i="161" s="1"/>
  <c r="AP53" i="161" s="1"/>
  <c r="AP73" i="161" s="1"/>
  <c r="AP75" i="161" s="1"/>
  <c r="AP78" i="161" s="1"/>
  <c r="AP80" i="161" s="1"/>
  <c r="AO67" i="9"/>
  <c r="K55" i="23"/>
  <c r="K59" i="23" s="1"/>
  <c r="AP20" i="161" l="1"/>
  <c r="AP140" i="161"/>
  <c r="AO69" i="9"/>
  <c r="AO11" i="267"/>
  <c r="AO13" i="267" l="1"/>
  <c r="AO71" i="9"/>
  <c r="AP21" i="161"/>
  <c r="AP141" i="161"/>
  <c r="AP145" i="161" l="1"/>
  <c r="AP41" i="161"/>
  <c r="AP86" i="161" s="1"/>
  <c r="AP89" i="161" s="1"/>
  <c r="AP22" i="161"/>
  <c r="AP105" i="161" l="1"/>
  <c r="AP17" i="9"/>
  <c r="AP30" i="161"/>
  <c r="L48" i="23" l="1"/>
  <c r="AP20" i="9"/>
  <c r="AP23" i="161" l="1"/>
  <c r="AP31" i="161" s="1"/>
  <c r="AP162" i="161"/>
  <c r="L39" i="23"/>
  <c r="AP106" i="161" l="1"/>
  <c r="AP108" i="161" s="1"/>
  <c r="AP204" i="161"/>
  <c r="AP112" i="161" l="1"/>
  <c r="AP115" i="161" l="1"/>
  <c r="AP128" i="161" l="1"/>
  <c r="AP133" i="161" l="1"/>
  <c r="AP131" i="161"/>
  <c r="AP165" i="161" l="1"/>
  <c r="AP32" i="161"/>
  <c r="AP166" i="161"/>
  <c r="AP33" i="161"/>
  <c r="AP212" i="161" l="1"/>
  <c r="AP211" i="161"/>
  <c r="AP233" i="161"/>
  <c r="AP169" i="161"/>
  <c r="AP48" i="187" l="1"/>
  <c r="AP51" i="187" s="1"/>
  <c r="AP53" i="187" s="1"/>
  <c r="AP56" i="187" s="1"/>
  <c r="AP86" i="187" s="1"/>
  <c r="AP58" i="187" s="1"/>
  <c r="AP59" i="187" s="1"/>
  <c r="AP67" i="187" s="1"/>
  <c r="AP176" i="161"/>
  <c r="AP178" i="161" l="1"/>
  <c r="AP196" i="161" l="1"/>
  <c r="AP179" i="161"/>
  <c r="AP185" i="161" l="1"/>
  <c r="AP187" i="161" s="1"/>
  <c r="AP191" i="161" s="1"/>
  <c r="AP195" i="161" s="1"/>
  <c r="AP197" i="161" s="1"/>
  <c r="AP180" i="161"/>
  <c r="AQ175" i="161" s="1"/>
  <c r="AP206" i="161" l="1"/>
  <c r="AP215" i="161" s="1"/>
  <c r="AP34" i="161"/>
  <c r="AP21" i="9"/>
  <c r="AP220" i="161" l="1"/>
  <c r="AP221" i="161"/>
  <c r="AP227" i="161" s="1"/>
  <c r="AP229" i="161" s="1"/>
  <c r="AP35" i="161" s="1"/>
  <c r="L51" i="23"/>
  <c r="AP22" i="9"/>
  <c r="L61" i="23" l="1"/>
  <c r="AP222" i="161"/>
  <c r="AQ219" i="161" s="1"/>
  <c r="AP36" i="161"/>
  <c r="L42" i="23"/>
  <c r="AQ19" i="161" l="1"/>
  <c r="L64" i="23"/>
  <c r="L53" i="23" l="1"/>
  <c r="AQ40" i="161"/>
  <c r="AQ48" i="161" s="1"/>
  <c r="AQ53" i="161" s="1"/>
  <c r="AQ73" i="161" s="1"/>
  <c r="AQ75" i="161" s="1"/>
  <c r="AQ78" i="161" s="1"/>
  <c r="AQ80" i="161" s="1"/>
  <c r="AQ140" i="161" l="1"/>
  <c r="AQ20" i="161"/>
  <c r="AP67" i="9"/>
  <c r="L55" i="23"/>
  <c r="AP11" i="267" l="1"/>
  <c r="AP69" i="9"/>
  <c r="AQ141" i="161"/>
  <c r="L59" i="23"/>
  <c r="AQ21" i="161"/>
  <c r="AQ41" i="161" l="1"/>
  <c r="AQ86" i="161" s="1"/>
  <c r="AQ89" i="161" s="1"/>
  <c r="AQ22" i="161"/>
  <c r="AQ145" i="161"/>
  <c r="AP71" i="9"/>
  <c r="AP13" i="267"/>
  <c r="AQ17" i="9" l="1"/>
  <c r="AQ30" i="161"/>
  <c r="AQ105" i="161"/>
  <c r="M48" i="23" l="1"/>
  <c r="AQ20" i="9"/>
  <c r="AQ162" i="161" l="1"/>
  <c r="AQ23" i="161"/>
  <c r="AQ31" i="161" s="1"/>
  <c r="M39" i="23"/>
  <c r="N48" i="23"/>
  <c r="O48" i="23"/>
  <c r="AQ204" i="161" l="1"/>
  <c r="N39" i="23"/>
  <c r="O39" i="23"/>
  <c r="AQ106" i="161"/>
  <c r="AQ108" i="161" s="1"/>
  <c r="AN271" i="205"/>
  <c r="AN272" i="205" s="1"/>
  <c r="AM271" i="205"/>
  <c r="AM272" i="205" s="1"/>
  <c r="AK271" i="205"/>
  <c r="AK272" i="205" s="1"/>
  <c r="AQ271" i="205"/>
  <c r="AQ272" i="205" s="1"/>
  <c r="AO271" i="205"/>
  <c r="AO272" i="205" s="1"/>
  <c r="AL271" i="205"/>
  <c r="AL272" i="205" s="1"/>
  <c r="AJ271" i="205"/>
  <c r="AJ272" i="205" s="1"/>
  <c r="AP271" i="205"/>
  <c r="AP272" i="205" s="1"/>
  <c r="AQ112" i="161" l="1"/>
  <c r="AQ115" i="161" l="1"/>
  <c r="AQ128" i="161" l="1"/>
  <c r="AQ133" i="161" l="1"/>
  <c r="AQ131" i="161"/>
  <c r="AQ165" i="161" l="1"/>
  <c r="AQ32" i="161"/>
  <c r="AQ33" i="161"/>
  <c r="AQ166" i="161"/>
  <c r="AQ211" i="161" l="1"/>
  <c r="AQ233" i="161"/>
  <c r="AQ169" i="161"/>
  <c r="AQ212" i="161"/>
  <c r="AQ176" i="161" l="1"/>
  <c r="AQ48" i="187"/>
  <c r="AQ51" i="187" s="1"/>
  <c r="AQ53" i="187" s="1"/>
  <c r="AQ56" i="187" s="1"/>
  <c r="AQ86" i="187" s="1"/>
  <c r="AQ58" i="187" s="1"/>
  <c r="AQ59" i="187" s="1"/>
  <c r="AQ67" i="187" s="1"/>
  <c r="AQ178" i="161" l="1"/>
  <c r="AQ196" i="161" l="1"/>
  <c r="AQ179" i="161"/>
  <c r="AQ185" i="161" s="1"/>
  <c r="AQ187" i="161" s="1"/>
  <c r="AQ191" i="161" s="1"/>
  <c r="AQ195" i="161" s="1"/>
  <c r="AQ197" i="161" l="1"/>
  <c r="AQ34" i="161" s="1"/>
  <c r="AQ180" i="161"/>
  <c r="AQ21" i="9" l="1"/>
  <c r="M51" i="23" s="1"/>
  <c r="AQ206" i="161"/>
  <c r="AQ215" i="161" s="1"/>
  <c r="AQ221" i="161" s="1"/>
  <c r="AQ227" i="161" s="1"/>
  <c r="AQ229" i="161" s="1"/>
  <c r="AQ35" i="161" s="1"/>
  <c r="AQ22" i="9" l="1"/>
  <c r="AQ220" i="161"/>
  <c r="AQ222" i="161" s="1"/>
  <c r="AQ36" i="161"/>
  <c r="M42" i="23"/>
  <c r="N51" i="23"/>
  <c r="O51" i="23"/>
  <c r="M61" i="23" l="1"/>
  <c r="M64" i="23" s="1"/>
  <c r="N42" i="23"/>
  <c r="O42" i="23"/>
  <c r="N61" i="23" l="1"/>
  <c r="O61" i="23"/>
  <c r="M53" i="23"/>
  <c r="N64" i="23"/>
  <c r="O64" i="23"/>
  <c r="M55" i="23" l="1"/>
  <c r="AQ67" i="9"/>
  <c r="O53" i="23"/>
  <c r="N53" i="23"/>
  <c r="M59" i="23" l="1"/>
  <c r="O55" i="23"/>
  <c r="N55" i="23"/>
  <c r="AQ11" i="267"/>
  <c r="AQ69" i="9"/>
  <c r="AQ13" i="267" l="1"/>
  <c r="AQ71" i="9"/>
  <c r="O59" i="23"/>
  <c r="N59" i="23"/>
</calcChain>
</file>

<file path=xl/sharedStrings.xml><?xml version="1.0" encoding="utf-8"?>
<sst xmlns="http://schemas.openxmlformats.org/spreadsheetml/2006/main" count="8562" uniqueCount="852">
  <si>
    <t>Depreciation</t>
  </si>
  <si>
    <t>Dividends</t>
  </si>
  <si>
    <t>Capital allowances</t>
  </si>
  <si>
    <t>Deferred revenue expenditure</t>
  </si>
  <si>
    <t>Pre-vesting asset life</t>
  </si>
  <si>
    <t>Total</t>
  </si>
  <si>
    <t>Tax allowance</t>
  </si>
  <si>
    <t>Tax</t>
  </si>
  <si>
    <t>Vanilla WACC</t>
  </si>
  <si>
    <t>Total revenue</t>
  </si>
  <si>
    <t>Cost</t>
  </si>
  <si>
    <t>Issue or redeem equity</t>
  </si>
  <si>
    <t>Regulatory depreciation</t>
  </si>
  <si>
    <t>Net value after regulatory depreciation</t>
  </si>
  <si>
    <t>Post-vesting asset life</t>
  </si>
  <si>
    <t>Regulatory Asset Value (RAV)</t>
  </si>
  <si>
    <t>Closing asset value</t>
  </si>
  <si>
    <t>Revenue</t>
  </si>
  <si>
    <t>Return</t>
  </si>
  <si>
    <t>Price Control Revenue</t>
  </si>
  <si>
    <t>Additional income at group level</t>
  </si>
  <si>
    <t>Ofgem view</t>
  </si>
  <si>
    <t>Additional income</t>
  </si>
  <si>
    <t>Load Related</t>
  </si>
  <si>
    <t>Capital allowance rate</t>
  </si>
  <si>
    <t>£m nominal</t>
  </si>
  <si>
    <t>Net additions</t>
  </si>
  <si>
    <t>RAV</t>
  </si>
  <si>
    <t>General pool</t>
  </si>
  <si>
    <t>WACC</t>
  </si>
  <si>
    <t>Cost of equity</t>
  </si>
  <si>
    <t>Equity issuance costs</t>
  </si>
  <si>
    <t>Cost of debt</t>
  </si>
  <si>
    <t>Interest</t>
  </si>
  <si>
    <t>Operator view</t>
  </si>
  <si>
    <t>Base Revenue</t>
  </si>
  <si>
    <t>Allowance</t>
  </si>
  <si>
    <t>File</t>
  </si>
  <si>
    <t>Units</t>
  </si>
  <si>
    <t>Annual values</t>
  </si>
  <si>
    <t>annual real %</t>
  </si>
  <si>
    <t>Constant</t>
  </si>
  <si>
    <t>Parameter</t>
  </si>
  <si>
    <t>Base revenue</t>
  </si>
  <si>
    <t>scalar</t>
  </si>
  <si>
    <t>flag</t>
  </si>
  <si>
    <t>Tax calculation</t>
  </si>
  <si>
    <t>%</t>
  </si>
  <si>
    <t>Assumed dividends as % of notional equity portion of RAV</t>
  </si>
  <si>
    <t>years</t>
  </si>
  <si>
    <t>Asset balance</t>
  </si>
  <si>
    <t>End of sheet</t>
  </si>
  <si>
    <t>index value</t>
  </si>
  <si>
    <t>annual %</t>
  </si>
  <si>
    <t>&gt;</t>
  </si>
  <si>
    <t>User selection lists</t>
  </si>
  <si>
    <t>Company</t>
  </si>
  <si>
    <t>Model operation</t>
  </si>
  <si>
    <t>MOD</t>
  </si>
  <si>
    <t>text</t>
  </si>
  <si>
    <t>1 + WACC</t>
  </si>
  <si>
    <t>Model key</t>
  </si>
  <si>
    <t>Tax trigger</t>
  </si>
  <si>
    <t>Tax trigger calculations</t>
  </si>
  <si>
    <t>real annual %</t>
  </si>
  <si>
    <t>RAV depreciation</t>
  </si>
  <si>
    <t>Applied</t>
  </si>
  <si>
    <t>Totex</t>
  </si>
  <si>
    <t>Slow money</t>
  </si>
  <si>
    <t>Closing value carried forward</t>
  </si>
  <si>
    <t>Opening balance brought forward</t>
  </si>
  <si>
    <t>Closing balance carried forward</t>
  </si>
  <si>
    <t>Capex additions</t>
  </si>
  <si>
    <t>Tax book value pre-depreciation</t>
  </si>
  <si>
    <t>Balance carried forward</t>
  </si>
  <si>
    <t>Contents</t>
  </si>
  <si>
    <t>Input</t>
  </si>
  <si>
    <t>Cover</t>
  </si>
  <si>
    <t>UserInterface</t>
  </si>
  <si>
    <t>OUTPUT &gt;</t>
  </si>
  <si>
    <t>CALCULATION &gt;</t>
  </si>
  <si>
    <t>Model key and content directory</t>
  </si>
  <si>
    <t>Corporation tax rate</t>
  </si>
  <si>
    <t>RIIO Total</t>
  </si>
  <si>
    <t>RIIO average</t>
  </si>
  <si>
    <t>Capitalisation</t>
  </si>
  <si>
    <t>Efficiency incentive</t>
  </si>
  <si>
    <t>Run model for all licensees</t>
  </si>
  <si>
    <t>Threshold</t>
  </si>
  <si>
    <t>Tax base</t>
  </si>
  <si>
    <t>Tax losses</t>
  </si>
  <si>
    <t>Threshold value</t>
  </si>
  <si>
    <t>Tax allowance before tax trigger</t>
  </si>
  <si>
    <t>Value with original settings</t>
  </si>
  <si>
    <t>m_tax_trigger_results</t>
  </si>
  <si>
    <t>Post-TIM totex</t>
  </si>
  <si>
    <t>Total capital allowances</t>
  </si>
  <si>
    <t>Fast pot expenditure</t>
  </si>
  <si>
    <t>Financing costs</t>
  </si>
  <si>
    <t>Cost of raising equity</t>
  </si>
  <si>
    <t>Net debt</t>
  </si>
  <si>
    <t>Closing RAV</t>
  </si>
  <si>
    <t>Equity issuance cost</t>
  </si>
  <si>
    <t>Notional dividends</t>
  </si>
  <si>
    <t>Controllable opex</t>
  </si>
  <si>
    <t>Non-controllable opex</t>
  </si>
  <si>
    <t>Non-load related capex - other</t>
  </si>
  <si>
    <t>Load related capex</t>
  </si>
  <si>
    <t>Tax trigger calculation</t>
  </si>
  <si>
    <t>Sample</t>
  </si>
  <si>
    <t>Catch-up</t>
  </si>
  <si>
    <t>Catch-up for year t</t>
  </si>
  <si>
    <t>Tax loss brought forward</t>
  </si>
  <si>
    <t>SavedResults</t>
  </si>
  <si>
    <t>Cumulative depreciation</t>
  </si>
  <si>
    <t>Depreciation schedule</t>
  </si>
  <si>
    <t>Accelerated RAV differential post-vesting depreciation</t>
  </si>
  <si>
    <t>Depreciation parameters</t>
  </si>
  <si>
    <t>RAV differential is accruing differences</t>
  </si>
  <si>
    <t>Transfers</t>
  </si>
  <si>
    <t>Opening balance brought forward (before transfers)</t>
  </si>
  <si>
    <t>Opening balance brought forward (after transfers)</t>
  </si>
  <si>
    <t>Running total</t>
  </si>
  <si>
    <t>Net additions (after disposals)</t>
  </si>
  <si>
    <t>Depreciation values applied</t>
  </si>
  <si>
    <t>Less capital allowances</t>
  </si>
  <si>
    <t>Cost of capital</t>
  </si>
  <si>
    <t>Pre-vesting assets</t>
  </si>
  <si>
    <t>Tax pool allocation</t>
  </si>
  <si>
    <t>Policy</t>
  </si>
  <si>
    <t>RIIO</t>
  </si>
  <si>
    <t>Active</t>
  </si>
  <si>
    <t>Deferred revenue writing down allowance rate</t>
  </si>
  <si>
    <t>Deferred revenue expenditure opening balance brought forward</t>
  </si>
  <si>
    <t>Pre-RIIO net additions to RAV</t>
  </si>
  <si>
    <t>Tax pool additions</t>
  </si>
  <si>
    <t>Deferred revenue pool additions</t>
  </si>
  <si>
    <t>Deferred revenue pool</t>
  </si>
  <si>
    <t>Revenue pool</t>
  </si>
  <si>
    <t>Revenue pool additions</t>
  </si>
  <si>
    <t>Non-qualifying expenditure</t>
  </si>
  <si>
    <t>Load related capex allocation</t>
  </si>
  <si>
    <t>Non-load related capex - other allocation</t>
  </si>
  <si>
    <t>Expenditure categories allocated to tax pools</t>
  </si>
  <si>
    <t>Start of price control change in notional gearing</t>
  </si>
  <si>
    <t>Pre-vesting depreciation</t>
  </si>
  <si>
    <t>Allowed totex</t>
  </si>
  <si>
    <t>Actual load related capex</t>
  </si>
  <si>
    <t>Actual totex</t>
  </si>
  <si>
    <t>Post-TIM overspend (underspend)</t>
  </si>
  <si>
    <t>Allowed totex aggregated by sub-category</t>
  </si>
  <si>
    <t>Total allowed totex in price control (set at final proposals)</t>
  </si>
  <si>
    <t>RAV and assets</t>
  </si>
  <si>
    <t>Actual</t>
  </si>
  <si>
    <t>Actual non-load related capex - other</t>
  </si>
  <si>
    <t>Actual controllable opex</t>
  </si>
  <si>
    <t>Equity issuance with issuance costs allowed</t>
  </si>
  <si>
    <t>Input linked from annual update</t>
  </si>
  <si>
    <t>Annual update input</t>
  </si>
  <si>
    <t>Single year discount factor</t>
  </si>
  <si>
    <t>Return base</t>
  </si>
  <si>
    <t>Return on RAV</t>
  </si>
  <si>
    <t>Return &amp; RAV</t>
  </si>
  <si>
    <t>RAV differential</t>
  </si>
  <si>
    <t>Recalculated allowances</t>
  </si>
  <si>
    <t>Equity issuance</t>
  </si>
  <si>
    <t>Equity issuance gearing target</t>
  </si>
  <si>
    <t>Less target gearing for equity issuance</t>
  </si>
  <si>
    <t>Deviation from equity issuance target gearing</t>
  </si>
  <si>
    <t>Threshold deviation above target level</t>
  </si>
  <si>
    <t>Equity issuance threshold met</t>
  </si>
  <si>
    <t>Opening net debt</t>
  </si>
  <si>
    <t>Movement in net debt for notional regearing change</t>
  </si>
  <si>
    <t>Recalculated base revenue</t>
  </si>
  <si>
    <t>Less dividends</t>
  </si>
  <si>
    <t>Less tax paid</t>
  </si>
  <si>
    <t>Recalculated base revenue for year t</t>
  </si>
  <si>
    <t>Base revenue for year t</t>
  </si>
  <si>
    <t>Add tax allowance</t>
  </si>
  <si>
    <t>Recalculated base revenue delta</t>
  </si>
  <si>
    <t>Less actual totex</t>
  </si>
  <si>
    <t>Less actual non-totex</t>
  </si>
  <si>
    <t>Start of price control notional regearing</t>
  </si>
  <si>
    <t>Inputs for selected licensee</t>
  </si>
  <si>
    <t>INTERFACE &gt;</t>
  </si>
  <si>
    <t>Return&amp;RAV</t>
  </si>
  <si>
    <t>RAV and return calculations</t>
  </si>
  <si>
    <t>Previous year recalculated base revenue</t>
  </si>
  <si>
    <t>Forecast totex from new allowances</t>
  </si>
  <si>
    <t>Actual totex from cost reporting processes and final proposals</t>
  </si>
  <si>
    <t>- "fast money " is exported to the "Revenue" sheet where it is included as an element of "recalculated base revenue;" and</t>
  </si>
  <si>
    <t>Expenditure</t>
  </si>
  <si>
    <t>- "slow money " is exported to the "Depn" sheet where it is added to RAV. Slow money is recovered over the life of the RAV through regulatory depreciation and return allowances.</t>
  </si>
  <si>
    <t>Years from t until normal reporting of actual costs</t>
  </si>
  <si>
    <r>
      <rPr>
        <u/>
        <sz val="10"/>
        <rFont val="Gill Sans MT"/>
        <family val="2"/>
      </rPr>
      <t>Note:</t>
    </r>
    <r>
      <rPr>
        <sz val="10"/>
        <rFont val="Gill Sans MT"/>
        <family val="2"/>
      </rPr>
      <t xml:space="preserve"> "Post-TIM overspend (underspend)" is added to the allowed totex value to give the Post-TIM totex allowance to be split into fast and slow money.</t>
    </r>
  </si>
  <si>
    <r>
      <rPr>
        <u/>
        <sz val="10"/>
        <rFont val="Gill Sans MT"/>
        <family val="2"/>
      </rPr>
      <t>Note:</t>
    </r>
    <r>
      <rPr>
        <sz val="10"/>
        <rFont val="Gill Sans MT"/>
        <family val="2"/>
      </rPr>
      <t xml:space="preserve"> Annual iterations must have been completed for all prior years before running the model to generate MOD.</t>
    </r>
  </si>
  <si>
    <t/>
  </si>
  <si>
    <t>Running the macro saves the output from year t's iteration for use in future iterations.</t>
  </si>
  <si>
    <r>
      <rPr>
        <u/>
        <sz val="10"/>
        <rFont val="Gill Sans MT"/>
        <family val="2"/>
      </rPr>
      <t>Instruction:</t>
    </r>
    <r>
      <rPr>
        <sz val="10"/>
        <rFont val="Gill Sans MT"/>
        <family val="2"/>
      </rPr>
      <t xml:space="preserve"> Click on the left button to save results for the selected company only. Click the right button to save results for all.</t>
    </r>
  </si>
  <si>
    <t>Allowed load related capex</t>
  </si>
  <si>
    <t>Allowed non-load related capex - other</t>
  </si>
  <si>
    <t>Allowed controllable opex</t>
  </si>
  <si>
    <t>Post-vesting balance</t>
  </si>
  <si>
    <t>User Interface</t>
  </si>
  <si>
    <t>TaxPools</t>
  </si>
  <si>
    <t>Deferred Revenue Expenditure capital allowance rate</t>
  </si>
  <si>
    <t>Capital allowances and tax losses</t>
  </si>
  <si>
    <t>Tax policy</t>
  </si>
  <si>
    <t>TIM</t>
  </si>
  <si>
    <t>Slow pot</t>
  </si>
  <si>
    <t>Post-TIM totex allowance</t>
  </si>
  <si>
    <t>RAV additions (after disposals)</t>
  </si>
  <si>
    <t>Direct allowed revenue terms (DARTs)</t>
  </si>
  <si>
    <t>TIM and capitalisation</t>
  </si>
  <si>
    <t>Finance</t>
  </si>
  <si>
    <t>Core DARTs</t>
  </si>
  <si>
    <t>Non-core DARTs</t>
  </si>
  <si>
    <t>DARTs</t>
  </si>
  <si>
    <t>DART groups</t>
  </si>
  <si>
    <t>Direct Allowance Revenue Terms</t>
  </si>
  <si>
    <t xml:space="preserve">Direct Allowed Revenue Terms (DARTs) </t>
  </si>
  <si>
    <t>Tax Pools</t>
  </si>
  <si>
    <t>Recalculated base revenue (except tax allowance)</t>
  </si>
  <si>
    <t>Add Recalculated base revenue (except tax allowance)</t>
  </si>
  <si>
    <t>Direct Allowed Revenue Terms (DARTs)</t>
  </si>
  <si>
    <t>Cumulative net additions</t>
  </si>
  <si>
    <t>Opening post-vesting RAV cost contribution</t>
  </si>
  <si>
    <t>Opening post-vesting RAV accumulated depreciation contribution</t>
  </si>
  <si>
    <t>RIIO opening value</t>
  </si>
  <si>
    <t>Present value of closing RAV</t>
  </si>
  <si>
    <t>NPV-neutral RAV return base</t>
  </si>
  <si>
    <t>PCFM year ending</t>
  </si>
  <si>
    <t>RAV differential depreciation of additions from year ending</t>
  </si>
  <si>
    <t>Depreciation allowed on additions from year ending</t>
  </si>
  <si>
    <t>Calculated for MOD year ending</t>
  </si>
  <si>
    <t>Price base</t>
  </si>
  <si>
    <t>year ending</t>
  </si>
  <si>
    <t>Opening RAV (before transfers)</t>
  </si>
  <si>
    <t>Opening RAV (after transfers)</t>
  </si>
  <si>
    <t>Regulatory Depreciation</t>
  </si>
  <si>
    <t>Tax Trigger</t>
  </si>
  <si>
    <t>Live Results</t>
  </si>
  <si>
    <t>Saved Results</t>
  </si>
  <si>
    <t>Totex Incentive Mechanism (TIM)</t>
  </si>
  <si>
    <t>Company number</t>
  </si>
  <si>
    <t>Year number</t>
  </si>
  <si>
    <t>Total net debt</t>
  </si>
  <si>
    <t>Opening total net debt (before equity issuance)</t>
  </si>
  <si>
    <t>Opening total net debt (after equity issuance)</t>
  </si>
  <si>
    <t>nominal annual %</t>
  </si>
  <si>
    <t>Closing value</t>
  </si>
  <si>
    <t>Index-linked debt as a percentage of net debt</t>
  </si>
  <si>
    <t>Net DART impact on core tax calculation</t>
  </si>
  <si>
    <t>Net impact of DARTs on core net debt</t>
  </si>
  <si>
    <t>Opening balance brought forward (before equity issuance and transfers)</t>
  </si>
  <si>
    <t>Opening balance brought forward (after equity issuance, before transfers)</t>
  </si>
  <si>
    <t>Opening balance brought forward (after equity issuance and transfers)</t>
  </si>
  <si>
    <t>Overall gearing at start of year (before equity issuance)</t>
  </si>
  <si>
    <t>Total opening regulatory assets (after transfers)</t>
  </si>
  <si>
    <t>Overall gearing at start of year (after equity issuance)</t>
  </si>
  <si>
    <t>Equity issuance cost as percentage of new equity</t>
  </si>
  <si>
    <t>Assumed equity portion of RAV</t>
  </si>
  <si>
    <t>Assumed dividends as percentage of notional equity portion of RAV</t>
  </si>
  <si>
    <t>Less revenue tax pool additions</t>
  </si>
  <si>
    <t>"Grossing-up" factor for tax on tax charge after losses</t>
  </si>
  <si>
    <t>Regearing</t>
  </si>
  <si>
    <r>
      <rPr>
        <u/>
        <sz val="10"/>
        <rFont val="Gill Sans MT"/>
        <family val="2"/>
      </rPr>
      <t>Note:</t>
    </r>
    <r>
      <rPr>
        <sz val="10"/>
        <rFont val="Gill Sans MT"/>
        <family val="2"/>
      </rPr>
      <t xml:space="preserve"> If opening overall gearing exceeds its target level beyond a given threshold, an equity issuance is triggered, bringing opening gearing back to its target level. An allowance is calculated for the cost of raising this equity.</t>
    </r>
  </si>
  <si>
    <r>
      <rPr>
        <u/>
        <sz val="10"/>
        <rFont val="Gill Sans MT"/>
        <family val="2"/>
      </rPr>
      <t>Note:</t>
    </r>
    <r>
      <rPr>
        <sz val="10"/>
        <rFont val="Gill Sans MT"/>
        <family val="2"/>
      </rPr>
      <t xml:space="preserve"> The nominal cost of debt is calculated and adjusted for any portion indexed for inflation.</t>
    </r>
  </si>
  <si>
    <r>
      <rPr>
        <u/>
        <sz val="10"/>
        <rFont val="Gill Sans MT"/>
        <family val="2"/>
      </rPr>
      <t>Note:</t>
    </r>
    <r>
      <rPr>
        <sz val="10"/>
        <rFont val="Gill Sans MT"/>
        <family val="2"/>
      </rPr>
      <t xml:space="preserve"> The tax charge is calculated before tax on tax. Tax on tax is added after losses are taken into account.</t>
    </r>
  </si>
  <si>
    <t>Overall opening gearing</t>
  </si>
  <si>
    <t>Forecast actual load related capex</t>
  </si>
  <si>
    <t>Forecast actual non-load related capex - other</t>
  </si>
  <si>
    <t>Forecast actual controllable opex</t>
  </si>
  <si>
    <r>
      <rPr>
        <u/>
        <sz val="10"/>
        <rFont val="Gill Sans MT"/>
        <family val="2"/>
      </rPr>
      <t>Note:</t>
    </r>
    <r>
      <rPr>
        <sz val="10"/>
        <rFont val="Gill Sans MT"/>
        <family val="2"/>
      </rPr>
      <t xml:space="preserve"> Actuals are exported both to identify performance against the allowance and to generate writing down allowances used in the tax calculation.</t>
    </r>
  </si>
  <si>
    <t>Source of actuals</t>
  </si>
  <si>
    <t>Input actuals used</t>
  </si>
  <si>
    <t>Forecast actuals generated from allowances</t>
  </si>
  <si>
    <r>
      <rPr>
        <u/>
        <sz val="10"/>
        <rFont val="Gill Sans MT"/>
        <family val="2"/>
      </rPr>
      <t>Note:</t>
    </r>
    <r>
      <rPr>
        <sz val="10"/>
        <rFont val="Gill Sans MT"/>
        <family val="2"/>
      </rPr>
      <t xml:space="preserve"> These values are set at final proposals and are not updated during the price control</t>
    </r>
  </si>
  <si>
    <t>When required in the model, forecasts assume that actuals are equal to their corresponding allowance.</t>
  </si>
  <si>
    <t>Gas distribution regulatory depreciation</t>
  </si>
  <si>
    <t>Threshold value adjustment</t>
  </si>
  <si>
    <t>Tax trigger parameters</t>
  </si>
  <si>
    <t>Tax trigger tax settings are used</t>
  </si>
  <si>
    <t>Result and output</t>
  </si>
  <si>
    <t>Tax trigger adjustment</t>
  </si>
  <si>
    <t>Active policy</t>
  </si>
  <si>
    <t>State options</t>
  </si>
  <si>
    <t>State selection</t>
  </si>
  <si>
    <t>Test operation</t>
  </si>
  <si>
    <t>Instruction</t>
  </si>
  <si>
    <t>Licence Model</t>
  </si>
  <si>
    <t>Year t selection:</t>
  </si>
  <si>
    <t>Year t selected:</t>
  </si>
  <si>
    <t>Company selection:</t>
  </si>
  <si>
    <t>Selected company:</t>
  </si>
  <si>
    <t>Selected model status:</t>
  </si>
  <si>
    <t>Final Proposals allowances</t>
  </si>
  <si>
    <t>Recorded recalculated base revenue</t>
  </si>
  <si>
    <t>Corporation tax charge after losses</t>
  </si>
  <si>
    <t>Run macro</t>
  </si>
  <si>
    <t>Links to saved results</t>
  </si>
  <si>
    <t>The "LiveResults" sheet recalls values generated in earlier iterations (Final Proposals allowances and recalculated base revenue) from this sheet.</t>
  </si>
  <si>
    <t>Saved results</t>
  </si>
  <si>
    <t>Live results</t>
  </si>
  <si>
    <r>
      <rPr>
        <u/>
        <sz val="10"/>
        <rFont val="Gill Sans MT"/>
        <family val="2"/>
      </rPr>
      <t>Note:</t>
    </r>
    <r>
      <rPr>
        <sz val="10"/>
        <rFont val="Gill Sans MT"/>
        <family val="2"/>
      </rPr>
      <t xml:space="preserve"> This sheet displays the output of the PCFM for the live company in the selected year.</t>
    </r>
  </si>
  <si>
    <t>As well as displaying output it performs the role of recalling results generated with data at earlier stages from the "SavedResults" sheet required for the MOD calculation.</t>
  </si>
  <si>
    <t>Offset settings</t>
  </si>
  <si>
    <t>Number of rows per company on "SavedResults"</t>
  </si>
  <si>
    <r>
      <rPr>
        <u/>
        <sz val="10"/>
        <rFont val="Gill Sans MT"/>
        <family val="2"/>
      </rPr>
      <t>Note:</t>
    </r>
    <r>
      <rPr>
        <sz val="10"/>
        <rFont val="Gill Sans MT"/>
        <family val="2"/>
      </rPr>
      <t xml:space="preserve"> This sheet uses Offset functions to recall saved data for the live company on the "SavedResults" sheet, and to place recalculated base revenue values into a row where the year of calculation can be identified.</t>
    </r>
  </si>
  <si>
    <t>Totex allowance and actuals</t>
  </si>
  <si>
    <t>Totex Incentive Mechanism and capitalisation</t>
  </si>
  <si>
    <t>Tax pools and capital allowances</t>
  </si>
  <si>
    <t>Revenue and MOD</t>
  </si>
  <si>
    <t>Results for selected company</t>
  </si>
  <si>
    <t>Saved results for all companies</t>
  </si>
  <si>
    <t>TaxTrigger</t>
  </si>
  <si>
    <t>PCFM year t</t>
  </si>
  <si>
    <t>Model state</t>
  </si>
  <si>
    <r>
      <rPr>
        <u/>
        <sz val="10"/>
        <rFont val="Gill Sans MT"/>
        <family val="2"/>
      </rPr>
      <t>Instruction:</t>
    </r>
    <r>
      <rPr>
        <sz val="10"/>
        <rFont val="Gill Sans MT"/>
        <family val="2"/>
      </rPr>
      <t xml:space="preserve"> Use the following drop-down list to select the active company in the model.</t>
    </r>
  </si>
  <si>
    <r>
      <rPr>
        <u/>
        <sz val="10"/>
        <rFont val="Gill Sans MT"/>
        <family val="2"/>
      </rPr>
      <t>Instruction:</t>
    </r>
    <r>
      <rPr>
        <sz val="10"/>
        <rFont val="Gill Sans MT"/>
        <family val="2"/>
      </rPr>
      <t xml:space="preserve"> Use the following drop-down list to identify year t in the model. Year t is identified here by its end date.</t>
    </r>
  </si>
  <si>
    <t>Active company</t>
  </si>
  <si>
    <r>
      <rPr>
        <u/>
        <sz val="10"/>
        <rFont val="Gill Sans MT"/>
        <family val="2"/>
      </rPr>
      <t>Note:</t>
    </r>
    <r>
      <rPr>
        <sz val="10"/>
        <rFont val="Gill Sans MT"/>
        <family val="2"/>
      </rPr>
      <t xml:space="preserve"> The lists below drive the drop-down lists above.</t>
    </r>
  </si>
  <si>
    <t>Using the drop-down lists above returns an integer in the "cell link" positioned below their "source list."</t>
  </si>
  <si>
    <t>The number returned in the cell link corresponds to the position of the selected item in the source list.</t>
  </si>
  <si>
    <t>The macros save results and values required for future years which cannot be recreated once inputs are revised.</t>
  </si>
  <si>
    <t>Allocation to "Non Qualifying" pool</t>
  </si>
  <si>
    <t>Allocation to "Revenue" pool</t>
  </si>
  <si>
    <t>Allocation to "Deferred Revenue" pool</t>
  </si>
  <si>
    <r>
      <rPr>
        <u/>
        <sz val="10"/>
        <rFont val="Gill Sans MT"/>
        <family val="2"/>
      </rPr>
      <t>Note:</t>
    </r>
    <r>
      <rPr>
        <sz val="10"/>
        <rFont val="Gill Sans MT"/>
        <family val="2"/>
      </rPr>
      <t xml:space="preserve"> Totex is the sum of a number of cost categories, with all totex allowances falling under one (or more) of them. They have significance in the model as each sub-category can have its own set of tax pool allocation rules.</t>
    </r>
  </si>
  <si>
    <r>
      <rPr>
        <u/>
        <sz val="10"/>
        <rFont val="Gill Sans MT"/>
        <family val="2"/>
      </rPr>
      <t>Note:</t>
    </r>
    <r>
      <rPr>
        <sz val="10"/>
        <rFont val="Gill Sans MT"/>
        <family val="2"/>
      </rPr>
      <t xml:space="preserve"> Licence conditions may allow for non-baseline allowances to be granted. These are added to the baseline to generate the allowed sub-categories and thereby the overall allowed totex.</t>
    </r>
  </si>
  <si>
    <r>
      <rPr>
        <u/>
        <sz val="10"/>
        <rFont val="Gill Sans MT"/>
        <family val="2"/>
      </rPr>
      <t>Note:</t>
    </r>
    <r>
      <rPr>
        <sz val="10"/>
        <rFont val="Gill Sans MT"/>
        <family val="2"/>
      </rPr>
      <t xml:space="preserve"> The model assumes that there is a time lag from year t until actual expenditure data becomes available for the model. After the lag, actual expenditure inputs are used. Up to that point the model generates a forecast actual expenditure.</t>
    </r>
  </si>
  <si>
    <t>In a year where actual totex is assumed to be available, values must be inputted to the model as it will not generate a forecast and the empty input cell will be read as an actual spend of zero.</t>
  </si>
  <si>
    <t>Non Base Revenue DARTs</t>
  </si>
  <si>
    <t>Base revenue DARTs</t>
  </si>
  <si>
    <t xml:space="preserve">"Post-tax" allowances can be included in the tax calculation but "Pre-tax" allowances cannot. </t>
  </si>
  <si>
    <r>
      <rPr>
        <u/>
        <sz val="10"/>
        <rFont val="Gill Sans MT"/>
        <family val="2"/>
      </rPr>
      <t>Note:</t>
    </r>
    <r>
      <rPr>
        <sz val="10"/>
        <rFont val="Gill Sans MT"/>
        <family val="2"/>
      </rPr>
      <t xml:space="preserve"> DARTs are allowances with minimal processing required in the model as they flow directly from input to revenue. </t>
    </r>
  </si>
  <si>
    <t>They do however have different indirect impacts on equity issuance and tax. They are grouped here by their treatment type to aid common treatment of DARTs through the rest of the model.</t>
  </si>
  <si>
    <r>
      <rPr>
        <u/>
        <sz val="10"/>
        <rFont val="Gill Sans MT"/>
        <family val="2"/>
      </rPr>
      <t>Note:</t>
    </r>
    <r>
      <rPr>
        <sz val="10"/>
        <rFont val="Gill Sans MT"/>
        <family val="2"/>
      </rPr>
      <t xml:space="preserve"> "Allowed totex" is exported to be used in the TIM calculation. The allowed totex sub-categories are used below to create forecast actuals for the tax calculation and the TIM calculation when actuals are not yet available.</t>
    </r>
  </si>
  <si>
    <t>Results for the selected company can be found on the "LiveResults" sheet and also on the "SavedResults" sheet once saved by a macro.</t>
  </si>
  <si>
    <r>
      <rPr>
        <u/>
        <sz val="10"/>
        <rFont val="Gill Sans MT"/>
        <family val="2"/>
      </rPr>
      <t>Note:</t>
    </r>
    <r>
      <rPr>
        <sz val="10"/>
        <rFont val="Gill Sans MT"/>
        <family val="2"/>
      </rPr>
      <t xml:space="preserve"> Actual totex is combined with other expenditure and allocated to tax pools. Each cost sub-category can have its own percentage split between each pool.</t>
    </r>
  </si>
  <si>
    <t>Tax allowance (before Tax Trigger adjustment)</t>
  </si>
  <si>
    <t>Original allowed totex (set at final proposals)</t>
  </si>
  <si>
    <t>Finance &amp; Tax</t>
  </si>
  <si>
    <t>Finance&amp;Tax</t>
  </si>
  <si>
    <t>Closing net debt (before tax and debt costs)</t>
  </si>
  <si>
    <t>Net interest received</t>
  </si>
  <si>
    <t>Forecast cost of debt</t>
  </si>
  <si>
    <t>Net interest received (interest coupon)</t>
  </si>
  <si>
    <t>Net interest received (inflation coupon)</t>
  </si>
  <si>
    <t>Less net interest paid (inflation coupon)</t>
  </si>
  <si>
    <t>Less net interest paid (interest coupon)</t>
  </si>
  <si>
    <t>Allocation to interest or inflation coupon</t>
  </si>
  <si>
    <t>Share of interest as inflation coupon</t>
  </si>
  <si>
    <t>Net debt, equity issuance, financing costs and tax</t>
  </si>
  <si>
    <r>
      <rPr>
        <u/>
        <sz val="10"/>
        <rFont val="Gill Sans MT"/>
        <family val="2"/>
      </rPr>
      <t>Note:</t>
    </r>
    <r>
      <rPr>
        <sz val="10"/>
        <rFont val="Gill Sans MT"/>
        <family val="2"/>
      </rPr>
      <t xml:space="preserve"> The inflation coupon from index linked debt is identified separately from other interest costs.</t>
    </r>
  </si>
  <si>
    <r>
      <t>Note:</t>
    </r>
    <r>
      <rPr>
        <sz val="10"/>
        <rFont val="Gill Sans MT"/>
        <family val="2"/>
      </rPr>
      <t xml:space="preserve"> Net debt is calculated to generate interest paid (for the tax calculation) and gearing levels (for equity issuance calculations).</t>
    </r>
  </si>
  <si>
    <t>Inflation coupon on index linked debt</t>
  </si>
  <si>
    <r>
      <rPr>
        <u/>
        <sz val="10"/>
        <rFont val="Gill Sans MT"/>
        <family val="2"/>
      </rPr>
      <t>Note:</t>
    </r>
    <r>
      <rPr>
        <sz val="10"/>
        <rFont val="Gill Sans MT"/>
        <family val="2"/>
      </rPr>
      <t xml:space="preserve"> A "grossing-up factor" based on the infinite geometric progression of being taxed on tax is used to move the tax allowance from a post-tax to a pre-tax basis. This can only be applied once tax losses have been taken into account.</t>
    </r>
  </si>
  <si>
    <t>Current recalculated base revenue for years &lt; t</t>
  </si>
  <si>
    <t>Less previous recalculated base revenue for years &lt; t</t>
  </si>
  <si>
    <r>
      <rPr>
        <u/>
        <sz val="10"/>
        <rFont val="Gill Sans MT"/>
        <family val="2"/>
      </rPr>
      <t>Note:</t>
    </r>
    <r>
      <rPr>
        <sz val="10"/>
        <rFont val="Gill Sans MT"/>
        <family val="2"/>
      </rPr>
      <t xml:space="preserve"> New changes to recalculated base revenue in earlier years are identified as "recalculated base revenue deltas" to be brought forward.</t>
    </r>
  </si>
  <si>
    <r>
      <rPr>
        <u/>
        <sz val="10"/>
        <rFont val="Gill Sans MT"/>
        <family val="2"/>
      </rPr>
      <t>Note:</t>
    </r>
    <r>
      <rPr>
        <sz val="10"/>
        <rFont val="Gill Sans MT"/>
        <family val="2"/>
      </rPr>
      <t xml:space="preserve"> Recalculated base revenue deltas are brought forward using the WACC-based carrying factor to provide "catch-up" for year t.</t>
    </r>
  </si>
  <si>
    <t>Base Revenue for year t</t>
  </si>
  <si>
    <r>
      <rPr>
        <u/>
        <sz val="10"/>
        <rFont val="Gill Sans MT"/>
        <family val="2"/>
      </rPr>
      <t>Note:</t>
    </r>
    <r>
      <rPr>
        <sz val="10"/>
        <rFont val="Gill Sans MT"/>
        <family val="2"/>
      </rPr>
      <t xml:space="preserve"> Base Revenue is only calculated for one year t at a time in the model.</t>
    </r>
  </si>
  <si>
    <t>The previous recalculated base revenue value is recalled via functionality on the "LiveResults" sheet saving information to and recalling it from the "SavedResults" sheet.</t>
  </si>
  <si>
    <r>
      <rPr>
        <u/>
        <sz val="10"/>
        <rFont val="Gill Sans MT"/>
        <family val="2"/>
      </rPr>
      <t>Note:</t>
    </r>
    <r>
      <rPr>
        <sz val="10"/>
        <rFont val="Gill Sans MT"/>
        <family val="2"/>
      </rPr>
      <t xml:space="preserve"> MOD is identified as the difference between Base Revenue and its opening value calculated at Final Proposals.</t>
    </r>
  </si>
  <si>
    <r>
      <rPr>
        <u/>
        <sz val="10"/>
        <rFont val="Gill Sans MT"/>
        <family val="2"/>
      </rPr>
      <t>Note:</t>
    </r>
    <r>
      <rPr>
        <sz val="10"/>
        <rFont val="Gill Sans MT"/>
        <family val="2"/>
      </rPr>
      <t xml:space="preserve"> Non-Core DARTs are added to Base Revenue to give Total Revenue. Non-Core DARTs are not included in the MOD calculation and therefore revisions to their values in earlier years must be processed as true-ups to year t.</t>
    </r>
  </si>
  <si>
    <r>
      <rPr>
        <u/>
        <sz val="10"/>
        <rFont val="Gill Sans MT"/>
        <family val="2"/>
      </rPr>
      <t>Note:</t>
    </r>
    <r>
      <rPr>
        <sz val="10"/>
        <rFont val="Gill Sans MT"/>
        <family val="2"/>
      </rPr>
      <t xml:space="preserve"> "Catch-up" calculates the revenue adjustment required to compensate for the impact of new information on previous year allowances.</t>
    </r>
  </si>
  <si>
    <r>
      <rPr>
        <u/>
        <sz val="10"/>
        <rFont val="Gill Sans MT"/>
        <family val="2"/>
      </rPr>
      <t>Note:</t>
    </r>
    <r>
      <rPr>
        <sz val="10"/>
        <rFont val="Gill Sans MT"/>
        <family val="2"/>
      </rPr>
      <t xml:space="preserve"> "Recalculated base revenue" calculates the Base Revenue that would have been allowed if the current inputs were known at Final Proposals.</t>
    </r>
  </si>
  <si>
    <t>Its values feed into the MOD calculation below and are saved via functionality on the "LiveResults" sheet so it can be recalled in the MOD calculation in the following year.</t>
  </si>
  <si>
    <r>
      <rPr>
        <u/>
        <sz val="10"/>
        <rFont val="Gill Sans MT"/>
        <family val="2"/>
      </rPr>
      <t>Note:</t>
    </r>
    <r>
      <rPr>
        <sz val="10"/>
        <rFont val="Gill Sans MT"/>
        <family val="2"/>
      </rPr>
      <t xml:space="preserve"> The "Return base" is calculated such that the net present value of the stream of depreciation and return flowing from a RAV addition is equal to the present value of the addition itself.</t>
    </r>
  </si>
  <si>
    <r>
      <rPr>
        <u/>
        <sz val="10"/>
        <rFont val="Gill Sans MT"/>
        <family val="2"/>
      </rPr>
      <t>Note:</t>
    </r>
    <r>
      <rPr>
        <sz val="10"/>
        <rFont val="Gill Sans MT"/>
        <family val="2"/>
      </rPr>
      <t xml:space="preserve"> The RAV is presented separate pre-vesting and post-vesting balances brought together to form a combined "Running total."</t>
    </r>
  </si>
  <si>
    <t>Assets with non-standard depreciation policies applied or that are transferred to the RAV during the price control are also brought into the RAV here.</t>
  </si>
  <si>
    <r>
      <rPr>
        <u/>
        <sz val="10"/>
        <rFont val="Gill Sans MT"/>
        <family val="2"/>
      </rPr>
      <t>Note:</t>
    </r>
    <r>
      <rPr>
        <sz val="10"/>
        <rFont val="Gill Sans MT"/>
        <family val="2"/>
      </rPr>
      <t xml:space="preserve"> Post-vesting RAV opening balances are generated from calculations built up since vesting. Net additions (after disposals), depreciation and removals are calculated principally on the "Depn" sheet.</t>
    </r>
  </si>
  <si>
    <r>
      <rPr>
        <u/>
        <sz val="10"/>
        <rFont val="Gill Sans MT"/>
        <family val="2"/>
      </rPr>
      <t>Instruction:</t>
    </r>
    <r>
      <rPr>
        <sz val="10"/>
        <rFont val="Gill Sans MT"/>
        <family val="2"/>
      </rPr>
      <t xml:space="preserve"> Enter values in the yellow cells below for use in the Tax Trigger test.</t>
    </r>
  </si>
  <si>
    <r>
      <rPr>
        <u/>
        <sz val="10"/>
        <rFont val="Gill Sans MT"/>
        <family val="2"/>
      </rPr>
      <t>Note:</t>
    </r>
    <r>
      <rPr>
        <sz val="10"/>
        <rFont val="Gill Sans MT"/>
        <family val="2"/>
      </rPr>
      <t xml:space="preserve"> Flags are used throughout to indicate whether the original or Tax Trigger value is being used. The live values below are exported for use throughout the model.</t>
    </r>
  </si>
  <si>
    <r>
      <rPr>
        <u/>
        <sz val="10"/>
        <rFont val="Gill Sans MT"/>
        <family val="2"/>
      </rPr>
      <t>Note:</t>
    </r>
    <r>
      <rPr>
        <sz val="10"/>
        <rFont val="Gill Sans MT"/>
        <family val="2"/>
      </rPr>
      <t xml:space="preserve"> Once the test is complete, the "Tax Trigger adjustment" below can be taken from below and inputted to the PCFM set to run as the Licence Model, rather than the Tax Trigger Tool.</t>
    </r>
  </si>
  <si>
    <t>Clicking the macro button below runs the "TaxTrigger" macro, performing the Tax Trigger adjustment calculation for the selected licensee for year t.</t>
  </si>
  <si>
    <t>Adjacent named range: m_tax_trigger_state</t>
  </si>
  <si>
    <t>Adjacent named range: m_calculated_tax</t>
  </si>
  <si>
    <t>The output generated by the macro can be replicated manually using the following steps:</t>
  </si>
  <si>
    <t>Test state output</t>
  </si>
  <si>
    <t>3. Copy the cells marked as the "m_calculated_tax" named range and paste them at the named range "m_saved_original_test."</t>
  </si>
  <si>
    <r>
      <rPr>
        <u/>
        <sz val="10"/>
        <rFont val="Gill Sans MT"/>
        <family val="2"/>
      </rPr>
      <t>Note:</t>
    </r>
    <r>
      <rPr>
        <sz val="10"/>
        <rFont val="Gill Sans MT"/>
        <family val="2"/>
      </rPr>
      <t xml:space="preserve"> The Tax Trigger Tool is disabled if the "Model state" below reads "Licence Model."</t>
    </r>
  </si>
  <si>
    <t>Net RAV additions (after disposals)</t>
  </si>
  <si>
    <t>Pre-RIIO net RAV additions (after disposals)</t>
  </si>
  <si>
    <t>The company selection output is set as a "named range." This gives a stable anchor point for the "RunForAll" macro to change the company.</t>
  </si>
  <si>
    <t>Adjacent named range: m_live_results</t>
  </si>
  <si>
    <r>
      <rPr>
        <u/>
        <sz val="10"/>
        <rFont val="Gill Sans MT"/>
        <family val="2"/>
      </rPr>
      <t>Note:</t>
    </r>
    <r>
      <rPr>
        <sz val="10"/>
        <rFont val="Gill Sans MT"/>
        <family val="2"/>
      </rPr>
      <t xml:space="preserve"> The "Run_for_one" and "RunForAll" macros save output on the "LiveResults" sheet to points on this sheet designated by named ranges. The hyperlinks below lead to the saved output for each company.</t>
    </r>
  </si>
  <si>
    <t>For "LiveResults" to recall data correctly, there must be an equal number of rows between each named ranges marking the start of each company's section. There must also be sufficient rows to hold the output generated on the "LiveResults" sheet.</t>
  </si>
  <si>
    <r>
      <rPr>
        <u/>
        <sz val="10"/>
        <rFont val="Gill Sans MT"/>
        <family val="2"/>
      </rPr>
      <t>Note:</t>
    </r>
    <r>
      <rPr>
        <sz val="10"/>
        <rFont val="Gill Sans MT"/>
        <family val="2"/>
      </rPr>
      <t xml:space="preserve"> Cumulative values provide the opening values for the following year.</t>
    </r>
  </si>
  <si>
    <r>
      <rPr>
        <u/>
        <sz val="10"/>
        <rFont val="Gill Sans MT"/>
        <family val="2"/>
      </rPr>
      <t>Note:</t>
    </r>
    <r>
      <rPr>
        <sz val="10"/>
        <rFont val="Gill Sans MT"/>
        <family val="2"/>
      </rPr>
      <t xml:space="preserve"> Additions to RAV are combined before feeding into the depreciation calculations. Disposals are treated as negative additions. Pre-RIIO values are used to build up the post-vesting RAV from vesting.</t>
    </r>
  </si>
  <si>
    <r>
      <rPr>
        <u/>
        <sz val="10"/>
        <rFont val="Gill Sans MT"/>
        <family val="2"/>
      </rPr>
      <t>Note:</t>
    </r>
    <r>
      <rPr>
        <sz val="10"/>
        <rFont val="Gill Sans MT"/>
        <family val="2"/>
      </rPr>
      <t xml:space="preserve"> The following depreciation factor is used to depreciate the pre-vesting balance on the "Return&amp;RAV" sheet.</t>
    </r>
  </si>
  <si>
    <t>Variant allowances</t>
  </si>
  <si>
    <t>Non-variant allowed load related capex</t>
  </si>
  <si>
    <t>Non-variant allowed non-load related capex - other</t>
  </si>
  <si>
    <t>Non-variant allowed controllable opex</t>
  </si>
  <si>
    <t>Variant allowed load related capex</t>
  </si>
  <si>
    <t>Variant allowed non-load related capex - other</t>
  </si>
  <si>
    <t>Variant allowed controllable opex</t>
  </si>
  <si>
    <t>Variant</t>
  </si>
  <si>
    <t>Closing net debt (except for interest and tax)</t>
  </si>
  <si>
    <t>Average net debt (except for interest and tax)</t>
  </si>
  <si>
    <t>Notes and instructions</t>
  </si>
  <si>
    <t>Profits attributable to corporation tax (before Tax Clawback)</t>
  </si>
  <si>
    <t>Established pension deficit repair</t>
  </si>
  <si>
    <t>Base Revenue DARTs with no impact on net debt or tax</t>
  </si>
  <si>
    <t>Base Revenue DARTs impacting both net debt and tax</t>
  </si>
  <si>
    <t>Base Revenue DARTs impacting net debt but not tax</t>
  </si>
  <si>
    <t>Notional gearing</t>
  </si>
  <si>
    <r>
      <rPr>
        <u/>
        <sz val="10"/>
        <rFont val="Gill Sans MT"/>
        <family val="2"/>
      </rPr>
      <t>Note:</t>
    </r>
    <r>
      <rPr>
        <sz val="10"/>
        <rFont val="Gill Sans MT"/>
        <family val="2"/>
      </rPr>
      <t xml:space="preserve"> The company opens the price control at its notionally geared level. Any equity issuance required to reach this level is not shown.</t>
    </r>
  </si>
  <si>
    <r>
      <rPr>
        <u/>
        <sz val="10"/>
        <rFont val="Gill Sans MT"/>
        <family val="2"/>
      </rPr>
      <t>Note:</t>
    </r>
    <r>
      <rPr>
        <sz val="10"/>
        <rFont val="Gill Sans MT"/>
        <family val="2"/>
      </rPr>
      <t xml:space="preserve"> The additional income lump sum is recovered across the price control and is matched to the profile of allowed totex set at final proposals.</t>
    </r>
  </si>
  <si>
    <t>Post-vesting assets</t>
  </si>
  <si>
    <r>
      <rPr>
        <u/>
        <sz val="10"/>
        <rFont val="Gill Sans MT"/>
        <family val="2"/>
      </rPr>
      <t>Note:</t>
    </r>
    <r>
      <rPr>
        <sz val="10"/>
        <rFont val="Gill Sans MT"/>
        <family val="2"/>
      </rPr>
      <t xml:space="preserve"> Unlike interest, dividends are based on notional rather than modelled gearing levels.</t>
    </r>
  </si>
  <si>
    <t>Less equity issuance costs</t>
  </si>
  <si>
    <t>Adjacent named range: m_identity</t>
  </si>
  <si>
    <t>Incentive strength</t>
  </si>
  <si>
    <t>PCFM Variable Values Table</t>
  </si>
  <si>
    <t>Minimum equity issuance threshold</t>
  </si>
  <si>
    <t>Share of additional income allowed in year</t>
  </si>
  <si>
    <t>Weight of Ofgem's view on price control totex</t>
  </si>
  <si>
    <t>Weight of operator's view on price control totex</t>
  </si>
  <si>
    <t>Totex applied</t>
  </si>
  <si>
    <t>Non-variant allowances</t>
  </si>
  <si>
    <t>Slow pot expenditure</t>
  </si>
  <si>
    <t>Pre-RIIO transfers to depreciation</t>
  </si>
  <si>
    <t>Net depreciation additions (after disposals)</t>
  </si>
  <si>
    <t>Note:</t>
  </si>
  <si>
    <t>Allocation check</t>
  </si>
  <si>
    <r>
      <rPr>
        <u/>
        <sz val="10"/>
        <rFont val="Gill Sans MT"/>
        <family val="2"/>
      </rPr>
      <t>Note:</t>
    </r>
    <r>
      <rPr>
        <sz val="10"/>
        <rFont val="Gill Sans MT"/>
        <family val="2"/>
      </rPr>
      <t xml:space="preserve"> All categories should equal 100%</t>
    </r>
  </si>
  <si>
    <t>Discounted closing RAV</t>
  </si>
  <si>
    <t>Regulated equity</t>
  </si>
  <si>
    <r>
      <rPr>
        <u/>
        <sz val="10"/>
        <rFont val="Gill Sans MT"/>
        <family val="2"/>
      </rPr>
      <t>Note:</t>
    </r>
    <r>
      <rPr>
        <sz val="10"/>
        <rFont val="Gill Sans MT"/>
        <family val="2"/>
      </rPr>
      <t xml:space="preserve"> An allowance is given to cover the change in notional gearing from its level in the previous price control. </t>
    </r>
  </si>
  <si>
    <t>Special Rates capital allowance rate</t>
  </si>
  <si>
    <t>Allocation to "Special Rate" pool</t>
  </si>
  <si>
    <t>Special Rate pool</t>
  </si>
  <si>
    <t>Special Rate pool additions</t>
  </si>
  <si>
    <t>Special Rates pool</t>
  </si>
  <si>
    <t>Special Rate capital allowance opening balance brought forward</t>
  </si>
  <si>
    <t>General pool capital allowance rate</t>
  </si>
  <si>
    <t>General pool capital allowance opening balance brought forward</t>
  </si>
  <si>
    <t>Allocation to "General" pool</t>
  </si>
  <si>
    <t>General pool additions</t>
  </si>
  <si>
    <t>Note: Special, General and deferred revenue capital allowances are calculated for the tax allowance calculation.</t>
  </si>
  <si>
    <t>Net adjustments</t>
  </si>
  <si>
    <t>Average RAV</t>
  </si>
  <si>
    <t>Gearing</t>
  </si>
  <si>
    <t>Regulated debt return</t>
  </si>
  <si>
    <t>Opening asset value (before transfers)</t>
  </si>
  <si>
    <t>Opening asset value (after transfers)</t>
  </si>
  <si>
    <t>INPUT SELECTION &gt;</t>
  </si>
  <si>
    <t>Information and interface</t>
  </si>
  <si>
    <t>COMPANY SPECIFIC INPUT SHEETS &gt;</t>
  </si>
  <si>
    <t>Deferred revenue expenditure capital allowance (straight line)</t>
  </si>
  <si>
    <t>Special Rates capital allowance (reducing balance)</t>
  </si>
  <si>
    <t>General pool capital allowance (reducing balance)</t>
  </si>
  <si>
    <t>Forecast group totex</t>
  </si>
  <si>
    <t>Percentage of group totex at licensee level</t>
  </si>
  <si>
    <t>Ofgem view of group price control totex</t>
  </si>
  <si>
    <t>Forecast licensee totex</t>
  </si>
  <si>
    <t>Final proposals base revenue</t>
  </si>
  <si>
    <t>Recorded MOD</t>
  </si>
  <si>
    <t>For transmission only, where the Pre-RIIO closing gearing is higher than the notional opening gear the notional gearing at the start of RIIO will be uplifted to reflect this difference.</t>
  </si>
  <si>
    <t>In-year taxable loss</t>
  </si>
  <si>
    <t>Taxable losses brought forward</t>
  </si>
  <si>
    <t>Profits attributable to corporation tax (after taxable losses)</t>
  </si>
  <si>
    <r>
      <rPr>
        <u/>
        <sz val="10"/>
        <rFont val="Gill Sans MT"/>
        <family val="2"/>
      </rPr>
      <t>Note:</t>
    </r>
    <r>
      <rPr>
        <sz val="10"/>
        <rFont val="Gill Sans MT"/>
        <family val="2"/>
      </rPr>
      <t xml:space="preserve"> Opening values are based on real opening RAV inflated by the previous years prices.</t>
    </r>
  </si>
  <si>
    <t>Date</t>
  </si>
  <si>
    <t>Inputs to RoRE</t>
  </si>
  <si>
    <t>The WACC-based time value of money factor applies the WACC for the appropriate number of years delay between the new delta and recovery in year t MOD. Be aware that the calculation of this value uses an offset function.</t>
  </si>
  <si>
    <t>WACC-based time value of money factor</t>
  </si>
  <si>
    <t>Allocation to load related capex</t>
  </si>
  <si>
    <t>Allocation to non-load related capex - other</t>
  </si>
  <si>
    <t>Allocation to controllable opex</t>
  </si>
  <si>
    <t>1. Clear any values from previous tests in the "Test state output" section below (named range "m_saved_original_results")</t>
  </si>
  <si>
    <t>2. Set testing state to "Licence Model"</t>
  </si>
  <si>
    <t>4. Set testing state to "Tax Trigger Calculation"</t>
  </si>
  <si>
    <t>Tax Trigger Calculation</t>
  </si>
  <si>
    <t>Value with new settings and threshold adjustment</t>
  </si>
  <si>
    <t>Threshold value applied</t>
  </si>
  <si>
    <r>
      <rPr>
        <u/>
        <sz val="10"/>
        <rFont val="Gill Sans MT"/>
        <family val="2"/>
      </rPr>
      <t>Note:</t>
    </r>
    <r>
      <rPr>
        <sz val="10"/>
        <rFont val="Gill Sans MT"/>
        <family val="2"/>
      </rPr>
      <t xml:space="preserve"> The formula determines whether the recalculated tax is above or below the threshold and sets the adjustment accordingly</t>
    </r>
  </si>
  <si>
    <t>Named ranges above: m_saved_original_test</t>
  </si>
  <si>
    <t>B event value</t>
  </si>
  <si>
    <t>MOD from previous years is recalled via functionality on the "LiveResults" sheet saving information to and recalling it from the "SavedResults" sheet.</t>
  </si>
  <si>
    <t>Final Proposals base revenue</t>
  </si>
  <si>
    <t>Depn</t>
  </si>
  <si>
    <t>Funding Adjustment Rate (often referred to as 'sharing factor')</t>
  </si>
  <si>
    <t>Separate capitalisation</t>
  </si>
  <si>
    <t>RIIO post-vesting RAV additions</t>
  </si>
  <si>
    <t>RIIO post-vesting RAV disposals</t>
  </si>
  <si>
    <t>Licence condition</t>
  </si>
  <si>
    <t>Term</t>
  </si>
  <si>
    <t>ALC</t>
  </si>
  <si>
    <t>TGIE</t>
  </si>
  <si>
    <t>TTE</t>
  </si>
  <si>
    <t>IRM</t>
  </si>
  <si>
    <t>Cost of Debt Inflation</t>
  </si>
  <si>
    <t>Forecast Debt inflation</t>
  </si>
  <si>
    <t>Adjacent named range: m_PCFM_year_t</t>
  </si>
  <si>
    <t>"Passthrough-style" allowances are treated as an equal revenue and cost. Therefore they have no net cash flow impact. "Revenue" allowances are just set as a revenue amount with any costs relating to them are dealt with elsewhere.</t>
  </si>
  <si>
    <r>
      <rPr>
        <u/>
        <sz val="10"/>
        <rFont val="Gill Sans MT"/>
        <family val="2"/>
      </rPr>
      <t>Note:</t>
    </r>
    <r>
      <rPr>
        <sz val="10"/>
        <rFont val="Gill Sans MT"/>
        <family val="2"/>
      </rPr>
      <t xml:space="preserve"> If equity issuance is negative, then equity issuance costs are set to zero</t>
    </r>
  </si>
  <si>
    <t>A sub-total is taken before tax and interest on in-year cash flow. This allows the calculation of interest on in-year cash flow to be solved analytically.</t>
  </si>
  <si>
    <t>RPI assumption for interest costs</t>
  </si>
  <si>
    <t>Less Final Proposals base revenue for year t</t>
  </si>
  <si>
    <t>Total revenue (Base Revenue Plus net Darts)</t>
  </si>
  <si>
    <t>Tax Trigger Deadbands</t>
  </si>
  <si>
    <t>Tax Trigger Deadband</t>
  </si>
  <si>
    <t>ENWL</t>
  </si>
  <si>
    <t>NPgN</t>
  </si>
  <si>
    <t>NPgY</t>
  </si>
  <si>
    <t>WMID</t>
  </si>
  <si>
    <t>EMID</t>
  </si>
  <si>
    <t>SWALES</t>
  </si>
  <si>
    <t>SWEST</t>
  </si>
  <si>
    <t>LPN</t>
  </si>
  <si>
    <t>SPN</t>
  </si>
  <si>
    <t>EPN</t>
  </si>
  <si>
    <t>SPD</t>
  </si>
  <si>
    <t>SPMW</t>
  </si>
  <si>
    <t>SSEH</t>
  </si>
  <si>
    <t>SSES</t>
  </si>
  <si>
    <r>
      <rPr>
        <u/>
        <sz val="10"/>
        <rFont val="Gill Sans MT"/>
        <family val="2"/>
      </rPr>
      <t>Note:</t>
    </r>
    <r>
      <rPr>
        <sz val="10"/>
        <rFont val="Gill Sans MT"/>
        <family val="2"/>
      </rPr>
      <t xml:space="preserve"> Before vesting assets are fully depreciated, regulatory depreciation is just non-accelerated depreciation. Afterwards it is accelerated depreciation plus any smoothed RAV differential value available.</t>
    </r>
  </si>
  <si>
    <t>Year ending</t>
  </si>
  <si>
    <t>Pre-RIIO transfer to depreciation</t>
  </si>
  <si>
    <t>Smoothing profile for recovery of RAV differential</t>
  </si>
  <si>
    <t>Smoothing period</t>
  </si>
  <si>
    <r>
      <rPr>
        <u/>
        <sz val="10"/>
        <rFont val="Gill Sans MT"/>
        <family val="2"/>
      </rPr>
      <t>Note:</t>
    </r>
    <r>
      <rPr>
        <sz val="10"/>
        <rFont val="Gill Sans MT"/>
        <family val="2"/>
      </rPr>
      <t xml:space="preserve"> The RAV differential accumulated from the accelerated and non-accelerated schedules above is released once pre-vesting assets are fully depreciated over an input smoothing profile.</t>
    </r>
  </si>
  <si>
    <t>Non-accelerated depreciation of additions from year ending</t>
  </si>
  <si>
    <t>Non-accelerated post-vesting depreciation applied</t>
  </si>
  <si>
    <t>Non-accelerated post-vesting asset life</t>
  </si>
  <si>
    <r>
      <rPr>
        <u/>
        <sz val="10"/>
        <rFont val="Gill Sans MT"/>
        <family val="2"/>
      </rPr>
      <t>Note:</t>
    </r>
    <r>
      <rPr>
        <sz val="10"/>
        <rFont val="Gill Sans MT"/>
        <family val="2"/>
      </rPr>
      <t xml:space="preserve"> Non-accelerated depreciation calculations are used to establish the "RAV differential" accumulated as the difference between non-accelerated and accelerated depreciation before full depreciation of vesting assets.</t>
    </r>
  </si>
  <si>
    <t>Non-accelerated post-vesting depreciation</t>
  </si>
  <si>
    <t>Accelerated depreciation of additions from year ending</t>
  </si>
  <si>
    <t>Accelerated post-vesting depreciation applied</t>
  </si>
  <si>
    <r>
      <rPr>
        <u/>
        <sz val="10"/>
        <rFont val="Gill Sans MT"/>
        <family val="2"/>
      </rPr>
      <t>Note:</t>
    </r>
    <r>
      <rPr>
        <sz val="10"/>
        <rFont val="Gill Sans MT"/>
        <family val="2"/>
      </rPr>
      <t xml:space="preserve"> Accelerated depreciation calculations provide the allowed depreciation after full depreciation of pre-vesting assets, but are also used to establish the "RAV differential" generated before that point.</t>
    </r>
  </si>
  <si>
    <t>Accelerated post-vesting depreciation</t>
  </si>
  <si>
    <t>Vesting year</t>
  </si>
  <si>
    <t>Logged-up and security costs are retrospectively added to RAV to provide the updated opening RAV and align depreciation with expenditure.</t>
  </si>
  <si>
    <t>Accelerated post-vesting asset life</t>
  </si>
  <si>
    <t>Smoothing period following full depreciation of pre-vesting assets</t>
  </si>
  <si>
    <t>Less post-vesting disposal proceeds</t>
  </si>
  <si>
    <t>ED</t>
  </si>
  <si>
    <t>Actual non-load related capex - asset replacement</t>
  </si>
  <si>
    <t>Non-variant allowed non-load related capex - asset replacement</t>
  </si>
  <si>
    <t>Allocation to non-load related capex - asset replacement</t>
  </si>
  <si>
    <t>Variant allowed non-load related capex - asset replacement</t>
  </si>
  <si>
    <t>Non-load related capex - asset replacement</t>
  </si>
  <si>
    <t>Allowed non-load related capex - asset replacement</t>
  </si>
  <si>
    <t>Forecast actual non-load related capex - asset replacement</t>
  </si>
  <si>
    <t>Totex excluding 'non-load related capex - other'</t>
  </si>
  <si>
    <t>Pre vesting asset depn in first year (mths)</t>
  </si>
  <si>
    <t>months</t>
  </si>
  <si>
    <t>Metering Write Off</t>
  </si>
  <si>
    <t>Amount</t>
  </si>
  <si>
    <t>Indexation</t>
  </si>
  <si>
    <t>Metering Write off</t>
  </si>
  <si>
    <t>ENW</t>
  </si>
  <si>
    <t>SP Dist</t>
  </si>
  <si>
    <t>SP Manweb</t>
  </si>
  <si>
    <t>SSE Hydro</t>
  </si>
  <si>
    <t>SSE Southern</t>
  </si>
  <si>
    <t>Checks to make sure depreciation does not exceed limit</t>
  </si>
  <si>
    <t>Addition</t>
  </si>
  <si>
    <t>Exceeds? (1-yes, no-0)</t>
  </si>
  <si>
    <t>EDFE EPN</t>
  </si>
  <si>
    <t>EDFE SPN</t>
  </si>
  <si>
    <t>EDFE LPN</t>
  </si>
  <si>
    <t>CE YEDL</t>
  </si>
  <si>
    <t>CE NEDL</t>
  </si>
  <si>
    <t>SP Distribution</t>
  </si>
  <si>
    <t>Actual faults</t>
  </si>
  <si>
    <t>Non-variant allowed faults</t>
  </si>
  <si>
    <t>Allocation to faults</t>
  </si>
  <si>
    <t>Variant allowed faults</t>
  </si>
  <si>
    <t>Faults</t>
  </si>
  <si>
    <t>Allowed faults</t>
  </si>
  <si>
    <t>Forecast actual faults</t>
  </si>
  <si>
    <t>Less post-vesting RAV adjustment (share to net debt)</t>
  </si>
  <si>
    <t>General pool capital allowance pre-RIIO movement forecast</t>
  </si>
  <si>
    <t>General pool capital allowance pre-RIIO movement adjustment</t>
  </si>
  <si>
    <t>Special Rate  capital allowance pre-RIIO movement forecast</t>
  </si>
  <si>
    <t>Special Rate  capital allowance pre-RIIO movement adjustment</t>
  </si>
  <si>
    <t>Deferred revenue expenditure pre-RIIO movement forecast</t>
  </si>
  <si>
    <t>Deferred revenue expenditure  pre-RIIO movement adjustment</t>
  </si>
  <si>
    <t>Deferred Revenue Expenditure pre-RIIO movement adjustment</t>
  </si>
  <si>
    <t>Add net impact of DARTs on net debt</t>
  </si>
  <si>
    <t>Start of year transfers may also include net debt transferred to RAV.</t>
  </si>
  <si>
    <t>Equity issuance (if any) occurs at the start of the year and may be followed by transfers (to equalise opening gearing levels across the company).</t>
  </si>
  <si>
    <t xml:space="preserve">Start of year gearing equalisation </t>
  </si>
  <si>
    <r>
      <rPr>
        <u/>
        <sz val="10"/>
        <rFont val="Gill Sans MT"/>
        <family val="2"/>
      </rPr>
      <t>Note:</t>
    </r>
    <r>
      <rPr>
        <sz val="10"/>
        <rFont val="Gill Sans MT"/>
        <family val="2"/>
      </rPr>
      <t xml:space="preserve"> Movements in cash flow allow gearing levels to diverge within the year. Net debt transfers at the start of the year equalise levels of gearing across the company.</t>
    </r>
  </si>
  <si>
    <t>Add net DART impact on tax calculation</t>
  </si>
  <si>
    <t>Revenue from previous controls</t>
  </si>
  <si>
    <t>Legacy losses incentive</t>
  </si>
  <si>
    <t>Directly Remunerated Services</t>
  </si>
  <si>
    <t>De Minimis Activities costs</t>
  </si>
  <si>
    <t>De Minimis Activities net position</t>
  </si>
  <si>
    <t xml:space="preserve">Additional income % </t>
  </si>
  <si>
    <t>Additional income %</t>
  </si>
  <si>
    <t>Incentive Strength</t>
  </si>
  <si>
    <t>Non-totex (all catergorised as 'opex' for tax purposes)</t>
  </si>
  <si>
    <t xml:space="preserve">Non-controllable opex </t>
  </si>
  <si>
    <t>Metering services (legacy)  costs</t>
  </si>
  <si>
    <t>Metering services (legacy)  net position</t>
  </si>
  <si>
    <t>Spare costs</t>
  </si>
  <si>
    <t>Spare net position</t>
  </si>
  <si>
    <t>Metering services (legacy)  revenue</t>
  </si>
  <si>
    <t>De Minimis Activities revenue</t>
  </si>
  <si>
    <t>Spare revenue</t>
  </si>
  <si>
    <t>Out of Area Networks revenue</t>
  </si>
  <si>
    <t>Out of Area Networks costs</t>
  </si>
  <si>
    <t>Out of Area Networks net position</t>
  </si>
  <si>
    <t>Tax paid</t>
  </si>
  <si>
    <t>Add recalculated base revenue (except tax allowance), incl add. income</t>
  </si>
  <si>
    <t xml:space="preserve">Profits reduced by tax losses </t>
  </si>
  <si>
    <t>Tax Allowance when tax losses are not taken into account</t>
  </si>
  <si>
    <t>Profits attributable to corporation tax</t>
  </si>
  <si>
    <t>Corporation tax charge beforre losses</t>
  </si>
  <si>
    <t>Tax allowance without taking into account losses</t>
  </si>
  <si>
    <t>Below shows the state of the model selected in the Tax Trigger sheet</t>
  </si>
  <si>
    <r>
      <rPr>
        <u/>
        <sz val="10"/>
        <rFont val="Gill Sans MT"/>
        <family val="2"/>
      </rPr>
      <t>Instruction:</t>
    </r>
    <r>
      <rPr>
        <sz val="10"/>
        <rFont val="Gill Sans MT"/>
        <family val="2"/>
      </rPr>
      <t xml:space="preserve"> To run the model as the Tax Trigger Tool, The model state selected below should be Tax Trigger Calculation</t>
    </r>
  </si>
  <si>
    <t>Add recalculated base revenue (except tax allowance), incl add. Income</t>
  </si>
  <si>
    <t>Tax allowance (net adjustment for Tax Trigger/clawback)</t>
  </si>
  <si>
    <t>Vesting Period</t>
  </si>
  <si>
    <t>MOD Summary</t>
  </si>
  <si>
    <t>Fixed input value</t>
  </si>
  <si>
    <t>LiveResults</t>
  </si>
  <si>
    <t>Electricity Distribution</t>
  </si>
  <si>
    <t>RIIO ED1 Price Control Financial Model for the Annual Iteration Process that will take place by 30 November 2015-16</t>
  </si>
  <si>
    <t>Regulatory Tax losses</t>
  </si>
  <si>
    <t>Contributions to losses from clawback</t>
  </si>
  <si>
    <t>Adjustment to losses from tax trigger</t>
  </si>
  <si>
    <t>Additional allowance where tax trigger positive (over and above that used to offset clawback)</t>
  </si>
  <si>
    <t>Controllable Opex</t>
  </si>
  <si>
    <t>Impact net debt, No Tax Allowance given, Tax Paid on net income</t>
  </si>
  <si>
    <t>No impact on debt, No Tax Allowance given, Tax Paid on net income</t>
  </si>
  <si>
    <t>Impact net debt, Tax Allowance given (and so tax paid on income)</t>
  </si>
  <si>
    <t>No impact on net debt, No Tax Allowance given, no tax paid (as underlying assumption is costs equal income)</t>
  </si>
  <si>
    <t>Legacy Losses Incentive</t>
  </si>
  <si>
    <t>Opening</t>
  </si>
  <si>
    <t>Profiling Values</t>
  </si>
  <si>
    <t>Profiling Impact on Actual Revenues</t>
  </si>
  <si>
    <t>Closing balance</t>
  </si>
  <si>
    <t>Initial Profile Adjustment</t>
  </si>
  <si>
    <t>Time Value of Money Increment</t>
  </si>
  <si>
    <t>Time Value of Money Increment Calculations:</t>
  </si>
  <si>
    <t>Current WACC</t>
  </si>
  <si>
    <t>IOU Account</t>
  </si>
  <si>
    <t>Time Value of Money Profile Adjustment</t>
  </si>
  <si>
    <t>Time Value of Money Profile Increment</t>
  </si>
  <si>
    <t>Non-controllable opex (excluding Exit Charges)</t>
  </si>
  <si>
    <t>Non-controllable opex (Exit Charges)</t>
  </si>
  <si>
    <t>Other consented activities revenue</t>
  </si>
  <si>
    <t>Other consented activities costs</t>
  </si>
  <si>
    <t>Other consented activities net position</t>
  </si>
  <si>
    <t>DRE: Gross capex up to and including 31 March 2013</t>
  </si>
  <si>
    <t>DRE: Gross capex forecast</t>
  </si>
  <si>
    <t>DRE: Gross capex adjustment</t>
  </si>
  <si>
    <t>£m 12/13 prices</t>
  </si>
  <si>
    <r>
      <rPr>
        <u/>
        <sz val="10"/>
        <rFont val="Gill Sans MT"/>
        <family val="2"/>
      </rPr>
      <t>Note:</t>
    </r>
    <r>
      <rPr>
        <sz val="10"/>
        <rFont val="Gill Sans MT"/>
        <family val="2"/>
      </rPr>
      <t xml:space="preserve"> Totex overspend (underspend) is identified and subject to the "efficiency incentive rate." </t>
    </r>
  </si>
  <si>
    <t xml:space="preserve">Totex </t>
  </si>
  <si>
    <t xml:space="preserve">Actual totex </t>
  </si>
  <si>
    <t>Less allowed totex</t>
  </si>
  <si>
    <t>Pre-TIM totex overspend (underspend)</t>
  </si>
  <si>
    <t>Capitalised share of totex</t>
  </si>
  <si>
    <t>Totex fast pot expenditure</t>
  </si>
  <si>
    <t>Totex slow pot expenditure</t>
  </si>
  <si>
    <t>Note: Post-TIM totex are allocated into "fast" and "slow" elements based on a pre-set percentage split:</t>
  </si>
  <si>
    <t>Post-TIM totex overspend (underspend)</t>
  </si>
  <si>
    <t>Allocation to 'General' pool</t>
  </si>
  <si>
    <t>Allocation to 'Special Rate' pool</t>
  </si>
  <si>
    <t>Allocation to 'Deferred Revenue' pool</t>
  </si>
  <si>
    <t xml:space="preserve">Allocation to 'Revenue' </t>
  </si>
  <si>
    <t>Allocation to 'Non-qualifying'</t>
  </si>
  <si>
    <t>Ofgem's view of  licensee totex</t>
  </si>
  <si>
    <t>Operator's view of licensee totex</t>
  </si>
  <si>
    <t>Ofgem's view of group price control totex</t>
  </si>
  <si>
    <t xml:space="preserve">Operator's view of group price control totex </t>
  </si>
  <si>
    <t>NPV-neutral RAV return base: equity portion ie X (1-gearing)</t>
  </si>
  <si>
    <t xml:space="preserve">Grossing-up factor for tax on tax charge </t>
  </si>
  <si>
    <t xml:space="preserve">Fast pot </t>
  </si>
  <si>
    <t>Data for additional income spreading</t>
  </si>
  <si>
    <t>Input used to spread additional income</t>
  </si>
  <si>
    <t xml:space="preserve">EDE   </t>
  </si>
  <si>
    <t>Tax liability revenue allowance adjustments - gearing / debt interest costs</t>
  </si>
  <si>
    <t xml:space="preserve">Allowed percentage cost of corporate debt                                                                                                                         </t>
  </si>
  <si>
    <t>CDE  </t>
  </si>
  <si>
    <t>Allowed Expenditure - High Value Projects</t>
  </si>
  <si>
    <t>UCHVP</t>
  </si>
  <si>
    <t xml:space="preserve">Allowed Expenditure - Enhanced Physical Site Security                                                                                                   </t>
  </si>
  <si>
    <t>Allowed Expenditure - Specified Street Works</t>
  </si>
  <si>
    <t>UCSSW</t>
  </si>
  <si>
    <t>Allowed Expenditure - Load Related</t>
  </si>
  <si>
    <t xml:space="preserve">LRRC   </t>
  </si>
  <si>
    <t>VAA</t>
  </si>
  <si>
    <t xml:space="preserve">WSCC   </t>
  </si>
  <si>
    <t>Legacy general tax pool adjustment</t>
  </si>
  <si>
    <t>LTPG</t>
  </si>
  <si>
    <t>Legacy special tax pool adjustment</t>
  </si>
  <si>
    <t>LTPS</t>
  </si>
  <si>
    <t>LTPD</t>
  </si>
  <si>
    <t>LTPC</t>
  </si>
  <si>
    <t>Actual 100% ‘revenue pool’ expenditure</t>
  </si>
  <si>
    <t>Non-variant allowed 100% ‘revenue pool’ expenditure</t>
  </si>
  <si>
    <t>Allocation to 100% ‘revenue pool’ expenditure</t>
  </si>
  <si>
    <t>Variant allowed 100% ‘revenue pool’ expenditure</t>
  </si>
  <si>
    <t>100% ‘revenue pool’ expenditure</t>
  </si>
  <si>
    <t>Allowed 100% ‘revenue pool’ expenditure</t>
  </si>
  <si>
    <t>Forecast actual 100% ‘revenue pool’ expenditure</t>
  </si>
  <si>
    <t>AFE</t>
  </si>
  <si>
    <t xml:space="preserve">Other legacy adjustments' price control allowed revenue adjustment                                                                                                            </t>
  </si>
  <si>
    <t>OLREV</t>
  </si>
  <si>
    <t xml:space="preserve">Other legacy adjustments' price control RAV additions adjustment                                                                                                                  </t>
  </si>
  <si>
    <t>OLRAV</t>
  </si>
  <si>
    <t>RAV Rolling Incentive legacy adjustments' price control allowed revenue adjustment</t>
  </si>
  <si>
    <t>RIREV</t>
  </si>
  <si>
    <t>Other legacy adjustments' Revenue from previous controls</t>
  </si>
  <si>
    <t>RAV Rolling Incentive legacy adjustments' price control allowed revenue</t>
  </si>
  <si>
    <t>RIIO Financial Model</t>
  </si>
  <si>
    <t>DISCLAIMER: The purpose of this model is used to calculate Base Revenue (PU)and MOD terms in subsequent years for Licensees on the basis of Financial Handbook and Licence conditions of the relevant Network Operator</t>
  </si>
  <si>
    <t>Tree cutting</t>
  </si>
  <si>
    <t>Non-variant tree cutting</t>
  </si>
  <si>
    <t>Allocation to tree cutting</t>
  </si>
  <si>
    <t>Variant allowed tree cutting</t>
  </si>
  <si>
    <t>Actual tree cutting</t>
  </si>
  <si>
    <t>Allowed tree cutting</t>
  </si>
  <si>
    <t>Forecast actual tree cutting</t>
  </si>
  <si>
    <t>Non-variant allowed tree cutting</t>
  </si>
  <si>
    <t>RE</t>
  </si>
  <si>
    <t>£m 12/13</t>
  </si>
  <si>
    <t>ANLR</t>
  </si>
  <si>
    <t>ANLO</t>
  </si>
  <si>
    <t>TRE</t>
  </si>
  <si>
    <t>ARP</t>
  </si>
  <si>
    <t>ACO</t>
  </si>
  <si>
    <t>UCEPS</t>
  </si>
  <si>
    <t>SMAE</t>
  </si>
  <si>
    <t>Non-Load Related capex - other</t>
  </si>
  <si>
    <t>No Impact net debt, No Tax Allowance given,  No Tax Paid on net income</t>
  </si>
  <si>
    <t xml:space="preserve">Spare </t>
  </si>
  <si>
    <t>Net DRS</t>
  </si>
  <si>
    <t>Connections Sole Use funded &amp; DG (DRS 1) revenue/customer contributions</t>
  </si>
  <si>
    <t>Connections Sole Use funded &amp; DG (DRS 1) costs</t>
  </si>
  <si>
    <t>Connections Sole Use funded &amp; DG (DRS 1) net position</t>
  </si>
  <si>
    <t>Connection projects UMC (DRS 1) revenue/customer contributions</t>
  </si>
  <si>
    <t>Connection projects UMC (DRS 1) costs</t>
  </si>
  <si>
    <t>Connection projects UMC (DRS 1) net position</t>
  </si>
  <si>
    <t>Diversionary works under obligation (DRS 2) revenue</t>
  </si>
  <si>
    <t>Diversionary works under obligation (DRS 2) costs</t>
  </si>
  <si>
    <t>Diversionary works under obligation (DRS 2) net position</t>
  </si>
  <si>
    <t>Work required by any alteration premises (DRS 3) revenue</t>
  </si>
  <si>
    <t>Work required by any alteration premises (DRS 3) costs</t>
  </si>
  <si>
    <t>Work required by any alteration premises (DRS 3) net position</t>
  </si>
  <si>
    <t>Top up standby and enhanced system security (DRS 4) revenue</t>
  </si>
  <si>
    <t>Top up standby and enhanced system security (DRS 4) costs</t>
  </si>
  <si>
    <t>Top up standby and enhanced system security (DRS 4) net position</t>
  </si>
  <si>
    <t>Revenue protection services (DRS 5) revenue</t>
  </si>
  <si>
    <t>Revenue protection services (DRS 5) costs</t>
  </si>
  <si>
    <t>Revenue protection services (DRS 5) net position</t>
  </si>
  <si>
    <t>Metering services (non legacy) (DRS 6) revenue</t>
  </si>
  <si>
    <t>Metering services (non legacy) (DRS 6) costs</t>
  </si>
  <si>
    <t>Metering services (non legacy) (DRS 6) net position</t>
  </si>
  <si>
    <t>Metering services associated with the SM roll out (DRS 7) revenue</t>
  </si>
  <si>
    <t>Metering services associated with the SM roll out (DRS 7) costs</t>
  </si>
  <si>
    <t>Metering services associated with the SM roll out (DRS 7) net position</t>
  </si>
  <si>
    <t>DRS 9 revenue</t>
  </si>
  <si>
    <t>DRS 9</t>
  </si>
  <si>
    <t>£m Nominal</t>
  </si>
  <si>
    <t>NPGN</t>
  </si>
  <si>
    <t>NPGY</t>
  </si>
  <si>
    <t>Adjustment for Rebate</t>
  </si>
  <si>
    <t>Legacy Losses &amp; Adj for Rebate</t>
  </si>
  <si>
    <t>Legacy losses incentive and rebate</t>
  </si>
  <si>
    <t>Adjustment for rebate</t>
  </si>
  <si>
    <t>Allowed Expenditure - Moorside Costs (ENWL)</t>
  </si>
  <si>
    <t>Other adjustments</t>
  </si>
  <si>
    <t>Revenue adjustment from previous price controls and other adjustments</t>
  </si>
  <si>
    <t>Forecast RPI (Financial Year, Simple Average)</t>
  </si>
  <si>
    <t xml:space="preserve">CRC 3C </t>
  </si>
  <si>
    <t>CRC 3B</t>
  </si>
  <si>
    <t>CRC 3F</t>
  </si>
  <si>
    <t>CRC 3J</t>
  </si>
  <si>
    <t>CRC 3H</t>
  </si>
  <si>
    <t>CRC 3E</t>
  </si>
  <si>
    <t>CRC 3G</t>
  </si>
  <si>
    <t>CRC 3K</t>
  </si>
  <si>
    <t>CRC 3D</t>
  </si>
  <si>
    <t>CRC 3C</t>
  </si>
  <si>
    <t>CRC 3A</t>
  </si>
  <si>
    <t>Non-variant allowed non-load related capex - other (Net of Disposals)</t>
  </si>
  <si>
    <t>Value Added Services (DRS 8) costs</t>
  </si>
  <si>
    <t>Value Added Services (DRS 8) net position</t>
  </si>
  <si>
    <t>Miscellaneous (DRS 9) revenue</t>
  </si>
  <si>
    <t>Miscellaneous (DRS 9) costs</t>
  </si>
  <si>
    <t>Miscellaneous (DRS 9) net position</t>
  </si>
  <si>
    <t>Value Added Services (DRS 8) revenue</t>
  </si>
  <si>
    <t>Non-variant allowed controllable opex (Net of DRS 8)</t>
  </si>
  <si>
    <t>Non-variant allowed controllable opex (Net of DRS 8 on Inputs Tab)</t>
  </si>
  <si>
    <t>Non-variant allowed non-load related capex - other (Net of Disposals on Inputs Tab)</t>
  </si>
  <si>
    <t>RIIO post-vesting RAV disposals (Are netted off NV Allowed Capex-Other)</t>
  </si>
  <si>
    <t>Value Added Services (DRS 8) net position (Is netted off NV Allowed Controllable Opex)</t>
  </si>
  <si>
    <t>Allowed Expenditure - Uncertain Rail Electrification Costs</t>
  </si>
  <si>
    <t>Allowed Expenditure - Rail Electrification (WPD)</t>
  </si>
  <si>
    <t>UCRE</t>
  </si>
  <si>
    <t>UCCPC</t>
  </si>
  <si>
    <t>Values for ENWL</t>
  </si>
  <si>
    <t>Values for NPgN</t>
  </si>
  <si>
    <t>Values for NPgY</t>
  </si>
  <si>
    <t>Values for WMID</t>
  </si>
  <si>
    <t>Values for EMID</t>
  </si>
  <si>
    <t>Values for SWALES</t>
  </si>
  <si>
    <t>Values for SWEST</t>
  </si>
  <si>
    <t>Values for LPN</t>
  </si>
  <si>
    <t>Values for SPN</t>
  </si>
  <si>
    <t>Values for EPN</t>
  </si>
  <si>
    <t>Values for SPD</t>
  </si>
  <si>
    <t>Values for SPMW</t>
  </si>
  <si>
    <t>Values for SSEH</t>
  </si>
  <si>
    <t>Values for SSES</t>
  </si>
  <si>
    <t>Adjusted Ofgem View of Group Totex</t>
  </si>
  <si>
    <t>Group Finance Totex Adjustments (DRS8/Disposals)</t>
  </si>
  <si>
    <t>DNO Finance Totex Adjustments (DRS8/Disposals)</t>
  </si>
  <si>
    <t>Other legacy adjustments' Revenue adjustment from previous controls</t>
  </si>
  <si>
    <t xml:space="preserve">Other adjustments </t>
  </si>
  <si>
    <t>UCLB</t>
  </si>
  <si>
    <t>Annual Real %</t>
  </si>
  <si>
    <t>CRC 3L</t>
  </si>
  <si>
    <t>Allowed Expenditure - Subsea Cables (SSEH)</t>
  </si>
  <si>
    <t>Fast-Tracked</t>
  </si>
  <si>
    <t>Slow-Tracked</t>
  </si>
  <si>
    <t>Adjacent named range: m_tracked</t>
  </si>
  <si>
    <t>Company status:</t>
  </si>
  <si>
    <t>Company Status List</t>
  </si>
  <si>
    <r>
      <t>Less additional income</t>
    </r>
    <r>
      <rPr>
        <sz val="11"/>
        <rFont val="Gill Sans MT"/>
        <family val="2"/>
      </rPr>
      <t xml:space="preserve"> </t>
    </r>
    <r>
      <rPr>
        <b/>
        <sz val="10"/>
        <rFont val="Gill Sans MT"/>
        <family val="2"/>
      </rPr>
      <t>(Fast-Track Only)</t>
    </r>
  </si>
  <si>
    <t>Pension Scheme Established Deficit revenue adjustment</t>
  </si>
  <si>
    <t xml:space="preserve">Tax liability revenue allowance adjustments - tax trigger events                                                       </t>
  </si>
  <si>
    <t>Actual load-related capex expenditure</t>
  </si>
  <si>
    <t>Actual non-load related capex expenditure - asset replacement</t>
  </si>
  <si>
    <t>Actual faults expenditure</t>
  </si>
  <si>
    <t>Actual controllable opex expenditure</t>
  </si>
  <si>
    <t>Actual tree cutting expenditure</t>
  </si>
  <si>
    <t>Allowed Expenditure - Link Boxes</t>
  </si>
  <si>
    <t>Allowed Expenditure - Shetland Uncertain Energy (SSEH)</t>
  </si>
  <si>
    <t>UCSFE</t>
  </si>
  <si>
    <t>Allowed Expenditure - Shetland Competitive Process (SSEH)</t>
  </si>
  <si>
    <t>UCSC</t>
  </si>
  <si>
    <t xml:space="preserve">Allowed Expenditure - Smart Meter Roll-out costs                               </t>
  </si>
  <si>
    <t xml:space="preserve">Allowed Expenditure - Visual Amenity Projects (TIM neutral)                                                                                                      </t>
  </si>
  <si>
    <t>Allowed Expenditure - Worst Served Customer Project (TIM neutral)</t>
  </si>
  <si>
    <t>Allowed Expenditure - Innovation Roll-out Mechanism</t>
  </si>
  <si>
    <t>WACC at Final Determination</t>
  </si>
  <si>
    <t>UCMC</t>
  </si>
  <si>
    <t>CMA substitute ED1 Price Control Financial Model 107.77.xlsm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</si>
</sst>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0_ ;[Red]\-#,##0.0\ "/>
    <numFmt numFmtId="166" formatCode="yyyy"/>
    <numFmt numFmtId="167" formatCode="_-* #,##0.0_-;\-* #,##0.0_-;_-* &quot;-&quot;??_-;_-@_-"/>
    <numFmt numFmtId="168" formatCode="#,##0.0_);\(#,##0.0\);\-_)"/>
    <numFmt numFmtId="169" formatCode="#,##0.0;[Red]\ \(#,##0.0\);\ \-"/>
    <numFmt numFmtId="170" formatCode="#,##0.00_);\(#,##0.00\);\-_)"/>
    <numFmt numFmtId="171" formatCode="#,##0_);\(#,##0\);\-_)"/>
    <numFmt numFmtId="172" formatCode="#,##0.0000_);\(#,##0.0000\);\-_)"/>
    <numFmt numFmtId="173" formatCode="0.0"/>
    <numFmt numFmtId="174" formatCode="dd\ mmm\ yyyy"/>
    <numFmt numFmtId="175" formatCode="#,##0.000000_);\(#,##0.000000\);\-_)"/>
    <numFmt numFmtId="176" formatCode="#,##0.00%_);\(#,##0.00%\);\-_)"/>
    <numFmt numFmtId="177" formatCode="#,##0.0;[Red]\(#,##0.0\)"/>
    <numFmt numFmtId="178" formatCode="#,##0.0"/>
    <numFmt numFmtId="179" formatCode="#,##0.00000_);\(#,##0.00000\);\-_)"/>
    <numFmt numFmtId="180" formatCode="#,##0.000_);\(#,##0.000\);\-_)"/>
    <numFmt numFmtId="181" formatCode="[$-F800]dddd\,\ mmmm\ dd\,\ yyyy"/>
    <numFmt numFmtId="182" formatCode="_(* #,##0.00_);_(* \(#,##0.00\);_(* &quot;-&quot;??_);_(@_)"/>
    <numFmt numFmtId="183" formatCode="d\-mmm\-yyyy"/>
    <numFmt numFmtId="184" formatCode="0.000000"/>
    <numFmt numFmtId="185" formatCode="#,##0.00;[Red]\-#,##0.00;\-"/>
    <numFmt numFmtId="186" formatCode="#,##0.00;[Red]#,##0.00;\-"/>
    <numFmt numFmtId="187" formatCode="#,##0.0_);[Red]\(#,##0.0\);\-"/>
    <numFmt numFmtId="188" formatCode="#,##0;\(#,##0\)"/>
    <numFmt numFmtId="189" formatCode="[$-809]d\ mmmm\ yyyy;@"/>
    <numFmt numFmtId="190" formatCode="0;\-0;;@"/>
    <numFmt numFmtId="191" formatCode="#,##0.0000"/>
    <numFmt numFmtId="192" formatCode="0.000%"/>
    <numFmt numFmtId="193" formatCode="_-* #,##0.000000_-;\-* #,##0.000000_-;_-* &quot;-&quot;??_-;_-@_-"/>
    <numFmt numFmtId="194" formatCode="0.0000"/>
    <numFmt numFmtId="195" formatCode="#,##0.000"/>
    <numFmt numFmtId="196" formatCode="#,##0.0000_ ;[Red]\-#,##0.0000\ "/>
    <numFmt numFmtId="197" formatCode="#,##0.0\ ;\ \(#,##0.0\)"/>
    <numFmt numFmtId="198" formatCode="0.000"/>
    <numFmt numFmtId="199" formatCode="#,##0.000000"/>
    <numFmt numFmtId="200" formatCode="#,##0.00000"/>
    <numFmt numFmtId="201" formatCode="#,##0.00000000000_ ;[Red]\-#,##0.00000000000\ "/>
    <numFmt numFmtId="202" formatCode="#,##0.000000000_ ;[Red]\-#,##0.000000000\ "/>
  </numFmts>
  <fonts count="81">
    <font>
      <sz val="10"/>
      <color theme="1"/>
      <name val="Verdana"/>
      <family val="2"/>
    </font>
    <font>
      <sz val="10"/>
      <name val="Verdana"/>
      <family val="2"/>
    </font>
    <font>
      <sz val="10"/>
      <color theme="1"/>
      <name val="Verdana"/>
      <family val="2"/>
    </font>
    <font>
      <sz val="10"/>
      <name val="Arial"/>
      <family val="2"/>
    </font>
    <font>
      <u/>
      <sz val="11"/>
      <color indexed="12"/>
      <name val="CG Omega"/>
      <family val="2"/>
    </font>
    <font>
      <sz val="10"/>
      <color theme="1"/>
      <name val="Gill Sans MT"/>
      <family val="2"/>
    </font>
    <font>
      <sz val="12"/>
      <color theme="1"/>
      <name val="Gill Sans MT"/>
      <family val="2"/>
    </font>
    <font>
      <sz val="10"/>
      <name val="Gill Sans MT"/>
      <family val="2"/>
    </font>
    <font>
      <b/>
      <sz val="10"/>
      <name val="Gill Sans MT"/>
      <family val="2"/>
    </font>
    <font>
      <i/>
      <sz val="10"/>
      <name val="Gill Sans MT"/>
      <family val="2"/>
    </font>
    <font>
      <i/>
      <sz val="10"/>
      <color theme="1"/>
      <name val="Gill Sans MT"/>
      <family val="2"/>
    </font>
    <font>
      <sz val="10"/>
      <color theme="4"/>
      <name val="Gill Sans MT"/>
      <family val="2"/>
    </font>
    <font>
      <u/>
      <sz val="10"/>
      <name val="Gill Sans MT"/>
      <family val="2"/>
    </font>
    <font>
      <sz val="10"/>
      <color rgb="FFFF0000"/>
      <name val="Gill Sans MT"/>
      <family val="2"/>
    </font>
    <font>
      <i/>
      <u/>
      <sz val="10"/>
      <name val="Gill Sans MT"/>
      <family val="2"/>
    </font>
    <font>
      <i/>
      <u/>
      <sz val="10"/>
      <color theme="1"/>
      <name val="Gill Sans MT"/>
      <family val="2"/>
    </font>
    <font>
      <b/>
      <sz val="10"/>
      <color theme="1"/>
      <name val="Gill Sans MT"/>
      <family val="2"/>
    </font>
    <font>
      <u/>
      <sz val="10"/>
      <color theme="1"/>
      <name val="Gill Sans MT"/>
      <family val="2"/>
    </font>
    <font>
      <b/>
      <u/>
      <sz val="10"/>
      <color indexed="10"/>
      <name val="Gill Sans MT"/>
      <family val="2"/>
    </font>
    <font>
      <sz val="10"/>
      <color theme="0" tint="-4.9989318521683403E-2"/>
      <name val="Gill Sans MT"/>
      <family val="2"/>
    </font>
    <font>
      <b/>
      <sz val="10"/>
      <color indexed="9"/>
      <name val="Gill Sans MT"/>
      <family val="2"/>
    </font>
    <font>
      <sz val="16"/>
      <color theme="1"/>
      <name val="Gill Sans MT"/>
      <family val="2"/>
    </font>
    <font>
      <i/>
      <sz val="10"/>
      <color theme="1"/>
      <name val="Gill Sans MT"/>
      <family val="2"/>
    </font>
    <font>
      <sz val="10"/>
      <color theme="0"/>
      <name val="Gill Sans MT"/>
      <family val="2"/>
    </font>
    <font>
      <sz val="10"/>
      <color theme="0"/>
      <name val="Verdana"/>
      <family val="2"/>
    </font>
    <font>
      <sz val="10"/>
      <color rgb="FF006100"/>
      <name val="Verdana"/>
      <family val="2"/>
    </font>
    <font>
      <sz val="10"/>
      <color rgb="FF9C0006"/>
      <name val="Verdana"/>
      <family val="2"/>
    </font>
    <font>
      <sz val="10"/>
      <color rgb="FF9C6500"/>
      <name val="Verdana"/>
      <family val="2"/>
    </font>
    <font>
      <sz val="10"/>
      <color rgb="FF3F3F76"/>
      <name val="Verdana"/>
      <family val="2"/>
    </font>
    <font>
      <b/>
      <sz val="10"/>
      <color rgb="FFFA7D00"/>
      <name val="Verdana"/>
      <family val="2"/>
    </font>
    <font>
      <i/>
      <sz val="10"/>
      <color rgb="FF7F7F7F"/>
      <name val="Verdana"/>
      <family val="2"/>
    </font>
    <font>
      <b/>
      <sz val="10"/>
      <name val="Arial"/>
      <family val="2"/>
    </font>
    <font>
      <sz val="10"/>
      <color theme="1"/>
      <name val="Arial"/>
      <family val="2"/>
    </font>
    <font>
      <sz val="11"/>
      <name val="CG Omega"/>
      <family val="2"/>
    </font>
    <font>
      <sz val="11"/>
      <name val="CG Omega"/>
      <family val="2"/>
    </font>
    <font>
      <sz val="9"/>
      <color rgb="FF000000"/>
      <name val="Verdana"/>
      <family val="2"/>
    </font>
    <font>
      <sz val="10"/>
      <color rgb="FF000000"/>
      <name val="Verdana"/>
      <family val="2"/>
    </font>
    <font>
      <sz val="10"/>
      <name val="Helv"/>
      <charset val="204"/>
    </font>
    <font>
      <sz val="10"/>
      <color indexed="8"/>
      <name val="Arial"/>
      <family val="2"/>
    </font>
    <font>
      <sz val="10"/>
      <color indexed="9"/>
      <name val="Arial"/>
      <family val="2"/>
    </font>
    <font>
      <sz val="11"/>
      <color indexed="8"/>
      <name val="Calibri"/>
      <family val="2"/>
    </font>
    <font>
      <sz val="11"/>
      <color indexed="9"/>
      <name val="Calibri"/>
      <family val="2"/>
    </font>
    <font>
      <sz val="11"/>
      <color indexed="37"/>
      <name val="Calibri"/>
      <family val="2"/>
    </font>
    <font>
      <b/>
      <sz val="11"/>
      <color indexed="17"/>
      <name val="Calibri"/>
      <family val="2"/>
    </font>
    <font>
      <b/>
      <sz val="11"/>
      <color indexed="9"/>
      <name val="Calibri"/>
      <family val="2"/>
    </font>
    <font>
      <sz val="10"/>
      <color indexed="8"/>
      <name val="Verdana"/>
      <family val="2"/>
    </font>
    <font>
      <b/>
      <sz val="11"/>
      <color indexed="8"/>
      <name val="Calibri"/>
      <family val="2"/>
    </font>
    <font>
      <sz val="10"/>
      <name val="MS Sans Serif"/>
      <family val="2"/>
    </font>
    <font>
      <i/>
      <sz val="10"/>
      <color indexed="18"/>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u/>
      <sz val="11"/>
      <color indexed="48"/>
      <name val="CG Omega"/>
      <family val="2"/>
    </font>
    <font>
      <sz val="11"/>
      <color indexed="17"/>
      <name val="Calibri"/>
      <family val="2"/>
    </font>
    <font>
      <b/>
      <sz val="14"/>
      <name val="Arial"/>
      <family val="2"/>
    </font>
    <font>
      <sz val="11"/>
      <color theme="1"/>
      <name val="Calibri"/>
      <family val="2"/>
      <scheme val="minor"/>
    </font>
    <font>
      <sz val="10"/>
      <color indexed="12"/>
      <name val="Arial"/>
      <family val="2"/>
    </font>
    <font>
      <sz val="8"/>
      <name val="Arial"/>
      <family val="2"/>
    </font>
    <font>
      <b/>
      <sz val="11"/>
      <color indexed="63"/>
      <name val="Calibri"/>
      <family val="2"/>
    </font>
    <font>
      <i/>
      <sz val="10"/>
      <color indexed="10"/>
      <name val="Arial"/>
      <family val="2"/>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sz val="9"/>
      <name val="NewsGoth Lt BT"/>
      <family val="2"/>
    </font>
    <font>
      <sz val="11"/>
      <color indexed="14"/>
      <name val="Calibri"/>
      <family val="2"/>
    </font>
    <font>
      <sz val="11"/>
      <name val="CG Omega"/>
      <family val="2"/>
    </font>
    <font>
      <b/>
      <sz val="10"/>
      <color theme="1"/>
      <name val="Gill Sans MT"/>
      <family val="2"/>
    </font>
    <font>
      <sz val="10"/>
      <name val="Verdana"/>
      <family val="2"/>
    </font>
    <font>
      <sz val="12"/>
      <name val="Gill Sans MT"/>
      <family val="2"/>
    </font>
    <font>
      <b/>
      <u/>
      <sz val="10"/>
      <name val="Gill Sans MT"/>
      <family val="2"/>
    </font>
    <font>
      <sz val="11"/>
      <color rgb="FF1F497D"/>
      <name val="Calibri"/>
      <family val="2"/>
    </font>
    <font>
      <sz val="9"/>
      <name val="Gill Sans MT"/>
      <family val="2"/>
    </font>
    <font>
      <sz val="11"/>
      <color theme="1"/>
      <name val="Calibri"/>
      <family val="2"/>
    </font>
    <font>
      <sz val="11"/>
      <color rgb="FF000000"/>
      <name val="Calibri"/>
      <family val="2"/>
    </font>
    <font>
      <sz val="10"/>
      <name val="Gill Sans MT"/>
      <family val="2"/>
    </font>
    <font>
      <sz val="11"/>
      <name val="Gill Sans MT"/>
      <family val="2"/>
    </font>
  </fonts>
  <fills count="106">
    <fill>
      <patternFill patternType="none"/>
    </fill>
    <fill>
      <patternFill patternType="gray125"/>
    </fill>
    <fill>
      <patternFill patternType="solid">
        <fgColor theme="7" tint="0.59999389629810485"/>
        <bgColor indexed="64"/>
      </patternFill>
    </fill>
    <fill>
      <patternFill patternType="solid">
        <fgColor indexed="22"/>
      </patternFill>
    </fill>
    <fill>
      <patternFill patternType="solid">
        <fgColor indexed="26"/>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9900"/>
        <bgColor indexed="64"/>
      </patternFill>
    </fill>
    <fill>
      <patternFill patternType="solid">
        <fgColor rgb="FFC00000"/>
        <bgColor indexed="64"/>
      </patternFill>
    </fill>
    <fill>
      <patternFill patternType="solid">
        <fgColor theme="0" tint="-0.499984740745262"/>
        <bgColor indexed="64"/>
      </patternFill>
    </fill>
    <fill>
      <patternFill patternType="solid">
        <fgColor theme="6"/>
        <bgColor indexed="64"/>
      </patternFill>
    </fill>
    <fill>
      <patternFill patternType="solid">
        <fgColor theme="6" tint="0.59999389629810485"/>
        <bgColor indexed="64"/>
      </patternFill>
    </fill>
    <fill>
      <patternFill patternType="solid">
        <fgColor rgb="FFC5E1FF"/>
        <bgColor indexed="64"/>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tint="0.39997558519241921"/>
        <bgColor indexed="64"/>
      </patternFill>
    </fill>
    <fill>
      <patternFill patternType="solid">
        <fgColor rgb="FFFFC000"/>
        <bgColor indexed="64"/>
      </patternFill>
    </fill>
    <fill>
      <patternFill patternType="solid">
        <fgColor indexed="41"/>
      </patternFill>
    </fill>
    <fill>
      <patternFill patternType="solid">
        <fgColor indexed="40"/>
      </patternFill>
    </fill>
    <fill>
      <patternFill patternType="solid">
        <fgColor indexed="50"/>
      </patternFill>
    </fill>
    <fill>
      <patternFill patternType="solid">
        <fgColor indexed="35"/>
      </patternFill>
    </fill>
    <fill>
      <patternFill patternType="solid">
        <fgColor indexed="47"/>
      </patternFill>
    </fill>
    <fill>
      <patternFill patternType="solid">
        <fgColor indexed="57"/>
      </patternFill>
    </fill>
    <fill>
      <patternFill patternType="solid">
        <fgColor indexed="24"/>
      </patternFill>
    </fill>
    <fill>
      <patternFill patternType="solid">
        <fgColor indexed="54"/>
      </patternFill>
    </fill>
    <fill>
      <patternFill patternType="solid">
        <fgColor indexed="58"/>
      </patternFill>
    </fill>
    <fill>
      <patternFill patternType="solid">
        <fgColor indexed="51"/>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35"/>
        <bgColor indexed="3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26"/>
      </patternFill>
    </fill>
    <fill>
      <patternFill patternType="solid">
        <fgColor indexed="51"/>
        <bgColor indexed="64"/>
      </patternFill>
    </fill>
    <fill>
      <patternFill patternType="solid">
        <fgColor indexed="42"/>
        <bgColor indexed="64"/>
      </patternFill>
    </fill>
    <fill>
      <patternFill patternType="solid">
        <fgColor indexed="27"/>
        <bgColor indexed="64"/>
      </patternFill>
    </fill>
    <fill>
      <patternFill patternType="solid">
        <fgColor indexed="43"/>
      </patternFill>
    </fill>
    <fill>
      <patternFill patternType="solid">
        <fgColor indexed="43"/>
        <bgColor indexed="64"/>
      </patternFill>
    </fill>
    <fill>
      <patternFill patternType="solid">
        <fgColor indexed="49"/>
      </patternFill>
    </fill>
    <fill>
      <patternFill patternType="solid">
        <fgColor indexed="45"/>
      </patternFill>
    </fill>
    <fill>
      <patternFill patternType="solid">
        <fgColor indexed="12"/>
      </patternFill>
    </fill>
    <fill>
      <patternFill patternType="solid">
        <fgColor indexed="10"/>
      </patternFill>
    </fill>
    <fill>
      <patternFill patternType="solid">
        <fgColor indexed="52"/>
      </patternFill>
    </fill>
    <fill>
      <patternFill patternType="solid">
        <fgColor indexed="53"/>
      </patternFill>
    </fill>
    <fill>
      <patternFill patternType="solid">
        <fgColor indexed="11"/>
      </patternFill>
    </fill>
    <fill>
      <patternFill patternType="lightUp">
        <fgColor indexed="48"/>
        <bgColor indexed="41"/>
      </patternFill>
    </fill>
    <fill>
      <patternFill patternType="solid">
        <fgColor indexed="23"/>
      </patternFill>
    </fill>
    <fill>
      <patternFill patternType="solid">
        <fgColor indexed="44"/>
      </patternFill>
    </fill>
    <fill>
      <patternFill patternType="solid">
        <fgColor indexed="9"/>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indexed="58"/>
        <bgColor indexed="64"/>
      </patternFill>
    </fill>
    <fill>
      <patternFill patternType="solid">
        <fgColor rgb="FFD1FFD1"/>
        <bgColor indexed="64"/>
      </patternFill>
    </fill>
    <fill>
      <patternFill patternType="solid">
        <fgColor rgb="FFD4FAFC"/>
        <bgColor indexed="64"/>
      </patternFill>
    </fill>
    <fill>
      <patternFill patternType="solid">
        <fgColor rgb="FFFF00FF"/>
        <bgColor indexed="64"/>
      </patternFill>
    </fill>
    <fill>
      <patternFill patternType="solid">
        <fgColor rgb="FFCCFFFF"/>
        <bgColor indexed="64"/>
      </patternFill>
    </fill>
    <fill>
      <patternFill patternType="solid">
        <fgColor theme="8"/>
        <bgColor indexed="64"/>
      </patternFill>
    </fill>
  </fills>
  <borders count="71">
    <border>
      <left/>
      <right/>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auto="1"/>
      </top>
      <bottom style="thin">
        <color auto="1"/>
      </bottom>
      <diagonal/>
    </border>
    <border>
      <left/>
      <right/>
      <top style="thin">
        <color indexed="64"/>
      </top>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Dashed">
        <color auto="1"/>
      </left>
      <right style="mediumDashed">
        <color auto="1"/>
      </right>
      <top/>
      <bottom style="mediumDashed">
        <color auto="1"/>
      </bottom>
      <diagonal/>
    </border>
    <border>
      <left/>
      <right style="thin">
        <color indexed="64"/>
      </right>
      <top style="thin">
        <color indexed="64"/>
      </top>
      <bottom/>
      <diagonal/>
    </border>
    <border>
      <left/>
      <right style="thin">
        <color indexed="64"/>
      </right>
      <top/>
      <bottom style="thin">
        <color indexed="64"/>
      </bottom>
      <diagonal/>
    </border>
    <border>
      <left style="medium">
        <color theme="0"/>
      </left>
      <right style="medium">
        <color theme="0"/>
      </right>
      <top style="medium">
        <color theme="0"/>
      </top>
      <bottom style="medium">
        <color theme="0"/>
      </bottom>
      <diagonal/>
    </border>
    <border>
      <left/>
      <right/>
      <top style="thin">
        <color auto="1"/>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bottom style="thin">
        <color auto="1"/>
      </bottom>
      <diagonal/>
    </border>
    <border>
      <left style="thick">
        <color theme="0"/>
      </left>
      <right style="thick">
        <color theme="0"/>
      </right>
      <top style="thick">
        <color theme="0"/>
      </top>
      <bottom style="thick">
        <color theme="0"/>
      </bottom>
      <diagonal/>
    </border>
    <border>
      <left style="mediumDashed">
        <color indexed="64"/>
      </left>
      <right/>
      <top style="thin">
        <color indexed="64"/>
      </top>
      <bottom style="mediumDashed">
        <color indexed="64"/>
      </bottom>
      <diagonal/>
    </border>
    <border>
      <left/>
      <right/>
      <top style="thin">
        <color indexed="64"/>
      </top>
      <bottom style="mediumDashed">
        <color indexed="64"/>
      </bottom>
      <diagonal/>
    </border>
    <border>
      <left/>
      <right style="mediumDashed">
        <color indexed="64"/>
      </right>
      <top style="thin">
        <color indexed="64"/>
      </top>
      <bottom style="mediumDashed">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Dashed">
        <color indexed="64"/>
      </left>
      <right style="mediumDashed">
        <color indexed="64"/>
      </right>
      <top style="medium">
        <color indexed="64"/>
      </top>
      <bottom style="mediumDashed">
        <color indexed="64"/>
      </bottom>
      <diagonal/>
    </border>
    <border>
      <left style="thin">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right/>
      <top style="thin">
        <color indexed="64"/>
      </top>
      <bottom style="double">
        <color indexed="64"/>
      </bottom>
      <diagonal/>
    </border>
    <border>
      <left style="medium">
        <color indexed="64"/>
      </left>
      <right style="medium">
        <color indexed="64"/>
      </right>
      <top style="thin">
        <color indexed="64"/>
      </top>
      <bottom style="medium">
        <color indexed="64"/>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bottom style="double">
        <color indexed="17"/>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64"/>
      </top>
      <bottom/>
      <diagonal/>
    </border>
    <border>
      <left/>
      <right/>
      <top style="hair">
        <color indexed="22"/>
      </top>
      <bottom/>
      <diagonal/>
    </border>
    <border>
      <left/>
      <right/>
      <top style="thin">
        <color indexed="48"/>
      </top>
      <bottom style="double">
        <color indexed="4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indexed="58"/>
      </left>
      <right style="medium">
        <color indexed="58"/>
      </right>
      <top style="medium">
        <color indexed="58"/>
      </top>
      <bottom style="thin">
        <color indexed="58"/>
      </bottom>
      <diagonal/>
    </border>
    <border>
      <left style="medium">
        <color indexed="64"/>
      </left>
      <right style="medium">
        <color indexed="64"/>
      </right>
      <top style="thin">
        <color indexed="64"/>
      </top>
      <bottom style="double">
        <color indexed="64"/>
      </bottom>
      <diagonal/>
    </border>
    <border>
      <left style="thin">
        <color auto="1"/>
      </left>
      <right style="thin">
        <color auto="1"/>
      </right>
      <top/>
      <bottom/>
      <diagonal/>
    </border>
  </borders>
  <cellStyleXfs count="1392">
    <xf numFmtId="0" fontId="0" fillId="0" borderId="0"/>
    <xf numFmtId="9" fontId="2" fillId="0" borderId="0" applyFont="0" applyFill="0" applyBorder="0" applyAlignment="0" applyProtection="0"/>
    <xf numFmtId="43" fontId="2" fillId="0" borderId="0" applyFont="0" applyFill="0" applyBorder="0" applyAlignment="0" applyProtection="0"/>
    <xf numFmtId="168" fontId="17" fillId="0" borderId="0" applyFill="0" applyBorder="0">
      <alignment vertical="center"/>
    </xf>
    <xf numFmtId="0" fontId="4" fillId="0" borderId="0" applyNumberFormat="0" applyFill="0" applyBorder="0" applyAlignment="0" applyProtection="0">
      <alignment vertical="top"/>
      <protection locked="0"/>
    </xf>
    <xf numFmtId="168" fontId="19" fillId="10" borderId="0"/>
    <xf numFmtId="168" fontId="5" fillId="7" borderId="0"/>
    <xf numFmtId="168" fontId="7" fillId="6" borderId="0"/>
    <xf numFmtId="168" fontId="7" fillId="13" borderId="0" applyBorder="0">
      <alignment vertical="center"/>
    </xf>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0" fontId="24"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4" fillId="33" borderId="0" applyNumberFormat="0" applyBorder="0" applyAlignment="0" applyProtection="0"/>
    <xf numFmtId="0" fontId="24"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4" fillId="37" borderId="0" applyNumberFormat="0" applyBorder="0" applyAlignment="0" applyProtection="0"/>
    <xf numFmtId="0" fontId="25" fillId="38" borderId="0" applyNumberFormat="0" applyBorder="0" applyAlignment="0" applyProtection="0"/>
    <xf numFmtId="0" fontId="26" fillId="39" borderId="0" applyNumberFormat="0" applyBorder="0" applyAlignment="0" applyProtection="0"/>
    <xf numFmtId="0" fontId="27" fillId="40" borderId="0" applyNumberFormat="0" applyBorder="0" applyAlignment="0" applyProtection="0"/>
    <xf numFmtId="0" fontId="28" fillId="41" borderId="39" applyNumberFormat="0" applyAlignment="0" applyProtection="0"/>
    <xf numFmtId="0" fontId="29" fillId="42" borderId="39" applyNumberFormat="0" applyAlignment="0" applyProtection="0"/>
    <xf numFmtId="0" fontId="2" fillId="43" borderId="40" applyNumberFormat="0" applyFont="0" applyAlignment="0" applyProtection="0"/>
    <xf numFmtId="0" fontId="30" fillId="0" borderId="0" applyNumberFormat="0" applyFill="0" applyBorder="0" applyAlignment="0" applyProtection="0"/>
    <xf numFmtId="10" fontId="5" fillId="0" borderId="0" applyFont="0" applyFill="0" applyBorder="0" applyAlignment="0" applyProtection="0">
      <alignment vertical="center"/>
    </xf>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43" fontId="32" fillId="0" borderId="0" applyFont="0" applyFill="0" applyBorder="0" applyAlignment="0" applyProtection="0"/>
    <xf numFmtId="0" fontId="2" fillId="0" borderId="0"/>
    <xf numFmtId="0" fontId="34" fillId="0" borderId="0"/>
    <xf numFmtId="0" fontId="3" fillId="0" borderId="0"/>
    <xf numFmtId="0" fontId="3" fillId="0" borderId="0"/>
    <xf numFmtId="177" fontId="2" fillId="45" borderId="18">
      <alignment vertical="center"/>
    </xf>
    <xf numFmtId="0" fontId="33" fillId="0" borderId="0"/>
    <xf numFmtId="10" fontId="5" fillId="0" borderId="0" applyFont="0" applyFill="0" applyBorder="0" applyAlignment="0" applyProtection="0">
      <alignment vertical="center"/>
    </xf>
    <xf numFmtId="181" fontId="3" fillId="0" borderId="0"/>
    <xf numFmtId="181" fontId="3" fillId="0" borderId="0"/>
    <xf numFmtId="181" fontId="33" fillId="0" borderId="0"/>
    <xf numFmtId="181" fontId="3" fillId="0" borderId="0"/>
    <xf numFmtId="181" fontId="33" fillId="0" borderId="0"/>
    <xf numFmtId="181" fontId="3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3" fillId="0" borderId="0"/>
    <xf numFmtId="181" fontId="33" fillId="0" borderId="0"/>
    <xf numFmtId="181" fontId="33" fillId="0" borderId="0"/>
    <xf numFmtId="181" fontId="3" fillId="0" borderId="0"/>
    <xf numFmtId="181" fontId="33" fillId="0" borderId="0"/>
    <xf numFmtId="181" fontId="3" fillId="0" borderId="0"/>
    <xf numFmtId="181" fontId="33" fillId="0" borderId="0"/>
    <xf numFmtId="181" fontId="33" fillId="0" borderId="0"/>
    <xf numFmtId="181" fontId="3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7" fillId="0" borderId="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7" fillId="0" borderId="0"/>
    <xf numFmtId="181" fontId="3" fillId="0" borderId="0" applyFont="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alignment vertical="center"/>
    </xf>
    <xf numFmtId="181" fontId="33" fillId="0" borderId="0"/>
    <xf numFmtId="181" fontId="33" fillId="0" borderId="0"/>
    <xf numFmtId="181" fontId="33" fillId="0" borderId="0"/>
    <xf numFmtId="181" fontId="33" fillId="0" borderId="0"/>
    <xf numFmtId="181" fontId="33" fillId="0" borderId="0"/>
    <xf numFmtId="181" fontId="33" fillId="0" borderId="0"/>
    <xf numFmtId="181" fontId="3" fillId="0" borderId="0">
      <alignment vertical="center"/>
    </xf>
    <xf numFmtId="181" fontId="3" fillId="0" borderId="0">
      <alignment vertical="center"/>
    </xf>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3" fillId="0" borderId="0"/>
    <xf numFmtId="181" fontId="33" fillId="0" borderId="0"/>
    <xf numFmtId="181" fontId="33" fillId="0" borderId="0"/>
    <xf numFmtId="181" fontId="3" fillId="0" borderId="0"/>
    <xf numFmtId="181" fontId="3" fillId="0" borderId="0"/>
    <xf numFmtId="181" fontId="3" fillId="0" borderId="0"/>
    <xf numFmtId="181" fontId="3" fillId="0" borderId="0"/>
    <xf numFmtId="181" fontId="3" fillId="0" borderId="0"/>
    <xf numFmtId="181" fontId="33" fillId="0" borderId="0"/>
    <xf numFmtId="181" fontId="33" fillId="0" borderId="0">
      <alignment vertical="justify"/>
    </xf>
    <xf numFmtId="181" fontId="38" fillId="46" borderId="0" applyNumberFormat="0" applyBorder="0" applyAlignment="0" applyProtection="0"/>
    <xf numFmtId="181" fontId="38" fillId="46" borderId="0" applyNumberFormat="0" applyBorder="0" applyAlignment="0" applyProtection="0"/>
    <xf numFmtId="181" fontId="38" fillId="47" borderId="0" applyNumberFormat="0" applyBorder="0" applyAlignment="0" applyProtection="0"/>
    <xf numFmtId="181" fontId="38" fillId="47" borderId="0" applyNumberFormat="0" applyBorder="0" applyAlignment="0" applyProtection="0"/>
    <xf numFmtId="181" fontId="38" fillId="48" borderId="0" applyNumberFormat="0" applyBorder="0" applyAlignment="0" applyProtection="0"/>
    <xf numFmtId="181" fontId="38" fillId="48" borderId="0" applyNumberFormat="0" applyBorder="0" applyAlignment="0" applyProtection="0"/>
    <xf numFmtId="181" fontId="38" fillId="49" borderId="0" applyNumberFormat="0" applyBorder="0" applyAlignment="0" applyProtection="0"/>
    <xf numFmtId="181" fontId="38" fillId="49" borderId="0" applyNumberFormat="0" applyBorder="0" applyAlignment="0" applyProtection="0"/>
    <xf numFmtId="181" fontId="38" fillId="46" borderId="0" applyNumberFormat="0" applyBorder="0" applyAlignment="0" applyProtection="0"/>
    <xf numFmtId="181" fontId="38" fillId="46" borderId="0" applyNumberFormat="0" applyBorder="0" applyAlignment="0" applyProtection="0"/>
    <xf numFmtId="181" fontId="38" fillId="50" borderId="0" applyNumberFormat="0" applyBorder="0" applyAlignment="0" applyProtection="0"/>
    <xf numFmtId="181" fontId="38" fillId="50" borderId="0" applyNumberFormat="0" applyBorder="0" applyAlignment="0" applyProtection="0"/>
    <xf numFmtId="181" fontId="38" fillId="3" borderId="0" applyNumberFormat="0" applyBorder="0" applyAlignment="0" applyProtection="0"/>
    <xf numFmtId="181" fontId="38" fillId="3" borderId="0" applyNumberFormat="0" applyBorder="0" applyAlignment="0" applyProtection="0"/>
    <xf numFmtId="181" fontId="38" fillId="47" borderId="0" applyNumberFormat="0" applyBorder="0" applyAlignment="0" applyProtection="0"/>
    <xf numFmtId="181" fontId="38" fillId="47" borderId="0" applyNumberFormat="0" applyBorder="0" applyAlignment="0" applyProtection="0"/>
    <xf numFmtId="181" fontId="38" fillId="51" borderId="0" applyNumberFormat="0" applyBorder="0" applyAlignment="0" applyProtection="0"/>
    <xf numFmtId="181" fontId="38" fillId="51" borderId="0" applyNumberFormat="0" applyBorder="0" applyAlignment="0" applyProtection="0"/>
    <xf numFmtId="181" fontId="38" fillId="52" borderId="0" applyNumberFormat="0" applyBorder="0" applyAlignment="0" applyProtection="0"/>
    <xf numFmtId="181" fontId="38" fillId="52" borderId="0" applyNumberFormat="0" applyBorder="0" applyAlignment="0" applyProtection="0"/>
    <xf numFmtId="181" fontId="38" fillId="53" borderId="0" applyNumberFormat="0" applyBorder="0" applyAlignment="0" applyProtection="0"/>
    <xf numFmtId="181" fontId="38" fillId="53" borderId="0" applyNumberFormat="0" applyBorder="0" applyAlignment="0" applyProtection="0"/>
    <xf numFmtId="181" fontId="38" fillId="50" borderId="0" applyNumberFormat="0" applyBorder="0" applyAlignment="0" applyProtection="0"/>
    <xf numFmtId="181" fontId="38" fillId="50" borderId="0" applyNumberFormat="0" applyBorder="0" applyAlignment="0" applyProtection="0"/>
    <xf numFmtId="181" fontId="39" fillId="54" borderId="0" applyNumberFormat="0" applyBorder="0" applyAlignment="0" applyProtection="0"/>
    <xf numFmtId="181" fontId="39" fillId="54" borderId="0" applyNumberFormat="0" applyBorder="0" applyAlignment="0" applyProtection="0"/>
    <xf numFmtId="181" fontId="39" fillId="47" borderId="0" applyNumberFormat="0" applyBorder="0" applyAlignment="0" applyProtection="0"/>
    <xf numFmtId="181" fontId="39" fillId="47" borderId="0" applyNumberFormat="0" applyBorder="0" applyAlignment="0" applyProtection="0"/>
    <xf numFmtId="181" fontId="39" fillId="51" borderId="0" applyNumberFormat="0" applyBorder="0" applyAlignment="0" applyProtection="0"/>
    <xf numFmtId="181" fontId="39" fillId="51" borderId="0" applyNumberFormat="0" applyBorder="0" applyAlignment="0" applyProtection="0"/>
    <xf numFmtId="181" fontId="39" fillId="52" borderId="0" applyNumberFormat="0" applyBorder="0" applyAlignment="0" applyProtection="0"/>
    <xf numFmtId="181" fontId="39" fillId="52" borderId="0" applyNumberFormat="0" applyBorder="0" applyAlignment="0" applyProtection="0"/>
    <xf numFmtId="181" fontId="39" fillId="54" borderId="0" applyNumberFormat="0" applyBorder="0" applyAlignment="0" applyProtection="0"/>
    <xf numFmtId="181" fontId="39" fillId="54" borderId="0" applyNumberFormat="0" applyBorder="0" applyAlignment="0" applyProtection="0"/>
    <xf numFmtId="181" fontId="39" fillId="55" borderId="0" applyNumberFormat="0" applyBorder="0" applyAlignment="0" applyProtection="0"/>
    <xf numFmtId="181" fontId="39" fillId="55" borderId="0" applyNumberFormat="0" applyBorder="0" applyAlignment="0" applyProtection="0"/>
    <xf numFmtId="181" fontId="40" fillId="56" borderId="0" applyNumberFormat="0" applyBorder="0" applyAlignment="0" applyProtection="0"/>
    <xf numFmtId="181" fontId="40" fillId="57" borderId="0" applyNumberFormat="0" applyBorder="0" applyAlignment="0" applyProtection="0"/>
    <xf numFmtId="181" fontId="41" fillId="58" borderId="0" applyNumberFormat="0" applyBorder="0" applyAlignment="0" applyProtection="0"/>
    <xf numFmtId="181" fontId="41" fillId="59" borderId="0" applyNumberFormat="0" applyBorder="0" applyAlignment="0" applyProtection="0"/>
    <xf numFmtId="181" fontId="41" fillId="59" borderId="0" applyNumberFormat="0" applyBorder="0" applyAlignment="0" applyProtection="0"/>
    <xf numFmtId="181" fontId="40" fillId="60" borderId="0" applyNumberFormat="0" applyBorder="0" applyAlignment="0" applyProtection="0"/>
    <xf numFmtId="181" fontId="40" fillId="61" borderId="0" applyNumberFormat="0" applyBorder="0" applyAlignment="0" applyProtection="0"/>
    <xf numFmtId="181" fontId="41" fillId="62" borderId="0" applyNumberFormat="0" applyBorder="0" applyAlignment="0" applyProtection="0"/>
    <xf numFmtId="181" fontId="41" fillId="63" borderId="0" applyNumberFormat="0" applyBorder="0" applyAlignment="0" applyProtection="0"/>
    <xf numFmtId="181" fontId="41" fillId="63" borderId="0" applyNumberFormat="0" applyBorder="0" applyAlignment="0" applyProtection="0"/>
    <xf numFmtId="181" fontId="40" fillId="64" borderId="0" applyNumberFormat="0" applyBorder="0" applyAlignment="0" applyProtection="0"/>
    <xf numFmtId="181" fontId="40" fillId="65" borderId="0" applyNumberFormat="0" applyBorder="0" applyAlignment="0" applyProtection="0"/>
    <xf numFmtId="181" fontId="41" fillId="66" borderId="0" applyNumberFormat="0" applyBorder="0" applyAlignment="0" applyProtection="0"/>
    <xf numFmtId="181" fontId="41" fillId="67" borderId="0" applyNumberFormat="0" applyBorder="0" applyAlignment="0" applyProtection="0"/>
    <xf numFmtId="181" fontId="41" fillId="67" borderId="0" applyNumberFormat="0" applyBorder="0" applyAlignment="0" applyProtection="0"/>
    <xf numFmtId="181" fontId="40" fillId="60" borderId="0" applyNumberFormat="0" applyBorder="0" applyAlignment="0" applyProtection="0"/>
    <xf numFmtId="181" fontId="40" fillId="68" borderId="0" applyNumberFormat="0" applyBorder="0" applyAlignment="0" applyProtection="0"/>
    <xf numFmtId="181" fontId="41" fillId="61" borderId="0" applyNumberFormat="0" applyBorder="0" applyAlignment="0" applyProtection="0"/>
    <xf numFmtId="181" fontId="41" fillId="69" borderId="0" applyNumberFormat="0" applyBorder="0" applyAlignment="0" applyProtection="0"/>
    <xf numFmtId="181" fontId="41" fillId="69" borderId="0" applyNumberFormat="0" applyBorder="0" applyAlignment="0" applyProtection="0"/>
    <xf numFmtId="181" fontId="40" fillId="70" borderId="0" applyNumberFormat="0" applyBorder="0" applyAlignment="0" applyProtection="0"/>
    <xf numFmtId="181" fontId="40" fillId="71" borderId="0" applyNumberFormat="0" applyBorder="0" applyAlignment="0" applyProtection="0"/>
    <xf numFmtId="181" fontId="41" fillId="58" borderId="0" applyNumberFormat="0" applyBorder="0" applyAlignment="0" applyProtection="0"/>
    <xf numFmtId="181" fontId="41" fillId="58" borderId="0" applyNumberFormat="0" applyBorder="0" applyAlignment="0" applyProtection="0"/>
    <xf numFmtId="181" fontId="41" fillId="58" borderId="0" applyNumberFormat="0" applyBorder="0" applyAlignment="0" applyProtection="0"/>
    <xf numFmtId="181" fontId="40" fillId="72" borderId="0" applyNumberFormat="0" applyBorder="0" applyAlignment="0" applyProtection="0"/>
    <xf numFmtId="181" fontId="40" fillId="73" borderId="0" applyNumberFormat="0" applyBorder="0" applyAlignment="0" applyProtection="0"/>
    <xf numFmtId="181" fontId="41" fillId="74" borderId="0" applyNumberFormat="0" applyBorder="0" applyAlignment="0" applyProtection="0"/>
    <xf numFmtId="181" fontId="41" fillId="75" borderId="0" applyNumberFormat="0" applyBorder="0" applyAlignment="0" applyProtection="0"/>
    <xf numFmtId="181" fontId="41" fillId="75" borderId="0" applyNumberFormat="0" applyBorder="0" applyAlignment="0" applyProtection="0"/>
    <xf numFmtId="181" fontId="42" fillId="72" borderId="0" applyNumberFormat="0" applyBorder="0" applyAlignment="0" applyProtection="0"/>
    <xf numFmtId="181" fontId="42" fillId="72" borderId="0" applyNumberFormat="0" applyBorder="0" applyAlignment="0" applyProtection="0"/>
    <xf numFmtId="181" fontId="43" fillId="76" borderId="50" applyNumberFormat="0" applyAlignment="0" applyProtection="0"/>
    <xf numFmtId="181" fontId="43" fillId="76" borderId="50" applyNumberFormat="0" applyAlignment="0" applyProtection="0"/>
    <xf numFmtId="181" fontId="44" fillId="69" borderId="51" applyNumberFormat="0" applyAlignment="0" applyProtection="0"/>
    <xf numFmtId="181" fontId="44" fillId="69" borderId="51" applyNumberFormat="0" applyAlignment="0" applyProtection="0"/>
    <xf numFmtId="37" fontId="31" fillId="0" borderId="34">
      <alignment horizontal="center"/>
    </xf>
    <xf numFmtId="37" fontId="31" fillId="0" borderId="0">
      <alignment horizontal="center" vertical="center" wrapText="1"/>
    </xf>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43" fontId="3" fillId="0" borderId="0" applyFont="0" applyFill="0" applyBorder="0" applyAlignment="0" applyProtection="0"/>
    <xf numFmtId="43" fontId="45" fillId="0" borderId="0" applyFont="0" applyFill="0" applyBorder="0" applyAlignment="0" applyProtection="0"/>
    <xf numFmtId="43" fontId="45" fillId="0" borderId="0" applyFont="0" applyFill="0" applyBorder="0" applyAlignment="0" applyProtection="0"/>
    <xf numFmtId="43" fontId="45" fillId="0" borderId="0" applyFont="0" applyFill="0" applyBorder="0" applyAlignment="0" applyProtection="0"/>
    <xf numFmtId="43" fontId="45"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182" fontId="33" fillId="0" borderId="0" applyFont="0" applyFill="0" applyBorder="0" applyAlignment="0" applyProtection="0"/>
    <xf numFmtId="43" fontId="38" fillId="0" borderId="0" applyFont="0" applyFill="0" applyBorder="0" applyAlignment="0" applyProtection="0"/>
    <xf numFmtId="182" fontId="33" fillId="0" borderId="0" applyFont="0" applyFill="0" applyBorder="0" applyAlignment="0" applyProtection="0"/>
    <xf numFmtId="182" fontId="33" fillId="0" borderId="0" applyFont="0" applyFill="0" applyBorder="0" applyAlignment="0" applyProtection="0"/>
    <xf numFmtId="182" fontId="3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83" fontId="3" fillId="0" borderId="0" applyFill="0" applyBorder="0"/>
    <xf numFmtId="183" fontId="3" fillId="0" borderId="0" applyFill="0" applyBorder="0"/>
    <xf numFmtId="183" fontId="3" fillId="0" borderId="0" applyFill="0" applyBorder="0"/>
    <xf numFmtId="41" fontId="3" fillId="0" borderId="0" applyFont="0" applyFill="0" applyBorder="0" applyAlignment="0" applyProtection="0"/>
    <xf numFmtId="43" fontId="3" fillId="0" borderId="0" applyFont="0" applyFill="0" applyBorder="0" applyAlignment="0" applyProtection="0"/>
    <xf numFmtId="181" fontId="46" fillId="77" borderId="0" applyNumberFormat="0" applyBorder="0" applyAlignment="0" applyProtection="0"/>
    <xf numFmtId="181" fontId="46" fillId="78" borderId="0" applyNumberFormat="0" applyBorder="0" applyAlignment="0" applyProtection="0"/>
    <xf numFmtId="181" fontId="46" fillId="79" borderId="0" applyNumberFormat="0" applyBorder="0" applyAlignment="0" applyProtection="0"/>
    <xf numFmtId="181" fontId="47" fillId="0" borderId="0" applyFont="0" applyFill="0" applyBorder="0" applyAlignment="0" applyProtection="0"/>
    <xf numFmtId="181" fontId="48" fillId="0" borderId="0" applyNumberFormat="0" applyFill="0" applyBorder="0" applyAlignment="0" applyProtection="0"/>
    <xf numFmtId="181" fontId="48" fillId="0" borderId="0" applyNumberFormat="0" applyFill="0" applyBorder="0" applyAlignment="0" applyProtection="0"/>
    <xf numFmtId="181" fontId="40" fillId="65" borderId="0" applyNumberFormat="0" applyBorder="0" applyAlignment="0" applyProtection="0"/>
    <xf numFmtId="181" fontId="40" fillId="65" borderId="0" applyNumberForma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49" fillId="0" borderId="52" applyNumberFormat="0" applyFill="0" applyAlignment="0" applyProtection="0"/>
    <xf numFmtId="181" fontId="49" fillId="0" borderId="52" applyNumberFormat="0" applyFill="0" applyAlignment="0" applyProtection="0"/>
    <xf numFmtId="181" fontId="50" fillId="0" borderId="53" applyNumberFormat="0" applyFill="0" applyAlignment="0" applyProtection="0"/>
    <xf numFmtId="181" fontId="50" fillId="0" borderId="53" applyNumberFormat="0" applyFill="0" applyAlignment="0" applyProtection="0"/>
    <xf numFmtId="181" fontId="51" fillId="0" borderId="54" applyNumberFormat="0" applyFill="0" applyAlignment="0" applyProtection="0"/>
    <xf numFmtId="181" fontId="51" fillId="0" borderId="54" applyNumberFormat="0" applyFill="0" applyAlignment="0" applyProtection="0"/>
    <xf numFmtId="181" fontId="51" fillId="0" borderId="0" applyNumberFormat="0" applyFill="0" applyBorder="0" applyAlignment="0" applyProtection="0"/>
    <xf numFmtId="181" fontId="51" fillId="0" borderId="0" applyNumberFormat="0" applyFill="0" applyBorder="0" applyAlignment="0" applyProtection="0"/>
    <xf numFmtId="181" fontId="52" fillId="73" borderId="50" applyNumberFormat="0" applyAlignment="0" applyProtection="0"/>
    <xf numFmtId="181" fontId="52" fillId="73" borderId="50" applyNumberFormat="0" applyAlignment="0" applyProtection="0"/>
    <xf numFmtId="181" fontId="53" fillId="80" borderId="0"/>
    <xf numFmtId="181" fontId="54" fillId="0" borderId="55" applyNumberFormat="0" applyFill="0" applyAlignment="0" applyProtection="0"/>
    <xf numFmtId="181" fontId="54" fillId="0" borderId="55" applyNumberFormat="0" applyFill="0" applyAlignment="0" applyProtection="0"/>
    <xf numFmtId="37" fontId="55" fillId="0" borderId="0"/>
    <xf numFmtId="181" fontId="54" fillId="73" borderId="0" applyNumberFormat="0" applyBorder="0" applyAlignment="0" applyProtection="0"/>
    <xf numFmtId="181" fontId="54" fillId="73" borderId="0" applyNumberFormat="0" applyBorder="0" applyAlignment="0" applyProtection="0"/>
    <xf numFmtId="38" fontId="3" fillId="0" borderId="0" applyFont="0" applyFill="0" applyBorder="0" applyAlignment="0" applyProtection="0"/>
    <xf numFmtId="181" fontId="45" fillId="0" borderId="0"/>
    <xf numFmtId="181" fontId="45" fillId="0" borderId="0"/>
    <xf numFmtId="181" fontId="45" fillId="0" borderId="0"/>
    <xf numFmtId="181" fontId="45" fillId="0" borderId="0"/>
    <xf numFmtId="181" fontId="45" fillId="0" borderId="0"/>
    <xf numFmtId="181" fontId="3" fillId="0" borderId="0"/>
    <xf numFmtId="181" fontId="3" fillId="0" borderId="0"/>
    <xf numFmtId="181" fontId="3" fillId="0" borderId="0"/>
    <xf numFmtId="181" fontId="3" fillId="0" borderId="0"/>
    <xf numFmtId="0" fontId="2" fillId="0" borderId="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40" fillId="0" borderId="0"/>
    <xf numFmtId="181" fontId="40" fillId="0" borderId="0" applyFill="0" applyBorder="0" applyAlignment="0" applyProtection="0"/>
    <xf numFmtId="181" fontId="3"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2"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56" fillId="0" borderId="0"/>
    <xf numFmtId="181" fontId="32" fillId="0" borderId="0"/>
    <xf numFmtId="181" fontId="3"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 fillId="0" borderId="0"/>
    <xf numFmtId="181" fontId="3" fillId="0" borderId="0"/>
    <xf numFmtId="181" fontId="3" fillId="0" borderId="0"/>
    <xf numFmtId="181" fontId="3"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2" fillId="0" borderId="0"/>
    <xf numFmtId="181" fontId="32" fillId="0" borderId="0"/>
    <xf numFmtId="181" fontId="32" fillId="0" borderId="0"/>
    <xf numFmtId="181" fontId="32" fillId="0" borderId="0"/>
    <xf numFmtId="181" fontId="32" fillId="0" borderId="0"/>
    <xf numFmtId="181" fontId="32"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2" fillId="0" borderId="0"/>
    <xf numFmtId="181" fontId="32"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 fillId="0" borderId="0"/>
    <xf numFmtId="181" fontId="40" fillId="0" borderId="0" applyFill="0" applyBorder="0" applyAlignment="0" applyProtection="0"/>
    <xf numFmtId="181" fontId="45" fillId="0" borderId="0"/>
    <xf numFmtId="181" fontId="45"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33" fillId="0" borderId="0">
      <alignment vertical="top"/>
    </xf>
    <xf numFmtId="181" fontId="33" fillId="0" borderId="0">
      <alignment vertical="top"/>
    </xf>
    <xf numFmtId="181" fontId="57" fillId="0" borderId="0" applyFill="0" applyBorder="0">
      <protection locked="0"/>
    </xf>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9" fillId="76" borderId="56" applyNumberFormat="0" applyAlignment="0" applyProtection="0"/>
    <xf numFmtId="181" fontId="59" fillId="76" borderId="56" applyNumberFormat="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38"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3"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184" fontId="45" fillId="81" borderId="18">
      <alignment vertical="center"/>
    </xf>
    <xf numFmtId="185" fontId="45" fillId="81" borderId="18">
      <alignment vertical="center"/>
    </xf>
    <xf numFmtId="185" fontId="45" fillId="81" borderId="18">
      <alignment vertical="center"/>
    </xf>
    <xf numFmtId="181" fontId="45" fillId="81" borderId="18">
      <alignment vertical="center"/>
    </xf>
    <xf numFmtId="181" fontId="45" fillId="81" borderId="18">
      <alignment vertical="center"/>
    </xf>
    <xf numFmtId="181" fontId="45" fillId="81" borderId="18">
      <alignment vertical="center"/>
    </xf>
    <xf numFmtId="181" fontId="45" fillId="81" borderId="18">
      <alignment vertical="center"/>
    </xf>
    <xf numFmtId="177" fontId="45" fillId="81" borderId="18">
      <alignment vertical="center"/>
    </xf>
    <xf numFmtId="177" fontId="45" fillId="81" borderId="18">
      <alignment vertical="center"/>
    </xf>
    <xf numFmtId="184" fontId="45" fillId="81" borderId="18">
      <alignment vertical="center"/>
    </xf>
    <xf numFmtId="181" fontId="60" fillId="0" borderId="0"/>
    <xf numFmtId="186" fontId="45" fillId="0" borderId="0">
      <protection locked="0"/>
    </xf>
    <xf numFmtId="186" fontId="45" fillId="0" borderId="0">
      <protection locked="0"/>
    </xf>
    <xf numFmtId="185" fontId="45" fillId="4" borderId="18">
      <alignment vertical="center"/>
      <protection locked="0"/>
    </xf>
    <xf numFmtId="187" fontId="45" fillId="4" borderId="18">
      <alignment vertical="center"/>
      <protection locked="0"/>
    </xf>
    <xf numFmtId="181" fontId="45" fillId="4" borderId="18">
      <alignment vertical="center"/>
      <protection locked="0"/>
    </xf>
    <xf numFmtId="181" fontId="45" fillId="4" borderId="18">
      <alignment vertical="center"/>
      <protection locked="0"/>
    </xf>
    <xf numFmtId="187" fontId="45" fillId="4" borderId="18">
      <alignment vertical="center"/>
      <protection locked="0"/>
    </xf>
    <xf numFmtId="187" fontId="45" fillId="4" borderId="18">
      <alignment vertical="center"/>
      <protection locked="0"/>
    </xf>
    <xf numFmtId="181" fontId="45" fillId="4" borderId="18">
      <alignment vertical="center"/>
      <protection locked="0"/>
    </xf>
    <xf numFmtId="181" fontId="45" fillId="4" borderId="18">
      <alignment vertical="center"/>
      <protection locked="0"/>
    </xf>
    <xf numFmtId="187" fontId="45" fillId="4" borderId="18">
      <alignment vertical="center"/>
      <protection locked="0"/>
    </xf>
    <xf numFmtId="185" fontId="45" fillId="4" borderId="18">
      <alignment vertical="center"/>
      <protection locked="0"/>
    </xf>
    <xf numFmtId="185" fontId="45" fillId="4" borderId="18">
      <alignment vertical="center"/>
      <protection locked="0"/>
    </xf>
    <xf numFmtId="164" fontId="45" fillId="4" borderId="18">
      <alignment vertical="center"/>
      <protection locked="0"/>
    </xf>
    <xf numFmtId="164" fontId="45" fillId="4" borderId="18">
      <alignment vertical="center"/>
      <protection locked="0"/>
    </xf>
    <xf numFmtId="164" fontId="45" fillId="4" borderId="18">
      <alignment vertical="center"/>
      <protection locked="0"/>
    </xf>
    <xf numFmtId="164" fontId="45" fillId="4" borderId="18">
      <alignment vertical="center"/>
      <protection locked="0"/>
    </xf>
    <xf numFmtId="185" fontId="45" fillId="4" borderId="18">
      <alignment vertical="center"/>
      <protection locked="0"/>
    </xf>
    <xf numFmtId="185" fontId="45" fillId="82" borderId="18">
      <alignment vertical="center"/>
    </xf>
    <xf numFmtId="185" fontId="45" fillId="82" borderId="18">
      <alignment vertical="center"/>
    </xf>
    <xf numFmtId="187" fontId="45" fillId="82" borderId="18">
      <alignment vertical="center"/>
    </xf>
    <xf numFmtId="187" fontId="45" fillId="82" borderId="18">
      <alignment vertical="center"/>
    </xf>
    <xf numFmtId="187" fontId="45" fillId="82" borderId="18">
      <alignment vertical="center"/>
    </xf>
    <xf numFmtId="187" fontId="45" fillId="82" borderId="18">
      <alignment vertical="center"/>
    </xf>
    <xf numFmtId="177" fontId="45" fillId="82" borderId="18">
      <alignment vertical="center"/>
    </xf>
    <xf numFmtId="184" fontId="45" fillId="82" borderId="18">
      <alignment vertical="center"/>
    </xf>
    <xf numFmtId="181" fontId="45" fillId="82" borderId="18">
      <alignment vertical="center"/>
    </xf>
    <xf numFmtId="181" fontId="45" fillId="82" borderId="18">
      <alignment vertical="center"/>
    </xf>
    <xf numFmtId="181" fontId="45" fillId="82" borderId="18">
      <alignment vertical="center"/>
    </xf>
    <xf numFmtId="181" fontId="45" fillId="82" borderId="18">
      <alignment vertical="center"/>
    </xf>
    <xf numFmtId="185" fontId="45" fillId="82" borderId="18">
      <alignment vertical="center"/>
    </xf>
    <xf numFmtId="185" fontId="45" fillId="82" borderId="18">
      <alignment vertical="center"/>
    </xf>
    <xf numFmtId="185" fontId="45" fillId="82" borderId="18">
      <alignment vertical="center"/>
    </xf>
    <xf numFmtId="185" fontId="45" fillId="82" borderId="18">
      <alignment vertical="center"/>
    </xf>
    <xf numFmtId="185" fontId="45" fillId="83" borderId="18">
      <alignment horizontal="right" vertical="center"/>
      <protection locked="0"/>
    </xf>
    <xf numFmtId="181" fontId="45" fillId="83" borderId="18">
      <alignment horizontal="right" vertical="center"/>
      <protection locked="0"/>
    </xf>
    <xf numFmtId="181" fontId="45" fillId="83" borderId="18">
      <alignment horizontal="right" vertical="center"/>
      <protection locked="0"/>
    </xf>
    <xf numFmtId="184" fontId="45" fillId="83" borderId="18">
      <alignment horizontal="right" vertical="center"/>
      <protection locked="0"/>
    </xf>
    <xf numFmtId="177" fontId="45" fillId="83" borderId="18">
      <alignment horizontal="right" vertical="center"/>
      <protection locked="0"/>
    </xf>
    <xf numFmtId="184" fontId="45" fillId="83" borderId="18">
      <alignment horizontal="right" vertical="center"/>
      <protection locked="0"/>
    </xf>
    <xf numFmtId="185" fontId="45" fillId="83" borderId="18">
      <alignment horizontal="right" vertical="center"/>
      <protection locked="0"/>
    </xf>
    <xf numFmtId="185" fontId="45" fillId="83" borderId="18">
      <alignment horizontal="right" vertical="center"/>
      <protection locked="0"/>
    </xf>
    <xf numFmtId="185" fontId="45" fillId="83" borderId="18">
      <alignment horizontal="right" vertical="center"/>
      <protection locked="0"/>
    </xf>
    <xf numFmtId="4" fontId="58" fillId="84" borderId="50" applyNumberFormat="0" applyProtection="0">
      <alignment vertical="center"/>
    </xf>
    <xf numFmtId="4" fontId="61" fillId="85" borderId="50" applyNumberFormat="0" applyProtection="0">
      <alignment vertical="center"/>
    </xf>
    <xf numFmtId="4" fontId="58" fillId="85" borderId="50" applyNumberFormat="0" applyProtection="0">
      <alignment horizontal="left" vertical="center" indent="1"/>
    </xf>
    <xf numFmtId="181" fontId="62" fillId="84" borderId="57" applyNumberFormat="0" applyProtection="0">
      <alignment horizontal="left" vertical="top" indent="1"/>
    </xf>
    <xf numFmtId="4" fontId="58" fillId="86" borderId="50" applyNumberFormat="0" applyProtection="0">
      <alignment horizontal="left" vertical="center" indent="1"/>
    </xf>
    <xf numFmtId="4" fontId="58" fillId="87" borderId="50" applyNumberFormat="0" applyProtection="0">
      <alignment horizontal="right" vertical="center"/>
    </xf>
    <xf numFmtId="4" fontId="58" fillId="88" borderId="50" applyNumberFormat="0" applyProtection="0">
      <alignment horizontal="right" vertical="center"/>
    </xf>
    <xf numFmtId="4" fontId="58" fillId="89" borderId="58" applyNumberFormat="0" applyProtection="0">
      <alignment horizontal="right" vertical="center"/>
    </xf>
    <xf numFmtId="4" fontId="58" fillId="55" borderId="50" applyNumberFormat="0" applyProtection="0">
      <alignment horizontal="right" vertical="center"/>
    </xf>
    <xf numFmtId="4" fontId="58" fillId="90" borderId="50" applyNumberFormat="0" applyProtection="0">
      <alignment horizontal="right" vertical="center"/>
    </xf>
    <xf numFmtId="4" fontId="58" fillId="91" borderId="50" applyNumberFormat="0" applyProtection="0">
      <alignment horizontal="right" vertical="center"/>
    </xf>
    <xf numFmtId="4" fontId="58" fillId="51" borderId="50" applyNumberFormat="0" applyProtection="0">
      <alignment horizontal="right" vertical="center"/>
    </xf>
    <xf numFmtId="4" fontId="58" fillId="48" borderId="50" applyNumberFormat="0" applyProtection="0">
      <alignment horizontal="right" vertical="center"/>
    </xf>
    <xf numFmtId="4" fontId="58" fillId="92" borderId="50" applyNumberFormat="0" applyProtection="0">
      <alignment horizontal="right" vertical="center"/>
    </xf>
    <xf numFmtId="4" fontId="58" fillId="93" borderId="58" applyNumberFormat="0" applyProtection="0">
      <alignment horizontal="left" vertical="center" indent="1"/>
    </xf>
    <xf numFmtId="4" fontId="3" fillId="53" borderId="58" applyNumberFormat="0" applyProtection="0">
      <alignment horizontal="left" vertical="center" indent="1"/>
    </xf>
    <xf numFmtId="4" fontId="3" fillId="53" borderId="58" applyNumberFormat="0" applyProtection="0">
      <alignment horizontal="left" vertical="center" indent="1"/>
    </xf>
    <xf numFmtId="4" fontId="58" fillId="47" borderId="50" applyNumberFormat="0" applyProtection="0">
      <alignment horizontal="right" vertical="center"/>
    </xf>
    <xf numFmtId="4" fontId="58" fillId="46" borderId="58" applyNumberFormat="0" applyProtection="0">
      <alignment horizontal="left" vertical="center" indent="1"/>
    </xf>
    <xf numFmtId="4" fontId="38" fillId="46" borderId="0" applyNumberFormat="0" applyProtection="0">
      <alignment horizontal="left" vertical="center" indent="1"/>
    </xf>
    <xf numFmtId="4" fontId="58" fillId="46" borderId="58" applyNumberFormat="0" applyProtection="0">
      <alignment horizontal="left" vertical="center" indent="1"/>
    </xf>
    <xf numFmtId="4" fontId="58" fillId="47" borderId="58" applyNumberFormat="0" applyProtection="0">
      <alignment horizontal="left" vertical="center" indent="1"/>
    </xf>
    <xf numFmtId="4" fontId="38" fillId="47" borderId="0" applyNumberFormat="0" applyProtection="0">
      <alignment horizontal="left" vertical="center" indent="1"/>
    </xf>
    <xf numFmtId="4" fontId="58" fillId="47" borderId="58" applyNumberFormat="0" applyProtection="0">
      <alignment horizontal="left" vertical="center" indent="1"/>
    </xf>
    <xf numFmtId="181" fontId="58" fillId="3" borderId="50" applyNumberFormat="0" applyProtection="0">
      <alignment horizontal="left" vertical="center" indent="1"/>
    </xf>
    <xf numFmtId="181" fontId="3" fillId="53" borderId="57" applyNumberFormat="0" applyProtection="0">
      <alignment horizontal="left" vertical="center" indent="1"/>
    </xf>
    <xf numFmtId="181" fontId="58" fillId="3" borderId="50" applyNumberFormat="0" applyProtection="0">
      <alignment horizontal="left" vertical="center" indent="1"/>
    </xf>
    <xf numFmtId="181" fontId="58" fillId="53" borderId="57" applyNumberFormat="0" applyProtection="0">
      <alignment horizontal="left" vertical="top" indent="1"/>
    </xf>
    <xf numFmtId="181" fontId="3"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94" borderId="50" applyNumberFormat="0" applyProtection="0">
      <alignment horizontal="left" vertical="center" indent="1"/>
    </xf>
    <xf numFmtId="181" fontId="3" fillId="47" borderId="57" applyNumberFormat="0" applyProtection="0">
      <alignment horizontal="left" vertical="center" indent="1"/>
    </xf>
    <xf numFmtId="181" fontId="58" fillId="94" borderId="50" applyNumberFormat="0" applyProtection="0">
      <alignment horizontal="left" vertical="center" indent="1"/>
    </xf>
    <xf numFmtId="181" fontId="58" fillId="47" borderId="57" applyNumberFormat="0" applyProtection="0">
      <alignment horizontal="left" vertical="top" indent="1"/>
    </xf>
    <xf numFmtId="181" fontId="3"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95" borderId="50" applyNumberFormat="0" applyProtection="0">
      <alignment horizontal="left" vertical="center" indent="1"/>
    </xf>
    <xf numFmtId="181" fontId="3" fillId="95" borderId="57" applyNumberFormat="0" applyProtection="0">
      <alignment horizontal="left" vertical="center" indent="1"/>
    </xf>
    <xf numFmtId="181" fontId="58" fillId="95" borderId="50" applyNumberFormat="0" applyProtection="0">
      <alignment horizontal="left" vertical="center" indent="1"/>
    </xf>
    <xf numFmtId="181" fontId="58" fillId="95" borderId="57" applyNumberFormat="0" applyProtection="0">
      <alignment horizontal="left" vertical="top" indent="1"/>
    </xf>
    <xf numFmtId="181" fontId="3"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46" borderId="50" applyNumberFormat="0" applyProtection="0">
      <alignment horizontal="left" vertical="center" indent="1"/>
    </xf>
    <xf numFmtId="181" fontId="3" fillId="46" borderId="57" applyNumberFormat="0" applyProtection="0">
      <alignment horizontal="left" vertical="center" indent="1"/>
    </xf>
    <xf numFmtId="181" fontId="58" fillId="46" borderId="50" applyNumberFormat="0" applyProtection="0">
      <alignment horizontal="left" vertical="center" indent="1"/>
    </xf>
    <xf numFmtId="181" fontId="58" fillId="46" borderId="57" applyNumberFormat="0" applyProtection="0">
      <alignment horizontal="left" vertical="top" indent="1"/>
    </xf>
    <xf numFmtId="181" fontId="3"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96" borderId="59" applyNumberFormat="0">
      <protection locked="0"/>
    </xf>
    <xf numFmtId="181" fontId="3" fillId="96" borderId="18"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63" fillId="53" borderId="60" applyBorder="0"/>
    <xf numFmtId="4" fontId="64" fillId="80" borderId="57" applyNumberFormat="0" applyProtection="0">
      <alignment vertical="center"/>
    </xf>
    <xf numFmtId="4" fontId="61" fillId="4" borderId="18" applyNumberFormat="0" applyProtection="0">
      <alignment vertical="center"/>
    </xf>
    <xf numFmtId="4" fontId="64" fillId="3" borderId="57" applyNumberFormat="0" applyProtection="0">
      <alignment horizontal="left" vertical="center" indent="1"/>
    </xf>
    <xf numFmtId="181" fontId="64" fillId="80" borderId="57" applyNumberFormat="0" applyProtection="0">
      <alignment horizontal="left" vertical="top" indent="1"/>
    </xf>
    <xf numFmtId="4" fontId="58" fillId="0" borderId="50" applyNumberFormat="0" applyProtection="0">
      <alignment horizontal="right" vertical="center"/>
    </xf>
    <xf numFmtId="4" fontId="61" fillId="97" borderId="50" applyNumberFormat="0" applyProtection="0">
      <alignment horizontal="right" vertical="center"/>
    </xf>
    <xf numFmtId="4" fontId="58" fillId="86" borderId="50" applyNumberFormat="0" applyProtection="0">
      <alignment horizontal="left" vertical="center" indent="1"/>
    </xf>
    <xf numFmtId="181" fontId="64" fillId="47" borderId="57" applyNumberFormat="0" applyProtection="0">
      <alignment horizontal="left" vertical="top" indent="1"/>
    </xf>
    <xf numFmtId="4" fontId="65" fillId="98" borderId="58" applyNumberFormat="0" applyProtection="0">
      <alignment horizontal="left" vertical="center" indent="1"/>
    </xf>
    <xf numFmtId="181" fontId="58" fillId="99" borderId="18"/>
    <xf numFmtId="4" fontId="66" fillId="96" borderId="50" applyNumberFormat="0" applyProtection="0">
      <alignment horizontal="right" vertical="center"/>
    </xf>
    <xf numFmtId="181" fontId="67" fillId="0" borderId="0" applyNumberFormat="0" applyFill="0" applyBorder="0" applyAlignment="0" applyProtection="0"/>
    <xf numFmtId="181" fontId="3" fillId="100" borderId="0"/>
    <xf numFmtId="181" fontId="3" fillId="0" borderId="0" applyFont="0" applyFill="0" applyBorder="0" applyAlignment="0" applyProtection="0"/>
    <xf numFmtId="37" fontId="31" fillId="0" borderId="61" applyNumberFormat="0"/>
    <xf numFmtId="181" fontId="68" fillId="0" borderId="62" applyNumberFormat="0" applyAlignment="0" applyProtection="0"/>
    <xf numFmtId="181" fontId="67" fillId="0" borderId="0" applyNumberFormat="0" applyFill="0" applyBorder="0" applyAlignment="0" applyProtection="0"/>
    <xf numFmtId="181" fontId="67" fillId="0" borderId="0" applyNumberFormat="0" applyFill="0" applyBorder="0" applyAlignment="0" applyProtection="0"/>
    <xf numFmtId="188" fontId="31" fillId="0" borderId="32" applyFill="0"/>
    <xf numFmtId="181" fontId="46" fillId="0" borderId="63" applyNumberFormat="0" applyFill="0" applyAlignment="0" applyProtection="0"/>
    <xf numFmtId="181" fontId="46" fillId="0" borderId="63" applyNumberFormat="0" applyFill="0" applyAlignment="0" applyProtection="0"/>
    <xf numFmtId="37" fontId="31" fillId="0" borderId="48" applyNumberFormat="0" applyFill="0"/>
    <xf numFmtId="42" fontId="3" fillId="0" borderId="0" applyFont="0" applyFill="0" applyBorder="0" applyAlignment="0" applyProtection="0"/>
    <xf numFmtId="44" fontId="3" fillId="0" borderId="0" applyFont="0" applyFill="0" applyBorder="0" applyAlignment="0" applyProtection="0"/>
    <xf numFmtId="181" fontId="69" fillId="0" borderId="0" applyNumberFormat="0" applyFill="0" applyBorder="0" applyAlignment="0" applyProtection="0"/>
    <xf numFmtId="181" fontId="69" fillId="0" borderId="0" applyNumberFormat="0" applyFill="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0" fontId="2" fillId="0" borderId="0"/>
    <xf numFmtId="0" fontId="33" fillId="0" borderId="0"/>
    <xf numFmtId="0" fontId="70" fillId="0" borderId="0"/>
    <xf numFmtId="43" fontId="33" fillId="0" borderId="0" applyFont="0" applyFill="0" applyBorder="0" applyAlignment="0" applyProtection="0"/>
    <xf numFmtId="189" fontId="33" fillId="0" borderId="0"/>
    <xf numFmtId="0" fontId="33" fillId="0" borderId="0"/>
    <xf numFmtId="0" fontId="33" fillId="0" borderId="0"/>
    <xf numFmtId="0" fontId="33" fillId="0" borderId="0"/>
    <xf numFmtId="0" fontId="3" fillId="0" borderId="0"/>
    <xf numFmtId="182" fontId="33" fillId="0" borderId="0" applyFont="0" applyFill="0" applyBorder="0" applyAlignment="0" applyProtection="0"/>
    <xf numFmtId="182" fontId="33" fillId="0" borderId="0" applyFont="0" applyFill="0" applyBorder="0" applyAlignment="0" applyProtection="0"/>
    <xf numFmtId="182" fontId="33" fillId="0" borderId="0" applyFont="0" applyFill="0" applyBorder="0" applyAlignment="0" applyProtection="0"/>
    <xf numFmtId="0" fontId="2" fillId="0" borderId="0"/>
    <xf numFmtId="0" fontId="33" fillId="0" borderId="0" applyFont="0" applyFill="0" applyBorder="0" applyAlignment="0" applyProtection="0"/>
    <xf numFmtId="0" fontId="3" fillId="0" borderId="0"/>
    <xf numFmtId="0" fontId="3" fillId="0" borderId="0"/>
    <xf numFmtId="0" fontId="2" fillId="0" borderId="0"/>
    <xf numFmtId="0" fontId="2" fillId="0" borderId="0"/>
    <xf numFmtId="0" fontId="2" fillId="0" borderId="0"/>
    <xf numFmtId="0" fontId="33" fillId="0" borderId="0"/>
    <xf numFmtId="9" fontId="33" fillId="0" borderId="0" applyFont="0" applyFill="0" applyBorder="0" applyAlignment="0" applyProtection="0"/>
    <xf numFmtId="9" fontId="33" fillId="0" borderId="0" applyFont="0" applyFill="0" applyBorder="0" applyAlignment="0" applyProtection="0"/>
    <xf numFmtId="185" fontId="2" fillId="45" borderId="18">
      <alignment vertical="center"/>
    </xf>
    <xf numFmtId="177" fontId="2" fillId="45" borderId="18">
      <alignment vertical="center"/>
    </xf>
    <xf numFmtId="184" fontId="2" fillId="45" borderId="18">
      <alignment vertical="center"/>
    </xf>
    <xf numFmtId="185" fontId="2" fillId="5" borderId="18">
      <alignment vertical="center"/>
      <protection locked="0"/>
    </xf>
    <xf numFmtId="177" fontId="2" fillId="5" borderId="18">
      <alignment vertical="center"/>
      <protection locked="0"/>
    </xf>
    <xf numFmtId="190" fontId="2" fillId="101" borderId="18">
      <alignment vertical="center"/>
    </xf>
    <xf numFmtId="177" fontId="2" fillId="101" borderId="18">
      <alignment vertical="center"/>
    </xf>
    <xf numFmtId="184" fontId="2" fillId="101" borderId="18">
      <alignment vertical="center"/>
    </xf>
    <xf numFmtId="185" fontId="2" fillId="101" borderId="18">
      <alignment vertical="center"/>
    </xf>
    <xf numFmtId="177" fontId="2" fillId="102" borderId="18">
      <alignment horizontal="right" vertical="center"/>
      <protection locked="0"/>
    </xf>
    <xf numFmtId="184" fontId="2" fillId="102" borderId="18">
      <alignment horizontal="right" vertical="center"/>
      <protection locked="0"/>
    </xf>
    <xf numFmtId="185" fontId="2" fillId="102" borderId="18">
      <alignment horizontal="right" vertical="center"/>
      <protection locked="0"/>
    </xf>
    <xf numFmtId="0" fontId="33" fillId="0" borderId="0"/>
    <xf numFmtId="0" fontId="33" fillId="0" borderId="0"/>
    <xf numFmtId="0" fontId="33" fillId="0" borderId="0"/>
    <xf numFmtId="0" fontId="33" fillId="0" borderId="0"/>
    <xf numFmtId="0" fontId="33" fillId="0" borderId="0"/>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8" fontId="31" fillId="0" borderId="65" applyFill="0"/>
    <xf numFmtId="0" fontId="33" fillId="0" borderId="0"/>
    <xf numFmtId="0" fontId="33" fillId="0" borderId="0"/>
    <xf numFmtId="182" fontId="2" fillId="0" borderId="0" applyFont="0" applyFill="0" applyBorder="0" applyAlignment="0" applyProtection="0"/>
    <xf numFmtId="185" fontId="2" fillId="101" borderId="18">
      <alignment vertical="center"/>
    </xf>
  </cellStyleXfs>
  <cellXfs count="444">
    <xf numFmtId="0" fontId="0" fillId="0" borderId="0" xfId="0"/>
    <xf numFmtId="168" fontId="17" fillId="0" borderId="0" xfId="0" applyNumberFormat="1" applyFont="1" applyAlignment="1">
      <alignment vertical="center"/>
    </xf>
    <xf numFmtId="168" fontId="7" fillId="0" borderId="0" xfId="0" applyNumberFormat="1" applyFont="1" applyFill="1" applyBorder="1" applyAlignment="1" applyProtection="1">
      <alignment horizontal="center" vertical="center" wrapText="1"/>
      <protection locked="0"/>
    </xf>
    <xf numFmtId="168" fontId="7" fillId="0" borderId="0" xfId="0" applyNumberFormat="1" applyFont="1" applyFill="1" applyBorder="1" applyAlignment="1">
      <alignment vertical="center"/>
    </xf>
    <xf numFmtId="170" fontId="5" fillId="0" borderId="0" xfId="0" applyNumberFormat="1" applyFont="1" applyFill="1" applyBorder="1" applyAlignment="1" applyProtection="1">
      <alignment horizontal="left" vertical="center"/>
    </xf>
    <xf numFmtId="168" fontId="6" fillId="8" borderId="0" xfId="0" applyNumberFormat="1" applyFont="1" applyFill="1" applyBorder="1" applyAlignment="1">
      <alignment vertical="center"/>
    </xf>
    <xf numFmtId="168" fontId="5" fillId="8" borderId="0" xfId="0" applyNumberFormat="1" applyFont="1" applyFill="1" applyBorder="1" applyAlignment="1">
      <alignment vertical="center"/>
    </xf>
    <xf numFmtId="0" fontId="7" fillId="8" borderId="0" xfId="0" applyFont="1" applyFill="1" applyBorder="1" applyAlignment="1">
      <alignment vertical="center"/>
    </xf>
    <xf numFmtId="168" fontId="11" fillId="8" borderId="0" xfId="0" applyNumberFormat="1" applyFont="1" applyFill="1" applyBorder="1" applyAlignment="1">
      <alignment vertical="center"/>
    </xf>
    <xf numFmtId="168" fontId="12" fillId="8" borderId="0" xfId="0" applyNumberFormat="1" applyFont="1" applyFill="1" applyBorder="1" applyAlignment="1">
      <alignment vertical="center"/>
    </xf>
    <xf numFmtId="168" fontId="7" fillId="8" borderId="0" xfId="0" applyNumberFormat="1" applyFont="1" applyFill="1" applyBorder="1" applyAlignment="1">
      <alignment vertical="center"/>
    </xf>
    <xf numFmtId="168" fontId="5" fillId="0" borderId="0" xfId="0" applyNumberFormat="1" applyFont="1" applyAlignment="1">
      <alignment vertical="center"/>
    </xf>
    <xf numFmtId="168" fontId="5" fillId="0" borderId="0" xfId="0" applyNumberFormat="1" applyFont="1" applyBorder="1" applyAlignment="1">
      <alignment vertical="center"/>
    </xf>
    <xf numFmtId="168" fontId="5" fillId="0" borderId="0" xfId="0" applyNumberFormat="1" applyFont="1" applyBorder="1" applyAlignment="1">
      <alignment horizontal="left" vertical="center"/>
    </xf>
    <xf numFmtId="168" fontId="5" fillId="0" borderId="0" xfId="0" applyNumberFormat="1" applyFont="1" applyBorder="1" applyAlignment="1">
      <alignment horizontal="center" vertical="center"/>
    </xf>
    <xf numFmtId="168" fontId="19" fillId="10" borderId="0" xfId="5" applyAlignment="1">
      <alignment vertical="center"/>
    </xf>
    <xf numFmtId="0" fontId="7" fillId="0" borderId="0" xfId="0" applyFont="1" applyFill="1" applyBorder="1" applyAlignment="1">
      <alignment vertical="center"/>
    </xf>
    <xf numFmtId="168" fontId="5" fillId="7" borderId="0" xfId="6" applyAlignment="1">
      <alignment vertical="center"/>
    </xf>
    <xf numFmtId="0" fontId="7" fillId="0" borderId="0" xfId="0" applyFont="1" applyFill="1" applyBorder="1" applyAlignment="1">
      <alignment horizontal="left" vertical="center"/>
    </xf>
    <xf numFmtId="170" fontId="7" fillId="0" borderId="0" xfId="0" applyNumberFormat="1" applyFont="1" applyFill="1" applyBorder="1" applyAlignment="1">
      <alignment vertical="center"/>
    </xf>
    <xf numFmtId="168" fontId="18" fillId="0" borderId="0" xfId="0" applyNumberFormat="1" applyFont="1" applyAlignment="1">
      <alignment vertical="center"/>
    </xf>
    <xf numFmtId="168" fontId="5" fillId="0" borderId="0" xfId="0" applyNumberFormat="1" applyFont="1" applyAlignment="1">
      <alignment horizontal="left" vertical="center"/>
    </xf>
    <xf numFmtId="168" fontId="5" fillId="0" borderId="0" xfId="0" applyNumberFormat="1" applyFont="1" applyAlignment="1">
      <alignment horizontal="center" vertical="center"/>
    </xf>
    <xf numFmtId="168" fontId="16" fillId="0" borderId="0" xfId="0" applyNumberFormat="1" applyFont="1" applyAlignment="1">
      <alignment vertical="center"/>
    </xf>
    <xf numFmtId="168" fontId="13" fillId="0" borderId="0" xfId="0" applyNumberFormat="1" applyFont="1" applyFill="1" applyBorder="1" applyAlignment="1">
      <alignment vertical="center"/>
    </xf>
    <xf numFmtId="168" fontId="7" fillId="0" borderId="0" xfId="0" applyNumberFormat="1" applyFont="1" applyAlignment="1">
      <alignment horizontal="left" vertical="center"/>
    </xf>
    <xf numFmtId="168" fontId="7" fillId="0" borderId="23" xfId="0" applyNumberFormat="1" applyFont="1" applyFill="1" applyBorder="1" applyAlignment="1">
      <alignment vertical="center"/>
    </xf>
    <xf numFmtId="168" fontId="7" fillId="6" borderId="0" xfId="0" applyNumberFormat="1" applyFont="1" applyFill="1" applyAlignment="1">
      <alignment horizontal="left" vertical="center"/>
    </xf>
    <xf numFmtId="168" fontId="7" fillId="6" borderId="0" xfId="0" applyNumberFormat="1" applyFont="1" applyFill="1" applyAlignment="1">
      <alignment horizontal="center" vertical="center"/>
    </xf>
    <xf numFmtId="168" fontId="7" fillId="6" borderId="0" xfId="0" applyNumberFormat="1" applyFont="1" applyFill="1" applyAlignment="1">
      <alignment vertical="center"/>
    </xf>
    <xf numFmtId="168" fontId="7" fillId="0" borderId="0" xfId="0" applyNumberFormat="1" applyFont="1" applyBorder="1" applyAlignment="1">
      <alignment horizontal="left" vertical="center"/>
    </xf>
    <xf numFmtId="168" fontId="7" fillId="0" borderId="0" xfId="0" applyNumberFormat="1" applyFont="1" applyBorder="1" applyAlignment="1">
      <alignment horizontal="center" vertical="center"/>
    </xf>
    <xf numFmtId="168" fontId="7" fillId="0" borderId="32" xfId="0" applyNumberFormat="1" applyFont="1" applyBorder="1" applyAlignment="1">
      <alignment vertical="center"/>
    </xf>
    <xf numFmtId="168" fontId="7" fillId="0" borderId="0" xfId="0" applyNumberFormat="1" applyFont="1" applyFill="1" applyBorder="1" applyAlignment="1">
      <alignment horizontal="center" vertical="center"/>
    </xf>
    <xf numFmtId="168" fontId="7" fillId="0" borderId="24" xfId="0" applyNumberFormat="1" applyFont="1" applyFill="1" applyBorder="1" applyAlignment="1">
      <alignment vertical="center"/>
    </xf>
    <xf numFmtId="168" fontId="7" fillId="0" borderId="0" xfId="0" applyNumberFormat="1" applyFont="1" applyFill="1" applyBorder="1" applyAlignment="1">
      <alignment horizontal="left" vertical="center"/>
    </xf>
    <xf numFmtId="168" fontId="7" fillId="6" borderId="0" xfId="7" applyAlignment="1">
      <alignment vertical="center"/>
    </xf>
    <xf numFmtId="168" fontId="9" fillId="0" borderId="0" xfId="0" applyNumberFormat="1" applyFont="1" applyFill="1" applyBorder="1" applyAlignment="1">
      <alignment vertical="center"/>
    </xf>
    <xf numFmtId="168" fontId="7" fillId="0" borderId="32" xfId="0" applyNumberFormat="1" applyFont="1" applyFill="1" applyBorder="1" applyAlignment="1">
      <alignment vertical="center"/>
    </xf>
    <xf numFmtId="168" fontId="7" fillId="0" borderId="0" xfId="0" quotePrefix="1" applyNumberFormat="1" applyFont="1" applyFill="1" applyBorder="1" applyAlignment="1">
      <alignment vertical="center"/>
    </xf>
    <xf numFmtId="164" fontId="11" fillId="0" borderId="0" xfId="0" applyNumberFormat="1" applyFont="1" applyFill="1" applyBorder="1" applyAlignment="1">
      <alignment vertical="center"/>
    </xf>
    <xf numFmtId="164" fontId="7" fillId="0" borderId="0" xfId="0" applyNumberFormat="1" applyFont="1" applyFill="1" applyBorder="1" applyAlignment="1">
      <alignment vertical="center"/>
    </xf>
    <xf numFmtId="168" fontId="7" fillId="0" borderId="11" xfId="0" applyNumberFormat="1" applyFont="1" applyFill="1" applyBorder="1" applyAlignment="1">
      <alignment vertical="center"/>
    </xf>
    <xf numFmtId="166" fontId="7" fillId="8" borderId="0" xfId="0" applyNumberFormat="1" applyFont="1" applyFill="1" applyBorder="1" applyAlignment="1">
      <alignment vertical="center"/>
    </xf>
    <xf numFmtId="168" fontId="5" fillId="0" borderId="0" xfId="0" applyNumberFormat="1" applyFont="1" applyFill="1" applyBorder="1" applyAlignment="1">
      <alignment vertical="center"/>
    </xf>
    <xf numFmtId="168" fontId="7" fillId="0" borderId="0" xfId="0" applyNumberFormat="1" applyFont="1" applyFill="1" applyBorder="1" applyAlignment="1">
      <alignment horizontal="right" vertical="center"/>
    </xf>
    <xf numFmtId="168" fontId="5" fillId="8" borderId="0" xfId="0" applyNumberFormat="1" applyFont="1" applyFill="1" applyBorder="1" applyAlignment="1">
      <alignment horizontal="center" vertical="center"/>
    </xf>
    <xf numFmtId="168" fontId="5" fillId="8" borderId="0" xfId="0" applyNumberFormat="1" applyFont="1" applyFill="1" applyAlignment="1">
      <alignment vertical="center"/>
    </xf>
    <xf numFmtId="0" fontId="11" fillId="0" borderId="0" xfId="0" applyFont="1" applyFill="1" applyBorder="1" applyAlignment="1">
      <alignment vertical="center"/>
    </xf>
    <xf numFmtId="168" fontId="5" fillId="0" borderId="11" xfId="0" applyNumberFormat="1" applyFont="1" applyFill="1" applyBorder="1" applyAlignment="1">
      <alignment vertical="center"/>
    </xf>
    <xf numFmtId="170" fontId="5" fillId="0" borderId="0" xfId="0" applyNumberFormat="1" applyFont="1" applyFill="1" applyBorder="1" applyAlignment="1">
      <alignment vertical="center"/>
    </xf>
    <xf numFmtId="168" fontId="5" fillId="0" borderId="32" xfId="0" applyNumberFormat="1" applyFont="1" applyBorder="1" applyAlignment="1">
      <alignment vertical="center"/>
    </xf>
    <xf numFmtId="168" fontId="11" fillId="0" borderId="0" xfId="0" applyNumberFormat="1" applyFont="1" applyAlignment="1">
      <alignment vertical="center"/>
    </xf>
    <xf numFmtId="164" fontId="7" fillId="0" borderId="0" xfId="0" applyNumberFormat="1" applyFont="1" applyAlignment="1">
      <alignment vertical="center"/>
    </xf>
    <xf numFmtId="170" fontId="5" fillId="0" borderId="0" xfId="0" applyNumberFormat="1" applyFont="1" applyAlignment="1">
      <alignment vertical="center"/>
    </xf>
    <xf numFmtId="170" fontId="5" fillId="0" borderId="0" xfId="0" applyNumberFormat="1" applyFont="1" applyBorder="1" applyAlignment="1">
      <alignment vertical="center"/>
    </xf>
    <xf numFmtId="170" fontId="7" fillId="0" borderId="0" xfId="0" applyNumberFormat="1" applyFont="1" applyBorder="1" applyAlignment="1" applyProtection="1">
      <alignment vertical="center"/>
      <protection locked="0"/>
    </xf>
    <xf numFmtId="170" fontId="9" fillId="0" borderId="0" xfId="0" applyNumberFormat="1" applyFont="1" applyFill="1" applyBorder="1" applyAlignment="1">
      <alignment vertical="center"/>
    </xf>
    <xf numFmtId="170" fontId="10" fillId="0" borderId="0" xfId="0" applyNumberFormat="1" applyFont="1" applyBorder="1" applyAlignment="1">
      <alignment vertical="center"/>
    </xf>
    <xf numFmtId="170" fontId="13" fillId="0" borderId="0" xfId="0" applyNumberFormat="1" applyFont="1" applyBorder="1" applyAlignment="1">
      <alignment vertical="center"/>
    </xf>
    <xf numFmtId="170" fontId="0" fillId="0" borderId="0" xfId="0" applyNumberFormat="1" applyAlignment="1">
      <alignment vertical="center"/>
    </xf>
    <xf numFmtId="168" fontId="10" fillId="0" borderId="0" xfId="0" applyNumberFormat="1" applyFont="1" applyAlignment="1">
      <alignment vertical="center"/>
    </xf>
    <xf numFmtId="168" fontId="10" fillId="0" borderId="0" xfId="0" applyNumberFormat="1" applyFont="1" applyAlignment="1">
      <alignment horizontal="right" vertical="center"/>
    </xf>
    <xf numFmtId="0" fontId="21" fillId="8" borderId="0" xfId="0" applyFont="1" applyFill="1" applyBorder="1" applyAlignment="1">
      <alignment horizontal="left" vertical="center"/>
    </xf>
    <xf numFmtId="0" fontId="5" fillId="8" borderId="0" xfId="0" applyFont="1" applyFill="1" applyBorder="1" applyAlignment="1">
      <alignment horizontal="left" vertical="center"/>
    </xf>
    <xf numFmtId="0" fontId="5" fillId="8" borderId="0" xfId="0" applyFont="1" applyFill="1" applyBorder="1" applyAlignment="1">
      <alignment vertical="center"/>
    </xf>
    <xf numFmtId="0" fontId="6" fillId="8" borderId="0" xfId="0" applyFont="1" applyFill="1" applyBorder="1" applyAlignment="1">
      <alignment horizontal="left" vertical="center"/>
    </xf>
    <xf numFmtId="0" fontId="20" fillId="8" borderId="0" xfId="0" applyFont="1" applyFill="1" applyBorder="1" applyAlignment="1">
      <alignment horizontal="left" vertical="center"/>
    </xf>
    <xf numFmtId="0" fontId="20" fillId="8" borderId="0" xfId="0" applyFont="1" applyFill="1" applyBorder="1" applyAlignment="1">
      <alignment vertical="center"/>
    </xf>
    <xf numFmtId="0" fontId="5" fillId="0" borderId="0" xfId="0" applyFont="1" applyAlignment="1">
      <alignment vertical="center"/>
    </xf>
    <xf numFmtId="0" fontId="5" fillId="0" borderId="0" xfId="0" applyFont="1" applyFill="1" applyAlignment="1">
      <alignment vertical="center"/>
    </xf>
    <xf numFmtId="0" fontId="7" fillId="0" borderId="0" xfId="0" applyFont="1" applyFill="1" applyAlignment="1">
      <alignment vertical="center"/>
    </xf>
    <xf numFmtId="166" fontId="5" fillId="0" borderId="0" xfId="0" applyNumberFormat="1" applyFont="1" applyAlignment="1">
      <alignment vertical="center"/>
    </xf>
    <xf numFmtId="164" fontId="7" fillId="5" borderId="0" xfId="0" applyNumberFormat="1" applyFont="1" applyFill="1" applyBorder="1" applyAlignment="1">
      <alignment vertical="center"/>
    </xf>
    <xf numFmtId="166" fontId="17" fillId="0" borderId="0" xfId="0" applyNumberFormat="1" applyFont="1" applyAlignment="1">
      <alignment vertical="center"/>
    </xf>
    <xf numFmtId="0" fontId="5" fillId="9" borderId="30" xfId="0" applyFont="1" applyFill="1" applyBorder="1" applyAlignment="1">
      <alignment vertical="center"/>
    </xf>
    <xf numFmtId="166" fontId="5" fillId="0" borderId="0" xfId="0" applyNumberFormat="1" applyFont="1" applyAlignment="1">
      <alignment horizontal="left" vertical="center"/>
    </xf>
    <xf numFmtId="166" fontId="17" fillId="0" borderId="0" xfId="0" applyNumberFormat="1" applyFont="1" applyAlignment="1">
      <alignment horizontal="left" vertical="center"/>
    </xf>
    <xf numFmtId="0" fontId="5" fillId="11" borderId="30" xfId="0" applyFont="1" applyFill="1" applyBorder="1" applyAlignment="1">
      <alignment vertical="center"/>
    </xf>
    <xf numFmtId="0" fontId="5" fillId="2" borderId="30" xfId="0" applyFont="1" applyFill="1" applyBorder="1" applyAlignment="1">
      <alignment vertical="center"/>
    </xf>
    <xf numFmtId="0" fontId="6" fillId="8" borderId="0" xfId="0" applyFont="1" applyFill="1" applyBorder="1" applyAlignment="1">
      <alignment vertical="center"/>
    </xf>
    <xf numFmtId="168" fontId="13" fillId="0" borderId="0" xfId="0" applyNumberFormat="1" applyFont="1" applyAlignment="1">
      <alignment vertical="center"/>
    </xf>
    <xf numFmtId="0" fontId="5" fillId="0" borderId="0" xfId="0" applyFont="1" applyBorder="1" applyAlignment="1">
      <alignment vertical="center"/>
    </xf>
    <xf numFmtId="0" fontId="22" fillId="0" borderId="0" xfId="0" applyFont="1" applyAlignment="1">
      <alignment horizontal="right" vertical="center"/>
    </xf>
    <xf numFmtId="168" fontId="19" fillId="10" borderId="0" xfId="5" applyFont="1" applyAlignment="1">
      <alignment vertical="center"/>
    </xf>
    <xf numFmtId="171" fontId="5" fillId="0" borderId="0" xfId="0" applyNumberFormat="1" applyFont="1" applyFill="1" applyBorder="1" applyAlignment="1">
      <alignment vertical="center"/>
    </xf>
    <xf numFmtId="168" fontId="15" fillId="0" borderId="0" xfId="0" applyNumberFormat="1" applyFont="1" applyAlignment="1">
      <alignment vertical="center"/>
    </xf>
    <xf numFmtId="170" fontId="5" fillId="0" borderId="0" xfId="0" applyNumberFormat="1" applyFont="1" applyAlignment="1">
      <alignment vertical="center"/>
    </xf>
    <xf numFmtId="170" fontId="7" fillId="0" borderId="0" xfId="0" applyNumberFormat="1" applyFont="1" applyFill="1" applyBorder="1" applyAlignment="1">
      <alignment horizontal="center" vertical="center"/>
    </xf>
    <xf numFmtId="170" fontId="7" fillId="0" borderId="0" xfId="0" quotePrefix="1" applyNumberFormat="1" applyFont="1" applyFill="1" applyBorder="1" applyAlignment="1">
      <alignment vertical="center"/>
    </xf>
    <xf numFmtId="170" fontId="11" fillId="0" borderId="0" xfId="0" applyNumberFormat="1" applyFont="1" applyFill="1" applyBorder="1" applyAlignment="1">
      <alignment vertical="center"/>
    </xf>
    <xf numFmtId="168" fontId="7" fillId="0" borderId="0" xfId="0" applyNumberFormat="1" applyFont="1" applyFill="1" applyBorder="1" applyAlignment="1">
      <alignment vertical="center"/>
    </xf>
    <xf numFmtId="168" fontId="5" fillId="0" borderId="0" xfId="0" applyNumberFormat="1" applyFont="1" applyFill="1" applyBorder="1" applyAlignment="1">
      <alignment horizontal="center" vertical="center"/>
    </xf>
    <xf numFmtId="168" fontId="7" fillId="0" borderId="0" xfId="0" applyNumberFormat="1" applyFont="1" applyFill="1" applyBorder="1" applyAlignment="1" applyProtection="1">
      <alignment vertical="center"/>
      <protection locked="0"/>
    </xf>
    <xf numFmtId="164" fontId="13"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8" fontId="11" fillId="0" borderId="0" xfId="0" applyNumberFormat="1" applyFont="1" applyAlignment="1">
      <alignment vertical="center"/>
    </xf>
    <xf numFmtId="164" fontId="5" fillId="0" borderId="0" xfId="0" applyNumberFormat="1" applyFont="1" applyFill="1" applyBorder="1" applyAlignment="1">
      <alignment vertical="center"/>
    </xf>
    <xf numFmtId="170" fontId="5" fillId="0" borderId="0" xfId="0" applyNumberFormat="1" applyFont="1" applyBorder="1" applyAlignment="1">
      <alignment vertical="center"/>
    </xf>
    <xf numFmtId="164" fontId="5" fillId="0" borderId="0" xfId="0" applyNumberFormat="1" applyFont="1" applyAlignment="1">
      <alignment vertical="center"/>
    </xf>
    <xf numFmtId="168" fontId="5" fillId="7" borderId="0" xfId="6" applyAlignment="1">
      <alignment horizontal="center" vertical="center"/>
    </xf>
    <xf numFmtId="168" fontId="7" fillId="0" borderId="0" xfId="0" applyNumberFormat="1" applyFont="1" applyFill="1" applyBorder="1" applyAlignment="1">
      <alignment vertical="center"/>
    </xf>
    <xf numFmtId="171" fontId="7" fillId="0" borderId="0" xfId="0" applyNumberFormat="1" applyFont="1" applyFill="1" applyBorder="1" applyAlignment="1">
      <alignment vertical="center"/>
    </xf>
    <xf numFmtId="171" fontId="7" fillId="0" borderId="0" xfId="0" applyNumberFormat="1" applyFont="1" applyFill="1" applyBorder="1" applyAlignment="1">
      <alignment vertical="center"/>
    </xf>
    <xf numFmtId="168" fontId="5" fillId="0" borderId="0" xfId="0" applyNumberFormat="1" applyFont="1" applyFill="1" applyBorder="1" applyAlignment="1">
      <alignment horizontal="center" vertical="center"/>
    </xf>
    <xf numFmtId="168" fontId="7" fillId="0" borderId="33" xfId="0" applyNumberFormat="1" applyFont="1" applyFill="1" applyBorder="1" applyAlignment="1">
      <alignment vertical="center"/>
    </xf>
    <xf numFmtId="168" fontId="14" fillId="0" borderId="0" xfId="0" applyNumberFormat="1" applyFont="1" applyBorder="1" applyAlignment="1">
      <alignment vertical="center"/>
    </xf>
    <xf numFmtId="168" fontId="7" fillId="0" borderId="11" xfId="0" applyNumberFormat="1" applyFont="1" applyBorder="1" applyAlignment="1">
      <alignment vertical="center"/>
    </xf>
    <xf numFmtId="168" fontId="7" fillId="0" borderId="34" xfId="0" applyNumberFormat="1" applyFont="1" applyBorder="1" applyAlignment="1">
      <alignment vertical="center"/>
    </xf>
    <xf numFmtId="168" fontId="13" fillId="0" borderId="0" xfId="0" applyNumberFormat="1" applyFont="1" applyFill="1" applyAlignment="1">
      <alignment vertical="center"/>
    </xf>
    <xf numFmtId="168" fontId="7" fillId="0" borderId="28" xfId="0" applyNumberFormat="1" applyFont="1" applyFill="1" applyBorder="1" applyAlignment="1">
      <alignment vertical="center"/>
    </xf>
    <xf numFmtId="168" fontId="7" fillId="0" borderId="0" xfId="0" applyNumberFormat="1" applyFont="1" applyBorder="1" applyAlignment="1" applyProtection="1">
      <alignment vertical="center"/>
      <protection locked="0"/>
    </xf>
    <xf numFmtId="169" fontId="7" fillId="0" borderId="0" xfId="0" applyNumberFormat="1" applyFont="1" applyFill="1" applyBorder="1" applyAlignment="1">
      <alignment vertical="center"/>
    </xf>
    <xf numFmtId="165" fontId="7" fillId="0" borderId="0" xfId="0" applyNumberFormat="1" applyFont="1" applyFill="1" applyBorder="1" applyAlignment="1">
      <alignment vertical="center"/>
    </xf>
    <xf numFmtId="167" fontId="7" fillId="0" borderId="0" xfId="0" applyNumberFormat="1" applyFont="1" applyFill="1" applyBorder="1" applyAlignment="1">
      <alignment vertical="center"/>
    </xf>
    <xf numFmtId="9" fontId="7" fillId="0" borderId="0" xfId="0" applyNumberFormat="1" applyFont="1" applyFill="1" applyBorder="1" applyAlignment="1">
      <alignment vertical="center"/>
    </xf>
    <xf numFmtId="0" fontId="7" fillId="8" borderId="0" xfId="0" applyFont="1" applyFill="1" applyAlignment="1">
      <alignment vertical="center"/>
    </xf>
    <xf numFmtId="167" fontId="7" fillId="8" borderId="0" xfId="0" applyNumberFormat="1" applyFont="1" applyFill="1" applyAlignment="1">
      <alignment vertical="center"/>
    </xf>
    <xf numFmtId="0" fontId="7" fillId="8" borderId="1" xfId="0" applyFont="1" applyFill="1" applyBorder="1" applyAlignment="1">
      <alignment vertical="center"/>
    </xf>
    <xf numFmtId="167" fontId="7" fillId="8" borderId="1" xfId="0" applyNumberFormat="1" applyFont="1" applyFill="1" applyBorder="1" applyAlignment="1">
      <alignment vertical="center"/>
    </xf>
    <xf numFmtId="0" fontId="8" fillId="4" borderId="2" xfId="0" applyFont="1" applyFill="1" applyBorder="1" applyAlignment="1">
      <alignment horizontal="center" vertical="center" wrapText="1"/>
    </xf>
    <xf numFmtId="0" fontId="8" fillId="4" borderId="20"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22" xfId="0" applyFont="1" applyFill="1" applyBorder="1" applyAlignment="1">
      <alignment vertical="center"/>
    </xf>
    <xf numFmtId="0" fontId="7" fillId="3" borderId="18" xfId="0" applyFont="1" applyFill="1" applyBorder="1" applyAlignment="1">
      <alignment vertical="center"/>
    </xf>
    <xf numFmtId="0" fontId="7" fillId="3" borderId="21" xfId="0" applyFont="1" applyFill="1" applyBorder="1" applyAlignment="1">
      <alignment vertical="center"/>
    </xf>
    <xf numFmtId="0" fontId="7" fillId="3" borderId="25" xfId="0" applyFont="1" applyFill="1" applyBorder="1" applyAlignment="1">
      <alignment vertical="center"/>
    </xf>
    <xf numFmtId="0" fontId="7" fillId="4" borderId="20" xfId="0" applyFont="1" applyFill="1" applyBorder="1" applyAlignment="1">
      <alignment horizontal="center" vertical="center"/>
    </xf>
    <xf numFmtId="168" fontId="7" fillId="4" borderId="25" xfId="0" applyNumberFormat="1" applyFont="1" applyFill="1" applyBorder="1" applyAlignment="1">
      <alignment vertical="center"/>
    </xf>
    <xf numFmtId="168" fontId="7" fillId="3" borderId="22" xfId="0" applyNumberFormat="1" applyFont="1" applyFill="1" applyBorder="1" applyAlignment="1">
      <alignment vertical="center"/>
    </xf>
    <xf numFmtId="168" fontId="7" fillId="3" borderId="18" xfId="0" applyNumberFormat="1" applyFont="1" applyFill="1" applyBorder="1" applyAlignment="1">
      <alignment vertical="center"/>
    </xf>
    <xf numFmtId="168" fontId="7" fillId="3" borderId="21" xfId="0" applyNumberFormat="1" applyFont="1" applyFill="1" applyBorder="1" applyAlignment="1">
      <alignment vertical="center"/>
    </xf>
    <xf numFmtId="168" fontId="7" fillId="3" borderId="25" xfId="0" applyNumberFormat="1" applyFont="1" applyFill="1" applyBorder="1" applyAlignment="1">
      <alignment vertical="center"/>
    </xf>
    <xf numFmtId="168" fontId="7" fillId="4" borderId="22" xfId="0" applyNumberFormat="1" applyFont="1" applyFill="1" applyBorder="1" applyAlignment="1">
      <alignment vertical="center"/>
    </xf>
    <xf numFmtId="168" fontId="7" fillId="4" borderId="18" xfId="0" applyNumberFormat="1" applyFont="1" applyFill="1" applyBorder="1" applyAlignment="1">
      <alignment vertical="center"/>
    </xf>
    <xf numFmtId="168" fontId="7" fillId="4" borderId="21" xfId="0" applyNumberFormat="1" applyFont="1" applyFill="1" applyBorder="1" applyAlignment="1">
      <alignment vertical="center"/>
    </xf>
    <xf numFmtId="168" fontId="7" fillId="3" borderId="19" xfId="0" applyNumberFormat="1" applyFont="1" applyFill="1" applyBorder="1" applyAlignment="1">
      <alignment vertical="center"/>
    </xf>
    <xf numFmtId="168" fontId="7" fillId="4" borderId="20" xfId="0" applyNumberFormat="1" applyFont="1" applyFill="1" applyBorder="1" applyAlignment="1">
      <alignment vertical="center"/>
    </xf>
    <xf numFmtId="0" fontId="7" fillId="4" borderId="6" xfId="0" applyFont="1" applyFill="1" applyBorder="1" applyAlignment="1">
      <alignment horizontal="center" vertical="center"/>
    </xf>
    <xf numFmtId="168" fontId="7" fillId="4" borderId="7" xfId="0" applyNumberFormat="1" applyFont="1" applyFill="1" applyBorder="1" applyAlignment="1">
      <alignment vertical="center"/>
    </xf>
    <xf numFmtId="168" fontId="5" fillId="8" borderId="0" xfId="0" applyNumberFormat="1" applyFont="1" applyFill="1" applyAlignment="1">
      <alignment vertical="center"/>
    </xf>
    <xf numFmtId="168" fontId="9" fillId="0" borderId="0" xfId="0" applyNumberFormat="1" applyFont="1" applyAlignment="1">
      <alignment vertical="center"/>
    </xf>
    <xf numFmtId="168" fontId="7" fillId="0" borderId="8" xfId="0" applyNumberFormat="1" applyFont="1" applyBorder="1" applyAlignment="1">
      <alignment vertical="center"/>
    </xf>
    <xf numFmtId="168" fontId="7" fillId="0" borderId="0" xfId="0" quotePrefix="1" applyNumberFormat="1" applyFont="1" applyFill="1" applyBorder="1" applyAlignment="1">
      <alignment vertical="center"/>
    </xf>
    <xf numFmtId="168" fontId="5" fillId="0" borderId="16" xfId="0" applyNumberFormat="1" applyFont="1" applyBorder="1" applyAlignment="1">
      <alignment vertical="center"/>
    </xf>
    <xf numFmtId="168" fontId="7" fillId="0" borderId="0" xfId="0" applyNumberFormat="1" applyFont="1" applyBorder="1" applyAlignment="1">
      <alignment vertical="center"/>
    </xf>
    <xf numFmtId="168" fontId="5" fillId="0" borderId="0" xfId="0" applyNumberFormat="1" applyFont="1" applyBorder="1" applyAlignment="1">
      <alignment vertical="center"/>
    </xf>
    <xf numFmtId="168" fontId="7" fillId="0" borderId="0" xfId="0" applyNumberFormat="1" applyFont="1" applyAlignment="1">
      <alignment vertical="center"/>
    </xf>
    <xf numFmtId="168" fontId="9" fillId="0" borderId="0" xfId="0" applyNumberFormat="1" applyFont="1" applyFill="1" applyBorder="1" applyAlignment="1">
      <alignment vertical="center"/>
    </xf>
    <xf numFmtId="168" fontId="5" fillId="0" borderId="0" xfId="0" applyNumberFormat="1" applyFont="1" applyBorder="1" applyAlignment="1">
      <alignment vertical="center"/>
    </xf>
    <xf numFmtId="168" fontId="7" fillId="0" borderId="0" xfId="0" applyNumberFormat="1" applyFont="1" applyFill="1" applyAlignment="1">
      <alignment vertical="center"/>
    </xf>
    <xf numFmtId="168" fontId="7" fillId="0" borderId="0" xfId="0" applyNumberFormat="1" applyFont="1" applyAlignment="1">
      <alignment horizontal="center" vertical="center"/>
    </xf>
    <xf numFmtId="168" fontId="5" fillId="0" borderId="0" xfId="0" applyNumberFormat="1" applyFont="1" applyFill="1" applyAlignment="1">
      <alignment vertical="center"/>
    </xf>
    <xf numFmtId="168"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8" fontId="7" fillId="0" borderId="0" xfId="0" applyNumberFormat="1" applyFont="1" applyFill="1" applyBorder="1" applyAlignment="1">
      <alignment vertical="center"/>
    </xf>
    <xf numFmtId="168" fontId="5" fillId="0" borderId="0" xfId="0" applyNumberFormat="1" applyFont="1" applyAlignment="1">
      <alignment vertical="center"/>
    </xf>
    <xf numFmtId="168" fontId="7" fillId="0" borderId="9" xfId="0" applyNumberFormat="1" applyFont="1" applyFill="1" applyBorder="1" applyAlignment="1">
      <alignment vertical="center"/>
    </xf>
    <xf numFmtId="168" fontId="5" fillId="7" borderId="0" xfId="6"/>
    <xf numFmtId="168" fontId="19" fillId="10" borderId="0" xfId="5"/>
    <xf numFmtId="168" fontId="7" fillId="6" borderId="0" xfId="7"/>
    <xf numFmtId="170" fontId="7" fillId="0" borderId="0" xfId="0" applyNumberFormat="1" applyFont="1" applyAlignment="1">
      <alignment vertical="center"/>
    </xf>
    <xf numFmtId="164" fontId="7" fillId="12" borderId="0" xfId="0" applyNumberFormat="1" applyFont="1" applyFill="1" applyBorder="1" applyAlignment="1">
      <alignment vertical="center"/>
    </xf>
    <xf numFmtId="10" fontId="7" fillId="0" borderId="0" xfId="0" applyNumberFormat="1" applyFont="1" applyFill="1" applyBorder="1" applyAlignment="1">
      <alignment vertical="center"/>
    </xf>
    <xf numFmtId="168" fontId="7" fillId="13" borderId="0" xfId="8">
      <alignment vertical="center"/>
    </xf>
    <xf numFmtId="168" fontId="7" fillId="0" borderId="31" xfId="0" applyNumberFormat="1" applyFont="1" applyFill="1" applyBorder="1" applyAlignment="1">
      <alignment vertical="center"/>
    </xf>
    <xf numFmtId="168" fontId="7" fillId="0" borderId="31" xfId="0" applyNumberFormat="1" applyFont="1" applyBorder="1" applyAlignment="1">
      <alignment vertical="center"/>
    </xf>
    <xf numFmtId="168" fontId="5" fillId="7" borderId="0" xfId="6" quotePrefix="1" applyAlignment="1">
      <alignment vertical="center"/>
    </xf>
    <xf numFmtId="0" fontId="5" fillId="5" borderId="35" xfId="0" applyFont="1" applyFill="1" applyBorder="1" applyAlignment="1">
      <alignment vertical="center"/>
    </xf>
    <xf numFmtId="168" fontId="7" fillId="13" borderId="0" xfId="8" applyBorder="1">
      <alignment vertical="center"/>
    </xf>
    <xf numFmtId="168" fontId="7" fillId="13" borderId="0" xfId="8" quotePrefix="1" applyBorder="1" applyAlignment="1">
      <alignment horizontal="left" vertical="center" indent="1"/>
    </xf>
    <xf numFmtId="168" fontId="7" fillId="13" borderId="0" xfId="8" applyBorder="1" applyAlignment="1">
      <alignment vertical="center"/>
    </xf>
    <xf numFmtId="0" fontId="7" fillId="0" borderId="0" xfId="0" applyFont="1" applyFill="1" applyAlignment="1">
      <alignment horizontal="right" vertical="center"/>
    </xf>
    <xf numFmtId="0" fontId="14" fillId="0" borderId="0" xfId="0" applyFont="1" applyBorder="1" applyAlignment="1">
      <alignment vertical="center"/>
    </xf>
    <xf numFmtId="171" fontId="11" fillId="0" borderId="0" xfId="0" applyNumberFormat="1" applyFont="1" applyAlignment="1">
      <alignment vertical="center"/>
    </xf>
    <xf numFmtId="168" fontId="5" fillId="0" borderId="0" xfId="0" applyNumberFormat="1" applyFont="1" applyFill="1" applyBorder="1" applyAlignment="1">
      <alignment horizontal="center" vertical="center"/>
    </xf>
    <xf numFmtId="171" fontId="7" fillId="0" borderId="0" xfId="0" applyNumberFormat="1" applyFont="1" applyBorder="1" applyAlignment="1">
      <alignment vertical="center"/>
    </xf>
    <xf numFmtId="174" fontId="5" fillId="8" borderId="0" xfId="0" applyNumberFormat="1" applyFont="1" applyFill="1" applyBorder="1" applyAlignment="1">
      <alignment vertical="center"/>
    </xf>
    <xf numFmtId="0" fontId="5" fillId="8" borderId="0" xfId="0" applyFont="1" applyFill="1" applyBorder="1" applyAlignment="1">
      <alignment vertical="center"/>
    </xf>
    <xf numFmtId="174" fontId="11" fillId="8" borderId="0" xfId="0" applyNumberFormat="1" applyFont="1" applyFill="1" applyBorder="1" applyAlignment="1">
      <alignment vertical="center"/>
    </xf>
    <xf numFmtId="174" fontId="7" fillId="0" borderId="0" xfId="0" applyNumberFormat="1" applyFont="1" applyAlignment="1">
      <alignment vertical="center"/>
    </xf>
    <xf numFmtId="174" fontId="7" fillId="4" borderId="15" xfId="0" applyNumberFormat="1" applyFont="1" applyFill="1" applyBorder="1" applyAlignment="1">
      <alignment horizontal="center" vertical="center"/>
    </xf>
    <xf numFmtId="174" fontId="7" fillId="4" borderId="3" xfId="0" applyNumberFormat="1" applyFont="1" applyFill="1" applyBorder="1" applyAlignment="1">
      <alignment horizontal="center" vertical="center"/>
    </xf>
    <xf numFmtId="174" fontId="7" fillId="4" borderId="4" xfId="0" applyNumberFormat="1" applyFont="1" applyFill="1" applyBorder="1" applyAlignment="1">
      <alignment horizontal="center" vertical="center"/>
    </xf>
    <xf numFmtId="0" fontId="7" fillId="4" borderId="13" xfId="0" applyFont="1" applyFill="1" applyBorder="1" applyAlignment="1">
      <alignment horizontal="center" vertical="center"/>
    </xf>
    <xf numFmtId="0" fontId="7" fillId="4" borderId="22" xfId="0" applyFont="1" applyFill="1" applyBorder="1" applyAlignment="1">
      <alignment horizontal="center" vertical="center"/>
    </xf>
    <xf numFmtId="0" fontId="7" fillId="4" borderId="18" xfId="0" applyFont="1" applyFill="1" applyBorder="1" applyAlignment="1">
      <alignment horizontal="center" vertical="center"/>
    </xf>
    <xf numFmtId="0" fontId="7" fillId="4" borderId="21" xfId="0" applyFont="1" applyFill="1" applyBorder="1" applyAlignment="1">
      <alignment horizontal="center" vertical="center"/>
    </xf>
    <xf numFmtId="0" fontId="7" fillId="4" borderId="25" xfId="0" applyFont="1" applyFill="1" applyBorder="1" applyAlignment="1">
      <alignment horizontal="center" vertical="center"/>
    </xf>
    <xf numFmtId="0" fontId="7" fillId="5" borderId="12" xfId="0" applyFont="1" applyFill="1" applyBorder="1" applyAlignment="1">
      <alignment vertical="center"/>
    </xf>
    <xf numFmtId="0" fontId="7" fillId="0" borderId="0" xfId="0" applyFont="1" applyFill="1" applyBorder="1" applyAlignment="1">
      <alignment vertical="center"/>
    </xf>
    <xf numFmtId="168" fontId="12" fillId="13" borderId="0" xfId="8" applyFont="1">
      <alignment vertical="center"/>
    </xf>
    <xf numFmtId="168" fontId="7" fillId="13" borderId="0" xfId="8" applyFont="1">
      <alignment vertical="center"/>
    </xf>
    <xf numFmtId="168" fontId="7" fillId="6" borderId="0" xfId="7" applyFont="1"/>
    <xf numFmtId="168" fontId="7" fillId="13" borderId="0" xfId="8" applyFont="1" applyBorder="1">
      <alignment vertical="center"/>
    </xf>
    <xf numFmtId="168" fontId="5" fillId="7" borderId="0" xfId="6" applyFont="1"/>
    <xf numFmtId="168" fontId="7" fillId="6" borderId="0" xfId="7" applyFont="1" applyAlignment="1">
      <alignment vertical="center"/>
    </xf>
    <xf numFmtId="168" fontId="7" fillId="6" borderId="0" xfId="7" applyFont="1" applyBorder="1" applyAlignment="1">
      <alignment vertical="center"/>
    </xf>
    <xf numFmtId="168" fontId="7" fillId="3" borderId="18" xfId="0" applyNumberFormat="1" applyFont="1" applyFill="1" applyBorder="1" applyAlignment="1">
      <alignment horizontal="left" vertical="center"/>
    </xf>
    <xf numFmtId="168" fontId="5" fillId="0" borderId="26" xfId="0" applyNumberFormat="1" applyFont="1" applyBorder="1" applyAlignment="1">
      <alignment vertical="center"/>
    </xf>
    <xf numFmtId="168" fontId="12" fillId="0" borderId="0" xfId="0" applyNumberFormat="1" applyFont="1" applyAlignment="1">
      <alignment vertical="center"/>
    </xf>
    <xf numFmtId="168" fontId="19" fillId="10" borderId="0" xfId="5" applyFont="1"/>
    <xf numFmtId="168" fontId="7" fillId="6" borderId="0" xfId="7" applyNumberFormat="1" applyFont="1"/>
    <xf numFmtId="168" fontId="7" fillId="13" borderId="0" xfId="8" applyNumberFormat="1" applyFont="1" applyBorder="1">
      <alignment vertical="center"/>
    </xf>
    <xf numFmtId="0" fontId="7" fillId="0" borderId="0" xfId="0" applyFont="1" applyAlignment="1">
      <alignment vertical="center"/>
    </xf>
    <xf numFmtId="174" fontId="5" fillId="5" borderId="26" xfId="0" applyNumberFormat="1" applyFont="1" applyFill="1" applyBorder="1" applyAlignment="1">
      <alignment vertical="center"/>
    </xf>
    <xf numFmtId="174" fontId="5" fillId="5" borderId="16" xfId="0" applyNumberFormat="1" applyFont="1" applyFill="1" applyBorder="1" applyAlignment="1">
      <alignment vertical="center"/>
    </xf>
    <xf numFmtId="174" fontId="5" fillId="5" borderId="17" xfId="0" applyNumberFormat="1" applyFont="1" applyFill="1" applyBorder="1" applyAlignment="1">
      <alignment vertical="center"/>
    </xf>
    <xf numFmtId="10" fontId="5" fillId="0" borderId="0" xfId="43" applyFont="1" applyFill="1" applyBorder="1" applyAlignment="1">
      <alignment vertical="center"/>
    </xf>
    <xf numFmtId="10" fontId="7" fillId="0" borderId="0" xfId="43" applyFont="1" applyFill="1" applyBorder="1" applyAlignment="1">
      <alignment vertical="center"/>
    </xf>
    <xf numFmtId="172" fontId="7" fillId="0" borderId="0" xfId="0" applyNumberFormat="1" applyFont="1" applyFill="1" applyBorder="1" applyAlignment="1">
      <alignment vertical="center"/>
    </xf>
    <xf numFmtId="168" fontId="5" fillId="0" borderId="0" xfId="0" quotePrefix="1" applyNumberFormat="1" applyFont="1" applyAlignment="1">
      <alignment vertical="center" wrapText="1"/>
    </xf>
    <xf numFmtId="168" fontId="7" fillId="13" borderId="0" xfId="8" applyAlignment="1">
      <alignment horizontal="left" vertical="center" indent="1"/>
    </xf>
    <xf numFmtId="168" fontId="7" fillId="12" borderId="0" xfId="0" applyNumberFormat="1" applyFont="1" applyFill="1" applyBorder="1" applyAlignment="1">
      <alignment vertical="center"/>
    </xf>
    <xf numFmtId="10" fontId="5" fillId="0" borderId="0" xfId="43" applyFont="1" applyBorder="1" applyAlignment="1">
      <alignment vertical="center"/>
    </xf>
    <xf numFmtId="168" fontId="9" fillId="0" borderId="0" xfId="0" applyNumberFormat="1" applyFont="1" applyAlignment="1">
      <alignment horizontal="right" vertical="center"/>
    </xf>
    <xf numFmtId="168" fontId="7" fillId="44" borderId="0" xfId="0" applyNumberFormat="1" applyFont="1" applyFill="1" applyBorder="1" applyAlignment="1" applyProtection="1">
      <alignment vertical="center"/>
      <protection locked="0"/>
    </xf>
    <xf numFmtId="164" fontId="7" fillId="44" borderId="0" xfId="0" applyNumberFormat="1" applyFont="1" applyFill="1" applyBorder="1" applyAlignment="1">
      <alignment vertical="center"/>
    </xf>
    <xf numFmtId="175" fontId="5" fillId="0" borderId="0" xfId="0" applyNumberFormat="1" applyFont="1" applyAlignment="1">
      <alignment vertical="center"/>
    </xf>
    <xf numFmtId="168" fontId="7" fillId="5" borderId="0" xfId="0" applyNumberFormat="1" applyFont="1" applyFill="1" applyAlignment="1">
      <alignment vertical="center"/>
    </xf>
    <xf numFmtId="168" fontId="7" fillId="0" borderId="10" xfId="0" applyNumberFormat="1" applyFont="1" applyFill="1" applyBorder="1" applyAlignment="1">
      <alignment vertical="center"/>
    </xf>
    <xf numFmtId="174" fontId="7" fillId="0" borderId="0" xfId="0" applyNumberFormat="1" applyFont="1" applyFill="1" applyBorder="1" applyAlignment="1">
      <alignment vertical="center"/>
    </xf>
    <xf numFmtId="10" fontId="7" fillId="4" borderId="22" xfId="43" applyFont="1" applyFill="1" applyBorder="1" applyAlignment="1">
      <alignment vertical="center"/>
    </xf>
    <xf numFmtId="10" fontId="7" fillId="4" borderId="18" xfId="43" applyFont="1" applyFill="1" applyBorder="1" applyAlignment="1">
      <alignment vertical="center"/>
    </xf>
    <xf numFmtId="10" fontId="7" fillId="4" borderId="21" xfId="43" applyFont="1" applyFill="1" applyBorder="1" applyAlignment="1">
      <alignment vertical="center"/>
    </xf>
    <xf numFmtId="10" fontId="7" fillId="4" borderId="25" xfId="43" applyFont="1" applyFill="1" applyBorder="1" applyAlignment="1">
      <alignment vertical="center"/>
    </xf>
    <xf numFmtId="168" fontId="7" fillId="4" borderId="43" xfId="0" applyNumberFormat="1" applyFont="1" applyFill="1" applyBorder="1" applyAlignment="1">
      <alignment vertical="center"/>
    </xf>
    <xf numFmtId="168" fontId="7" fillId="5" borderId="0" xfId="0" applyNumberFormat="1" applyFont="1" applyFill="1" applyBorder="1" applyAlignment="1">
      <alignment vertical="center"/>
    </xf>
    <xf numFmtId="168" fontId="7" fillId="9" borderId="0" xfId="0" applyNumberFormat="1" applyFont="1" applyFill="1" applyAlignment="1">
      <alignment vertical="center"/>
    </xf>
    <xf numFmtId="176" fontId="7" fillId="5" borderId="0" xfId="0" applyNumberFormat="1" applyFont="1" applyFill="1" applyBorder="1" applyAlignment="1">
      <alignment vertical="center"/>
    </xf>
    <xf numFmtId="176" fontId="7" fillId="0" borderId="0" xfId="0" applyNumberFormat="1" applyFont="1" applyFill="1" applyBorder="1" applyAlignment="1">
      <alignment vertical="center"/>
    </xf>
    <xf numFmtId="176" fontId="5" fillId="0" borderId="0" xfId="0" applyNumberFormat="1" applyFont="1" applyAlignment="1">
      <alignment vertical="center"/>
    </xf>
    <xf numFmtId="176" fontId="7" fillId="0" borderId="0" xfId="0" applyNumberFormat="1" applyFont="1" applyFill="1" applyBorder="1" applyAlignment="1" applyProtection="1">
      <alignment horizontal="center" vertical="center" wrapText="1"/>
      <protection locked="0"/>
    </xf>
    <xf numFmtId="176" fontId="7" fillId="13" borderId="0" xfId="8" applyNumberFormat="1" applyFont="1" applyBorder="1">
      <alignment vertical="center"/>
    </xf>
    <xf numFmtId="176" fontId="7" fillId="0" borderId="0" xfId="43" applyNumberFormat="1" applyFont="1" applyFill="1" applyAlignment="1">
      <alignment vertical="center"/>
    </xf>
    <xf numFmtId="176" fontId="7" fillId="0" borderId="32" xfId="43" applyNumberFormat="1" applyFont="1" applyBorder="1" applyAlignment="1">
      <alignment vertical="center"/>
    </xf>
    <xf numFmtId="176" fontId="7" fillId="0" borderId="0" xfId="0" applyNumberFormat="1" applyFont="1" applyBorder="1" applyAlignment="1">
      <alignment vertical="center"/>
    </xf>
    <xf numFmtId="176" fontId="7" fillId="0" borderId="0" xfId="43" applyNumberFormat="1" applyFont="1" applyFill="1" applyBorder="1" applyAlignment="1">
      <alignment vertical="center"/>
    </xf>
    <xf numFmtId="176" fontId="7" fillId="0" borderId="5" xfId="0" applyNumberFormat="1" applyFont="1" applyFill="1" applyBorder="1" applyAlignment="1">
      <alignment vertical="center"/>
    </xf>
    <xf numFmtId="176" fontId="7" fillId="0" borderId="32" xfId="0" applyNumberFormat="1" applyFont="1" applyFill="1" applyBorder="1" applyAlignment="1">
      <alignment vertical="center"/>
    </xf>
    <xf numFmtId="176" fontId="7" fillId="0" borderId="0" xfId="0" applyNumberFormat="1" applyFont="1" applyFill="1" applyBorder="1" applyAlignment="1">
      <alignment horizontal="center" vertical="center"/>
    </xf>
    <xf numFmtId="176" fontId="7" fillId="0" borderId="11" xfId="0" applyNumberFormat="1" applyFont="1" applyFill="1" applyBorder="1" applyAlignment="1">
      <alignment vertical="center"/>
    </xf>
    <xf numFmtId="176" fontId="7" fillId="0" borderId="32" xfId="43" applyNumberFormat="1" applyFont="1" applyFill="1" applyBorder="1" applyAlignment="1">
      <alignment vertical="center"/>
    </xf>
    <xf numFmtId="0" fontId="7" fillId="4" borderId="13" xfId="0" applyFont="1" applyFill="1" applyBorder="1" applyAlignment="1">
      <alignment horizontal="center" vertical="center" wrapText="1"/>
    </xf>
    <xf numFmtId="0" fontId="7" fillId="0" borderId="0" xfId="0" applyFont="1" applyFill="1" applyBorder="1" applyAlignment="1">
      <alignment horizontal="center" vertical="center"/>
    </xf>
    <xf numFmtId="3" fontId="7" fillId="0" borderId="0" xfId="0" applyNumberFormat="1" applyFont="1" applyFill="1" applyBorder="1" applyAlignment="1">
      <alignment vertical="center"/>
    </xf>
    <xf numFmtId="10" fontId="7" fillId="0" borderId="0" xfId="43" applyFont="1" applyBorder="1" applyAlignment="1">
      <alignment vertical="center"/>
    </xf>
    <xf numFmtId="10" fontId="7" fillId="44" borderId="0" xfId="43" applyFont="1" applyFill="1" applyBorder="1" applyAlignment="1" applyProtection="1">
      <alignment vertical="center"/>
      <protection locked="0"/>
    </xf>
    <xf numFmtId="170" fontId="7" fillId="0" borderId="0" xfId="0" applyNumberFormat="1" applyFont="1" applyFill="1" applyAlignment="1">
      <alignment vertical="center"/>
    </xf>
    <xf numFmtId="168" fontId="5" fillId="0" borderId="0" xfId="0" applyNumberFormat="1" applyFont="1" applyAlignment="1">
      <alignment horizontal="left" vertical="center" indent="1"/>
    </xf>
    <xf numFmtId="168" fontId="5" fillId="11" borderId="45" xfId="0" applyNumberFormat="1" applyFont="1" applyFill="1" applyBorder="1" applyAlignment="1">
      <alignment vertical="center"/>
    </xf>
    <xf numFmtId="168" fontId="5" fillId="11" borderId="46" xfId="0" applyNumberFormat="1" applyFont="1" applyFill="1" applyBorder="1" applyAlignment="1">
      <alignment vertical="center"/>
    </xf>
    <xf numFmtId="168" fontId="5" fillId="11" borderId="47" xfId="0" applyNumberFormat="1" applyFont="1" applyFill="1" applyBorder="1" applyAlignment="1">
      <alignment vertical="center"/>
    </xf>
    <xf numFmtId="168" fontId="7" fillId="4" borderId="49" xfId="0" applyNumberFormat="1" applyFont="1" applyFill="1" applyBorder="1" applyAlignment="1">
      <alignment vertical="center"/>
    </xf>
    <xf numFmtId="168" fontId="7" fillId="4" borderId="6" xfId="0" applyNumberFormat="1" applyFont="1" applyFill="1" applyBorder="1" applyAlignment="1">
      <alignment vertical="center"/>
    </xf>
    <xf numFmtId="0" fontId="35" fillId="0" borderId="0" xfId="0" applyFont="1"/>
    <xf numFmtId="0" fontId="36" fillId="0" borderId="0" xfId="0" applyFont="1"/>
    <xf numFmtId="0" fontId="36" fillId="0" borderId="0" xfId="0" applyFont="1" applyAlignment="1">
      <alignment vertical="top"/>
    </xf>
    <xf numFmtId="0" fontId="7" fillId="0" borderId="0" xfId="0" applyFont="1" applyBorder="1" applyAlignment="1">
      <alignment vertical="center"/>
    </xf>
    <xf numFmtId="10" fontId="0" fillId="0" borderId="0" xfId="43" applyFont="1" applyAlignment="1"/>
    <xf numFmtId="168" fontId="5" fillId="0" borderId="0" xfId="0" applyNumberFormat="1" applyFont="1" applyAlignment="1">
      <alignment vertical="center" wrapText="1"/>
    </xf>
    <xf numFmtId="168" fontId="7" fillId="0" borderId="0" xfId="7" applyFill="1" applyAlignment="1">
      <alignment vertical="center"/>
    </xf>
    <xf numFmtId="168" fontId="71" fillId="0" borderId="0" xfId="0" applyNumberFormat="1" applyFont="1" applyAlignment="1">
      <alignment vertical="center"/>
    </xf>
    <xf numFmtId="168" fontId="19" fillId="10" borderId="0" xfId="5" applyAlignment="1">
      <alignment horizontal="center" vertical="center"/>
    </xf>
    <xf numFmtId="168" fontId="7" fillId="0" borderId="10" xfId="0" applyNumberFormat="1" applyFont="1" applyBorder="1" applyAlignment="1">
      <alignment vertical="center"/>
    </xf>
    <xf numFmtId="176" fontId="7" fillId="0" borderId="11" xfId="0" applyNumberFormat="1" applyFont="1" applyBorder="1" applyAlignment="1">
      <alignment vertical="center"/>
    </xf>
    <xf numFmtId="176" fontId="7" fillId="0" borderId="0" xfId="0" applyNumberFormat="1" applyFont="1" applyBorder="1" applyAlignment="1">
      <alignment horizontal="center" vertical="center"/>
    </xf>
    <xf numFmtId="174" fontId="7" fillId="0" borderId="0" xfId="0" applyNumberFormat="1" applyFont="1" applyFill="1" applyAlignment="1">
      <alignment vertical="center"/>
    </xf>
    <xf numFmtId="179" fontId="7" fillId="0" borderId="0" xfId="0" applyNumberFormat="1" applyFont="1" applyFill="1" applyBorder="1" applyAlignment="1">
      <alignment horizontal="center" vertical="center"/>
    </xf>
    <xf numFmtId="170" fontId="7" fillId="0" borderId="0" xfId="0" applyNumberFormat="1" applyFont="1" applyBorder="1" applyAlignment="1">
      <alignment vertical="center"/>
    </xf>
    <xf numFmtId="10" fontId="7" fillId="6" borderId="0" xfId="43" applyFont="1" applyFill="1" applyAlignment="1">
      <alignment vertical="center"/>
    </xf>
    <xf numFmtId="168" fontId="7" fillId="0" borderId="67" xfId="0" applyNumberFormat="1" applyFont="1" applyFill="1" applyBorder="1" applyAlignment="1">
      <alignment vertical="center"/>
    </xf>
    <xf numFmtId="174" fontId="7" fillId="0" borderId="0" xfId="0" applyNumberFormat="1" applyFont="1" applyBorder="1" applyAlignment="1">
      <alignment horizontal="left" vertical="center"/>
    </xf>
    <xf numFmtId="166" fontId="7" fillId="0" borderId="0" xfId="0" applyNumberFormat="1" applyFont="1" applyAlignment="1">
      <alignment vertical="center"/>
    </xf>
    <xf numFmtId="0" fontId="7" fillId="5" borderId="26" xfId="0" applyFont="1" applyFill="1" applyBorder="1" applyAlignment="1">
      <alignment vertical="center"/>
    </xf>
    <xf numFmtId="0" fontId="7" fillId="5" borderId="16" xfId="0" applyFont="1" applyFill="1" applyBorder="1" applyAlignment="1">
      <alignment vertical="center"/>
    </xf>
    <xf numFmtId="0" fontId="7" fillId="5" borderId="17" xfId="0" applyFont="1" applyFill="1" applyBorder="1" applyAlignment="1">
      <alignment vertical="center"/>
    </xf>
    <xf numFmtId="0" fontId="7" fillId="0" borderId="27" xfId="0" applyFont="1" applyFill="1" applyBorder="1" applyAlignment="1">
      <alignment vertical="center"/>
    </xf>
    <xf numFmtId="171" fontId="7" fillId="0" borderId="41" xfId="0" applyNumberFormat="1" applyFont="1" applyBorder="1" applyAlignment="1">
      <alignment vertical="center"/>
    </xf>
    <xf numFmtId="168" fontId="7" fillId="0" borderId="36" xfId="0" applyNumberFormat="1" applyFont="1" applyBorder="1" applyAlignment="1">
      <alignment vertical="center"/>
    </xf>
    <xf numFmtId="168" fontId="7" fillId="0" borderId="37" xfId="0" applyNumberFormat="1" applyFont="1" applyBorder="1" applyAlignment="1">
      <alignment vertical="center"/>
    </xf>
    <xf numFmtId="168" fontId="7" fillId="0" borderId="38" xfId="0" applyNumberFormat="1" applyFont="1" applyBorder="1" applyAlignment="1">
      <alignment vertical="center"/>
    </xf>
    <xf numFmtId="168" fontId="8" fillId="0" borderId="0" xfId="0" applyNumberFormat="1" applyFont="1" applyFill="1" applyAlignment="1">
      <alignment vertical="center"/>
    </xf>
    <xf numFmtId="164" fontId="7" fillId="0" borderId="32" xfId="0" applyNumberFormat="1" applyFont="1" applyFill="1" applyBorder="1" applyAlignment="1">
      <alignment vertical="center"/>
    </xf>
    <xf numFmtId="164" fontId="7" fillId="0" borderId="5" xfId="0" applyNumberFormat="1" applyFont="1" applyFill="1" applyBorder="1" applyAlignment="1">
      <alignment vertical="center"/>
    </xf>
    <xf numFmtId="176" fontId="7" fillId="12" borderId="0" xfId="0" applyNumberFormat="1" applyFont="1" applyFill="1" applyBorder="1" applyAlignment="1">
      <alignment vertical="center"/>
    </xf>
    <xf numFmtId="171" fontId="7" fillId="5" borderId="0" xfId="0" applyNumberFormat="1" applyFont="1" applyFill="1" applyAlignment="1">
      <alignment vertical="center"/>
    </xf>
    <xf numFmtId="168" fontId="7" fillId="5" borderId="11" xfId="0" applyNumberFormat="1" applyFont="1" applyFill="1" applyBorder="1" applyAlignment="1">
      <alignment vertical="center"/>
    </xf>
    <xf numFmtId="174" fontId="7" fillId="5" borderId="0" xfId="0" applyNumberFormat="1" applyFont="1" applyFill="1" applyBorder="1" applyAlignment="1">
      <alignment vertical="center"/>
    </xf>
    <xf numFmtId="176" fontId="7" fillId="5" borderId="0" xfId="43" applyNumberFormat="1" applyFont="1" applyFill="1" applyBorder="1" applyAlignment="1">
      <alignment vertical="center"/>
    </xf>
    <xf numFmtId="176" fontId="7" fillId="0" borderId="0" xfId="43" applyNumberFormat="1" applyFont="1" applyAlignment="1">
      <alignment vertical="center"/>
    </xf>
    <xf numFmtId="168" fontId="7" fillId="7" borderId="0" xfId="6" applyFont="1"/>
    <xf numFmtId="168" fontId="7" fillId="7" borderId="0" xfId="6" applyFont="1" applyAlignment="1">
      <alignment vertical="center"/>
    </xf>
    <xf numFmtId="176" fontId="7" fillId="6" borderId="0" xfId="7" applyNumberFormat="1" applyFont="1" applyAlignment="1">
      <alignment vertical="center"/>
    </xf>
    <xf numFmtId="168" fontId="7" fillId="10" borderId="0" xfId="5" applyFont="1" applyAlignment="1">
      <alignment vertical="center"/>
    </xf>
    <xf numFmtId="178" fontId="7" fillId="5" borderId="0" xfId="43" applyNumberFormat="1" applyFont="1" applyFill="1" applyBorder="1" applyAlignment="1">
      <alignment vertical="center"/>
    </xf>
    <xf numFmtId="176" fontId="7" fillId="0" borderId="23" xfId="0" applyNumberFormat="1" applyFont="1" applyFill="1" applyBorder="1" applyAlignment="1">
      <alignment vertical="center"/>
    </xf>
    <xf numFmtId="168" fontId="7" fillId="7" borderId="0" xfId="6" applyNumberFormat="1" applyFont="1"/>
    <xf numFmtId="173" fontId="7" fillId="0" borderId="0" xfId="0" applyNumberFormat="1" applyFont="1" applyAlignment="1">
      <alignment vertical="center"/>
    </xf>
    <xf numFmtId="176" fontId="7" fillId="0" borderId="0" xfId="0" applyNumberFormat="1" applyFont="1" applyAlignment="1">
      <alignment vertical="center"/>
    </xf>
    <xf numFmtId="164" fontId="7" fillId="0" borderId="0" xfId="0" applyNumberFormat="1" applyFont="1" applyFill="1" applyAlignment="1">
      <alignment vertical="center"/>
    </xf>
    <xf numFmtId="164" fontId="7" fillId="0" borderId="0" xfId="43" applyNumberFormat="1" applyFont="1" applyAlignment="1">
      <alignment vertical="center"/>
    </xf>
    <xf numFmtId="168" fontId="7" fillId="10" borderId="0" xfId="5" applyFont="1"/>
    <xf numFmtId="168" fontId="7" fillId="7" borderId="0" xfId="6" applyFont="1" applyAlignment="1">
      <alignment horizontal="center" vertical="center"/>
    </xf>
    <xf numFmtId="171" fontId="7" fillId="0" borderId="0" xfId="0" applyNumberFormat="1" applyFont="1" applyFill="1" applyAlignment="1">
      <alignment vertical="center"/>
    </xf>
    <xf numFmtId="168" fontId="7" fillId="6" borderId="0" xfId="7" applyFont="1" applyAlignment="1">
      <alignment horizontal="center" vertical="center"/>
    </xf>
    <xf numFmtId="168" fontId="7" fillId="0" borderId="66" xfId="0" applyNumberFormat="1" applyFont="1" applyBorder="1" applyAlignment="1">
      <alignment vertical="center"/>
    </xf>
    <xf numFmtId="168" fontId="73" fillId="8" borderId="0" xfId="0" applyNumberFormat="1" applyFont="1" applyFill="1" applyBorder="1" applyAlignment="1">
      <alignment vertical="center"/>
    </xf>
    <xf numFmtId="168" fontId="7" fillId="8" borderId="0" xfId="0" applyNumberFormat="1" applyFont="1" applyFill="1" applyBorder="1" applyAlignment="1">
      <alignment horizontal="center" vertical="center"/>
    </xf>
    <xf numFmtId="168" fontId="7" fillId="8" borderId="0" xfId="0" applyNumberFormat="1" applyFont="1" applyFill="1" applyAlignment="1">
      <alignment vertical="center"/>
    </xf>
    <xf numFmtId="174" fontId="7" fillId="8" borderId="0" xfId="0" applyNumberFormat="1" applyFont="1" applyFill="1" applyBorder="1" applyAlignment="1">
      <alignment vertical="center"/>
    </xf>
    <xf numFmtId="168" fontId="74" fillId="0" borderId="0" xfId="0" applyNumberFormat="1" applyFont="1" applyAlignment="1">
      <alignment vertical="center"/>
    </xf>
    <xf numFmtId="168" fontId="7" fillId="7" borderId="0" xfId="6" applyFont="1" applyBorder="1" applyAlignment="1">
      <alignment vertical="center"/>
    </xf>
    <xf numFmtId="168" fontId="7" fillId="10" borderId="0" xfId="5" applyNumberFormat="1" applyFont="1" applyAlignment="1">
      <alignment vertical="center"/>
    </xf>
    <xf numFmtId="175" fontId="7" fillId="0" borderId="0" xfId="0" applyNumberFormat="1" applyFont="1" applyFill="1" applyBorder="1" applyAlignment="1">
      <alignment vertical="center"/>
    </xf>
    <xf numFmtId="168" fontId="7" fillId="10" borderId="0" xfId="0" applyNumberFormat="1" applyFont="1" applyFill="1" applyAlignment="1">
      <alignment vertical="center"/>
    </xf>
    <xf numFmtId="168" fontId="7" fillId="10" borderId="0" xfId="0" applyNumberFormat="1" applyFont="1" applyFill="1" applyBorder="1" applyAlignment="1">
      <alignment vertical="center"/>
    </xf>
    <xf numFmtId="168" fontId="7" fillId="10" borderId="0" xfId="0" applyNumberFormat="1" applyFont="1" applyFill="1" applyBorder="1" applyAlignment="1">
      <alignment horizontal="left" vertical="center"/>
    </xf>
    <xf numFmtId="168" fontId="7" fillId="10" borderId="0" xfId="0" applyNumberFormat="1" applyFont="1" applyFill="1" applyBorder="1" applyAlignment="1">
      <alignment horizontal="center" vertical="center"/>
    </xf>
    <xf numFmtId="168" fontId="8" fillId="0" borderId="0" xfId="0" applyNumberFormat="1" applyFont="1" applyAlignment="1">
      <alignment vertical="center"/>
    </xf>
    <xf numFmtId="168" fontId="7" fillId="0" borderId="24" xfId="0" applyNumberFormat="1" applyFont="1" applyBorder="1" applyAlignment="1">
      <alignment vertical="center"/>
    </xf>
    <xf numFmtId="168" fontId="7" fillId="6" borderId="0" xfId="0" applyNumberFormat="1" applyFont="1" applyFill="1" applyBorder="1" applyAlignment="1">
      <alignment horizontal="left" vertical="center"/>
    </xf>
    <xf numFmtId="168" fontId="7" fillId="6" borderId="0" xfId="0" applyNumberFormat="1" applyFont="1" applyFill="1" applyBorder="1" applyAlignment="1">
      <alignment vertical="center"/>
    </xf>
    <xf numFmtId="168" fontId="7" fillId="6" borderId="0" xfId="0" applyNumberFormat="1" applyFont="1" applyFill="1" applyBorder="1" applyAlignment="1">
      <alignment horizontal="center" vertical="center"/>
    </xf>
    <xf numFmtId="168" fontId="7" fillId="0" borderId="0" xfId="0" quotePrefix="1" applyNumberFormat="1" applyFont="1" applyBorder="1" applyAlignment="1">
      <alignment horizontal="center" vertical="center"/>
    </xf>
    <xf numFmtId="2" fontId="7" fillId="0" borderId="0" xfId="43" applyNumberFormat="1" applyFont="1" applyAlignment="1">
      <alignment vertical="center"/>
    </xf>
    <xf numFmtId="170" fontId="72" fillId="0" borderId="0" xfId="0" applyNumberFormat="1" applyFont="1" applyAlignment="1">
      <alignment vertical="center"/>
    </xf>
    <xf numFmtId="168" fontId="8" fillId="0" borderId="0" xfId="0" applyNumberFormat="1" applyFont="1" applyBorder="1" applyAlignment="1">
      <alignment vertical="center"/>
    </xf>
    <xf numFmtId="176" fontId="7" fillId="0" borderId="10" xfId="0" applyNumberFormat="1" applyFont="1" applyFill="1" applyBorder="1" applyAlignment="1">
      <alignment vertical="center"/>
    </xf>
    <xf numFmtId="10" fontId="7" fillId="0" borderId="0" xfId="0" applyNumberFormat="1" applyFont="1" applyBorder="1"/>
    <xf numFmtId="176" fontId="7" fillId="0" borderId="0" xfId="0" applyNumberFormat="1" applyFont="1" applyBorder="1"/>
    <xf numFmtId="176" fontId="7" fillId="0" borderId="9" xfId="0" applyNumberFormat="1" applyFont="1" applyBorder="1"/>
    <xf numFmtId="176" fontId="7" fillId="0" borderId="31" xfId="0" applyNumberFormat="1" applyFont="1" applyBorder="1"/>
    <xf numFmtId="168" fontId="7" fillId="10" borderId="0" xfId="5" applyFont="1" applyBorder="1" applyAlignment="1">
      <alignment vertical="center"/>
    </xf>
    <xf numFmtId="10" fontId="7" fillId="0" borderId="34" xfId="0" applyNumberFormat="1" applyFont="1" applyFill="1" applyBorder="1" applyAlignment="1">
      <alignment vertical="center"/>
    </xf>
    <xf numFmtId="168" fontId="7" fillId="0" borderId="28" xfId="0" applyNumberFormat="1" applyFont="1" applyBorder="1" applyAlignment="1">
      <alignment vertical="center"/>
    </xf>
    <xf numFmtId="170" fontId="7" fillId="0" borderId="11" xfId="0" applyNumberFormat="1" applyFont="1" applyBorder="1" applyAlignment="1">
      <alignment vertical="center"/>
    </xf>
    <xf numFmtId="170" fontId="7" fillId="0" borderId="32" xfId="0" applyNumberFormat="1" applyFont="1" applyFill="1" applyBorder="1" applyAlignment="1">
      <alignment vertical="center"/>
    </xf>
    <xf numFmtId="170" fontId="7" fillId="0" borderId="33" xfId="0" applyNumberFormat="1" applyFont="1" applyFill="1" applyBorder="1" applyAlignment="1">
      <alignment vertical="center"/>
    </xf>
    <xf numFmtId="168" fontId="7" fillId="7" borderId="0" xfId="6" applyNumberFormat="1" applyFont="1" applyAlignment="1">
      <alignment vertical="center"/>
    </xf>
    <xf numFmtId="168" fontId="7" fillId="10" borderId="0" xfId="5" applyNumberFormat="1" applyFont="1"/>
    <xf numFmtId="0" fontId="73" fillId="8" borderId="0" xfId="0" applyFont="1" applyFill="1" applyBorder="1" applyAlignment="1">
      <alignment vertical="center"/>
    </xf>
    <xf numFmtId="1" fontId="7" fillId="0" borderId="0" xfId="0" applyNumberFormat="1" applyFont="1" applyAlignment="1">
      <alignment vertical="center"/>
    </xf>
    <xf numFmtId="0" fontId="9" fillId="0" borderId="0" xfId="0" applyFont="1" applyAlignment="1">
      <alignment vertical="center"/>
    </xf>
    <xf numFmtId="0" fontId="12" fillId="8" borderId="0" xfId="0" applyFont="1" applyFill="1" applyAlignment="1">
      <alignment vertical="center"/>
    </xf>
    <xf numFmtId="174" fontId="7" fillId="8" borderId="1" xfId="0" applyNumberFormat="1" applyFont="1" applyFill="1" applyBorder="1" applyAlignment="1">
      <alignment horizontal="left" vertical="center"/>
    </xf>
    <xf numFmtId="3" fontId="73" fillId="8" borderId="0" xfId="0" applyNumberFormat="1" applyFont="1" applyFill="1" applyBorder="1" applyAlignment="1">
      <alignment vertical="center"/>
    </xf>
    <xf numFmtId="3" fontId="7" fillId="8" borderId="0" xfId="0" applyNumberFormat="1" applyFont="1" applyFill="1" applyBorder="1" applyAlignment="1">
      <alignment vertical="center"/>
    </xf>
    <xf numFmtId="0" fontId="72" fillId="0" borderId="0" xfId="0" applyFont="1" applyBorder="1" applyAlignment="1">
      <alignment vertical="center"/>
    </xf>
    <xf numFmtId="0" fontId="72" fillId="0" borderId="0" xfId="0" applyFont="1" applyAlignment="1">
      <alignment vertical="center"/>
    </xf>
    <xf numFmtId="166" fontId="12" fillId="0" borderId="0" xfId="0" applyNumberFormat="1" applyFont="1" applyAlignment="1">
      <alignment vertical="center"/>
    </xf>
    <xf numFmtId="3" fontId="7" fillId="0" borderId="0" xfId="0" applyNumberFormat="1" applyFont="1" applyAlignment="1">
      <alignment vertical="center"/>
    </xf>
    <xf numFmtId="10" fontId="7" fillId="12" borderId="0" xfId="0" applyNumberFormat="1" applyFont="1" applyFill="1" applyBorder="1" applyAlignment="1">
      <alignment vertical="center"/>
    </xf>
    <xf numFmtId="10" fontId="7" fillId="5" borderId="0" xfId="0" applyNumberFormat="1" applyFont="1" applyFill="1" applyBorder="1" applyAlignment="1">
      <alignment vertical="center"/>
    </xf>
    <xf numFmtId="10" fontId="7" fillId="0" borderId="23" xfId="0" applyNumberFormat="1" applyFont="1" applyFill="1" applyBorder="1" applyAlignment="1">
      <alignment vertical="center"/>
    </xf>
    <xf numFmtId="167" fontId="72" fillId="0" borderId="0" xfId="270" applyNumberFormat="1" applyFont="1" applyFill="1"/>
    <xf numFmtId="170" fontId="9" fillId="0" borderId="0" xfId="0" applyNumberFormat="1" applyFont="1" applyBorder="1" applyAlignment="1">
      <alignment vertical="center"/>
    </xf>
    <xf numFmtId="168" fontId="7" fillId="0" borderId="0" xfId="0" applyNumberFormat="1" applyFont="1" applyAlignment="1">
      <alignment horizontal="left" vertical="center" indent="1"/>
    </xf>
    <xf numFmtId="170" fontId="7" fillId="0" borderId="0" xfId="0" applyNumberFormat="1" applyFont="1" applyFill="1" applyBorder="1" applyAlignment="1" applyProtection="1">
      <alignment horizontal="left" vertical="center"/>
    </xf>
    <xf numFmtId="168" fontId="7" fillId="7" borderId="0" xfId="6" quotePrefix="1" applyFont="1" applyAlignment="1">
      <alignment vertical="center"/>
    </xf>
    <xf numFmtId="168" fontId="5" fillId="103" borderId="0" xfId="0" applyNumberFormat="1" applyFont="1" applyFill="1" applyAlignment="1">
      <alignment vertical="center"/>
    </xf>
    <xf numFmtId="170" fontId="7" fillId="0" borderId="31" xfId="0" applyNumberFormat="1" applyFont="1" applyBorder="1" applyAlignment="1">
      <alignment vertical="center"/>
    </xf>
    <xf numFmtId="172" fontId="7" fillId="0" borderId="0" xfId="0" applyNumberFormat="1" applyFont="1" applyAlignment="1">
      <alignment vertical="center"/>
    </xf>
    <xf numFmtId="0" fontId="75" fillId="0" borderId="0" xfId="0" applyFont="1"/>
    <xf numFmtId="168" fontId="7" fillId="0" borderId="42" xfId="0" applyNumberFormat="1" applyFont="1" applyFill="1" applyBorder="1" applyAlignment="1">
      <alignment vertical="center"/>
    </xf>
    <xf numFmtId="168" fontId="7" fillId="5" borderId="0" xfId="5" applyFont="1" applyFill="1" applyBorder="1" applyAlignment="1">
      <alignment vertical="center"/>
    </xf>
    <xf numFmtId="168" fontId="5" fillId="0" borderId="0" xfId="6" applyFill="1" applyAlignment="1">
      <alignment vertical="center"/>
    </xf>
    <xf numFmtId="168" fontId="7" fillId="4" borderId="19" xfId="0" applyNumberFormat="1" applyFont="1" applyFill="1" applyBorder="1" applyAlignment="1">
      <alignment vertical="center"/>
    </xf>
    <xf numFmtId="10" fontId="7" fillId="5" borderId="0" xfId="43" applyFont="1" applyFill="1" applyBorder="1" applyAlignment="1">
      <alignment vertical="center"/>
    </xf>
    <xf numFmtId="168" fontId="7" fillId="13" borderId="0" xfId="8" applyFont="1" applyBorder="1" applyAlignment="1">
      <alignment vertical="center"/>
    </xf>
    <xf numFmtId="0" fontId="5" fillId="9" borderId="0" xfId="0" applyFont="1" applyFill="1" applyBorder="1" applyAlignment="1">
      <alignment vertical="center"/>
    </xf>
    <xf numFmtId="0" fontId="5" fillId="0" borderId="0" xfId="0" applyFont="1" applyFill="1" applyBorder="1" applyAlignment="1">
      <alignment vertical="center"/>
    </xf>
    <xf numFmtId="193" fontId="7" fillId="0" borderId="0" xfId="1342" applyNumberFormat="1" applyFont="1" applyFill="1" applyBorder="1" applyAlignment="1">
      <alignment vertical="center"/>
    </xf>
    <xf numFmtId="4" fontId="0" fillId="5" borderId="0" xfId="0" applyNumberFormat="1" applyFill="1" applyBorder="1" applyAlignment="1">
      <alignment horizontal="right" vertical="center"/>
    </xf>
    <xf numFmtId="0" fontId="7" fillId="0" borderId="0" xfId="0" applyNumberFormat="1" applyFont="1" applyFill="1" applyBorder="1" applyAlignment="1">
      <alignment vertical="center"/>
    </xf>
    <xf numFmtId="170" fontId="7" fillId="0" borderId="31" xfId="0" applyNumberFormat="1" applyFont="1" applyFill="1" applyBorder="1" applyAlignment="1">
      <alignment vertical="center"/>
    </xf>
    <xf numFmtId="0" fontId="7" fillId="8" borderId="0" xfId="0" applyFont="1" applyFill="1" applyAlignment="1">
      <alignment vertical="center"/>
    </xf>
    <xf numFmtId="167" fontId="7" fillId="8" borderId="0" xfId="0" applyNumberFormat="1" applyFont="1" applyFill="1" applyAlignment="1">
      <alignment vertical="center"/>
    </xf>
    <xf numFmtId="168" fontId="7" fillId="0" borderId="0" xfId="0" applyNumberFormat="1" applyFont="1" applyAlignment="1">
      <alignment vertical="center"/>
    </xf>
    <xf numFmtId="0" fontId="7" fillId="0" borderId="0" xfId="0" applyFont="1" applyAlignment="1">
      <alignment vertical="center"/>
    </xf>
    <xf numFmtId="168" fontId="7" fillId="7" borderId="0" xfId="6" applyFont="1"/>
    <xf numFmtId="0" fontId="12" fillId="8" borderId="0" xfId="0" applyFont="1" applyFill="1" applyAlignment="1">
      <alignment vertical="center"/>
    </xf>
    <xf numFmtId="0" fontId="77" fillId="0" borderId="0" xfId="0" applyFont="1"/>
    <xf numFmtId="180" fontId="7" fillId="0" borderId="0" xfId="0" applyNumberFormat="1" applyFont="1" applyFill="1" applyBorder="1" applyAlignment="1">
      <alignment vertical="center"/>
    </xf>
    <xf numFmtId="195" fontId="7" fillId="0" borderId="0" xfId="0" applyNumberFormat="1" applyFont="1" applyFill="1" applyBorder="1" applyAlignment="1">
      <alignment vertical="center"/>
    </xf>
    <xf numFmtId="0" fontId="78" fillId="0" borderId="0" xfId="0" applyFont="1"/>
    <xf numFmtId="180" fontId="7" fillId="0" borderId="0" xfId="0" applyNumberFormat="1" applyFont="1" applyAlignment="1">
      <alignment vertical="center"/>
    </xf>
    <xf numFmtId="168" fontId="5" fillId="0" borderId="0" xfId="0" quotePrefix="1" applyNumberFormat="1" applyFont="1" applyAlignment="1">
      <alignment vertical="center"/>
    </xf>
    <xf numFmtId="170" fontId="7" fillId="6" borderId="0" xfId="7" applyNumberFormat="1" applyFont="1"/>
    <xf numFmtId="168" fontId="79" fillId="0" borderId="0" xfId="0" applyNumberFormat="1" applyFont="1" applyAlignment="1">
      <alignment vertical="center"/>
    </xf>
    <xf numFmtId="180" fontId="7" fillId="0" borderId="0" xfId="0" applyNumberFormat="1" applyFont="1" applyBorder="1" applyAlignment="1">
      <alignment vertical="center"/>
    </xf>
    <xf numFmtId="172" fontId="7" fillId="0" borderId="0" xfId="0" applyNumberFormat="1" applyFont="1" applyBorder="1" applyAlignment="1">
      <alignment vertical="center"/>
    </xf>
    <xf numFmtId="179" fontId="7" fillId="0" borderId="0" xfId="0" applyNumberFormat="1" applyFont="1" applyBorder="1" applyAlignment="1">
      <alignment vertical="center"/>
    </xf>
    <xf numFmtId="175" fontId="7" fillId="0" borderId="0" xfId="0" applyNumberFormat="1" applyFont="1" applyFill="1" applyAlignment="1">
      <alignment vertical="center"/>
    </xf>
    <xf numFmtId="175" fontId="7" fillId="0" borderId="0" xfId="0" applyNumberFormat="1" applyFont="1" applyBorder="1" applyAlignment="1">
      <alignment vertical="center"/>
    </xf>
    <xf numFmtId="175" fontId="7" fillId="0" borderId="0" xfId="0" applyNumberFormat="1" applyFont="1" applyAlignment="1">
      <alignment vertical="center"/>
    </xf>
    <xf numFmtId="196" fontId="7" fillId="0" borderId="0" xfId="0" applyNumberFormat="1" applyFont="1" applyFill="1" applyBorder="1" applyAlignment="1">
      <alignment vertical="center"/>
    </xf>
    <xf numFmtId="168" fontId="23" fillId="10" borderId="0" xfId="5" applyFont="1" applyAlignment="1">
      <alignment vertical="center"/>
    </xf>
    <xf numFmtId="4" fontId="0" fillId="0" borderId="0" xfId="0" applyNumberFormat="1"/>
    <xf numFmtId="197" fontId="0" fillId="0" borderId="0" xfId="0" applyNumberFormat="1"/>
    <xf numFmtId="195" fontId="0" fillId="0" borderId="0" xfId="0" applyNumberFormat="1"/>
    <xf numFmtId="198" fontId="0" fillId="0" borderId="0" xfId="0" applyNumberFormat="1"/>
    <xf numFmtId="0" fontId="76" fillId="0" borderId="0" xfId="0" applyFont="1" applyFill="1" applyBorder="1" applyAlignment="1">
      <alignment vertical="center"/>
    </xf>
    <xf numFmtId="192" fontId="7" fillId="0" borderId="0" xfId="43" applyNumberFormat="1" applyFont="1" applyFill="1" applyBorder="1" applyAlignment="1">
      <alignment vertical="center"/>
    </xf>
    <xf numFmtId="178" fontId="7" fillId="0" borderId="0" xfId="0" applyNumberFormat="1" applyFont="1" applyFill="1" applyBorder="1" applyAlignment="1">
      <alignment vertical="center"/>
    </xf>
    <xf numFmtId="168" fontId="7" fillId="105" borderId="69" xfId="0" applyNumberFormat="1" applyFont="1" applyFill="1" applyBorder="1" applyAlignment="1">
      <alignment vertical="center"/>
    </xf>
    <xf numFmtId="0" fontId="7" fillId="4" borderId="64" xfId="0" applyFont="1" applyFill="1" applyBorder="1" applyAlignment="1">
      <alignment vertical="center"/>
    </xf>
    <xf numFmtId="0" fontId="7" fillId="3" borderId="64" xfId="0" applyFont="1" applyFill="1" applyBorder="1" applyAlignment="1">
      <alignment vertical="center"/>
    </xf>
    <xf numFmtId="168" fontId="7" fillId="3" borderId="65" xfId="0" applyNumberFormat="1" applyFont="1" applyFill="1" applyBorder="1" applyAlignment="1">
      <alignment vertical="center"/>
    </xf>
    <xf numFmtId="174" fontId="7" fillId="4" borderId="64" xfId="0" applyNumberFormat="1" applyFont="1" applyFill="1" applyBorder="1" applyAlignment="1">
      <alignment horizontal="left" vertical="center" indent="1"/>
    </xf>
    <xf numFmtId="0" fontId="76" fillId="4" borderId="14" xfId="0" applyFont="1" applyFill="1" applyBorder="1" applyAlignment="1">
      <alignment vertical="center"/>
    </xf>
    <xf numFmtId="199" fontId="7" fillId="0" borderId="0" xfId="0" applyNumberFormat="1" applyFont="1" applyFill="1" applyBorder="1" applyAlignment="1">
      <alignment vertical="center"/>
    </xf>
    <xf numFmtId="200" fontId="7" fillId="0" borderId="0" xfId="0" applyNumberFormat="1" applyFont="1" applyFill="1" applyBorder="1" applyAlignment="1">
      <alignment vertical="center"/>
    </xf>
    <xf numFmtId="191" fontId="7" fillId="0" borderId="0" xfId="0" applyNumberFormat="1" applyFont="1" applyFill="1" applyBorder="1" applyAlignment="1">
      <alignment vertical="center"/>
    </xf>
    <xf numFmtId="194" fontId="7" fillId="7" borderId="0" xfId="6" applyNumberFormat="1" applyFont="1" applyAlignment="1">
      <alignment vertical="center"/>
    </xf>
    <xf numFmtId="0" fontId="36" fillId="0" borderId="0" xfId="0" applyFont="1" applyFill="1"/>
    <xf numFmtId="168" fontId="7" fillId="5" borderId="0" xfId="0" applyNumberFormat="1" applyFont="1" applyFill="1" applyBorder="1" applyAlignment="1">
      <alignment horizontal="right" vertical="center"/>
    </xf>
    <xf numFmtId="10" fontId="7" fillId="5" borderId="0" xfId="0" applyNumberFormat="1" applyFont="1" applyFill="1" applyBorder="1" applyAlignment="1" applyProtection="1">
      <alignment vertical="center"/>
      <protection locked="0"/>
    </xf>
    <xf numFmtId="10" fontId="7" fillId="5" borderId="0" xfId="43" applyFont="1" applyFill="1" applyBorder="1" applyAlignment="1" applyProtection="1">
      <alignment vertical="center"/>
      <protection locked="0"/>
    </xf>
    <xf numFmtId="168" fontId="7" fillId="5" borderId="10" xfId="0" applyNumberFormat="1" applyFont="1" applyFill="1" applyBorder="1" applyAlignment="1">
      <alignment vertical="center"/>
    </xf>
    <xf numFmtId="2" fontId="7" fillId="0" borderId="0" xfId="0" applyNumberFormat="1" applyFont="1" applyFill="1" applyBorder="1" applyAlignment="1">
      <alignment vertical="center"/>
    </xf>
    <xf numFmtId="168" fontId="7" fillId="5" borderId="0" xfId="422" applyNumberFormat="1" applyFont="1" applyFill="1" applyBorder="1" applyAlignment="1">
      <alignment vertical="center"/>
    </xf>
    <xf numFmtId="168" fontId="7" fillId="5" borderId="11" xfId="422" applyNumberFormat="1" applyFont="1" applyFill="1" applyBorder="1" applyAlignment="1">
      <alignment vertical="center"/>
    </xf>
    <xf numFmtId="168" fontId="7" fillId="5" borderId="70" xfId="422" applyNumberFormat="1" applyFont="1" applyFill="1" applyBorder="1" applyAlignment="1">
      <alignment vertical="center"/>
    </xf>
    <xf numFmtId="168" fontId="7" fillId="5" borderId="10" xfId="422" applyNumberFormat="1" applyFont="1" applyFill="1" applyBorder="1" applyAlignment="1">
      <alignment vertical="center"/>
    </xf>
    <xf numFmtId="168" fontId="7" fillId="12" borderId="29" xfId="422" applyNumberFormat="1" applyFont="1" applyFill="1" applyBorder="1" applyAlignment="1">
      <alignment vertical="center"/>
    </xf>
    <xf numFmtId="168" fontId="7" fillId="12" borderId="44" xfId="422" applyNumberFormat="1" applyFont="1" applyFill="1" applyBorder="1" applyAlignment="1">
      <alignment vertical="center"/>
    </xf>
    <xf numFmtId="168" fontId="7" fillId="12" borderId="42" xfId="422" applyNumberFormat="1" applyFont="1" applyFill="1" applyBorder="1" applyAlignment="1">
      <alignment vertical="center"/>
    </xf>
    <xf numFmtId="201" fontId="1" fillId="0" borderId="0" xfId="0" applyNumberFormat="1" applyFont="1"/>
    <xf numFmtId="202" fontId="1" fillId="0" borderId="0" xfId="0" applyNumberFormat="1" applyFont="1"/>
    <xf numFmtId="2" fontId="7" fillId="0" borderId="0" xfId="0" applyNumberFormat="1" applyFont="1" applyAlignment="1">
      <alignment vertical="center"/>
    </xf>
    <xf numFmtId="168" fontId="7" fillId="5" borderId="20" xfId="0" applyNumberFormat="1" applyFont="1" applyFill="1" applyBorder="1" applyAlignment="1">
      <alignment vertical="center"/>
    </xf>
    <xf numFmtId="180" fontId="7" fillId="5" borderId="0" xfId="0" applyNumberFormat="1" applyFont="1" applyFill="1" applyAlignment="1">
      <alignment vertical="center"/>
    </xf>
    <xf numFmtId="173" fontId="7" fillId="0" borderId="61" xfId="0" applyNumberFormat="1" applyFont="1" applyBorder="1" applyAlignment="1">
      <alignment vertical="center"/>
    </xf>
    <xf numFmtId="180" fontId="7" fillId="5" borderId="0" xfId="0" applyNumberFormat="1" applyFont="1" applyFill="1" applyBorder="1" applyAlignment="1">
      <alignment vertical="center"/>
    </xf>
    <xf numFmtId="0" fontId="7" fillId="0" borderId="27" xfId="0" applyFont="1" applyFill="1" applyBorder="1" applyAlignment="1">
      <alignment horizontal="right" vertical="center"/>
    </xf>
    <xf numFmtId="170" fontId="7" fillId="44" borderId="0" xfId="0" applyNumberFormat="1" applyFont="1" applyFill="1" applyBorder="1" applyAlignment="1" applyProtection="1">
      <alignment vertical="center"/>
      <protection locked="0"/>
    </xf>
    <xf numFmtId="194" fontId="7" fillId="0" borderId="0" xfId="0" applyNumberFormat="1" applyFont="1" applyFill="1" applyBorder="1" applyAlignment="1">
      <alignment vertical="center"/>
    </xf>
    <xf numFmtId="180" fontId="5" fillId="0" borderId="0" xfId="0" applyNumberFormat="1" applyFont="1" applyAlignment="1">
      <alignment vertical="center"/>
    </xf>
    <xf numFmtId="198" fontId="7" fillId="0" borderId="0" xfId="0" applyNumberFormat="1" applyFont="1" applyAlignment="1">
      <alignment vertical="center"/>
    </xf>
    <xf numFmtId="168" fontId="23" fillId="10" borderId="0" xfId="5" applyFont="1"/>
    <xf numFmtId="0" fontId="16" fillId="8" borderId="0" xfId="0" applyFont="1" applyFill="1" applyBorder="1" applyAlignment="1">
      <alignment horizontal="left" vertical="top" wrapText="1"/>
    </xf>
    <xf numFmtId="0" fontId="16" fillId="104" borderId="0" xfId="0" applyFont="1" applyFill="1" applyBorder="1" applyAlignment="1">
      <alignment horizontal="left" vertical="top" wrapText="1"/>
    </xf>
    <xf numFmtId="168" fontId="7" fillId="13" borderId="0" xfId="8" applyFont="1" applyAlignment="1">
      <alignment horizontal="left" vertical="center" wrapText="1"/>
    </xf>
  </cellXfs>
  <cellStyles count="1392">
    <cellStyle name="%" xfId="56"/>
    <cellStyle name="% 10" xfId="57"/>
    <cellStyle name="% 10 2" xfId="1343"/>
    <cellStyle name="% 2" xfId="58"/>
    <cellStyle name="% 2 2" xfId="59"/>
    <cellStyle name="% 2 2 2" xfId="60"/>
    <cellStyle name="% 2 2_3.1.2 DB Pension Detail" xfId="1344"/>
    <cellStyle name="% 3" xfId="61"/>
    <cellStyle name="% 4" xfId="62"/>
    <cellStyle name="% 4 2" xfId="63"/>
    <cellStyle name="% 4 3" xfId="64"/>
    <cellStyle name="% 4 4" xfId="65"/>
    <cellStyle name="% 4 5" xfId="66"/>
    <cellStyle name="% 4 6" xfId="67"/>
    <cellStyle name="% 4 7" xfId="68"/>
    <cellStyle name="% 4 8" xfId="69"/>
    <cellStyle name="%_3.3 Tax" xfId="70"/>
    <cellStyle name="%_3.3 Tax 2" xfId="71"/>
    <cellStyle name="%_4.2 Activity Indicators" xfId="1345"/>
    <cellStyle name="%_BP10+ GTO Capex Split CN" xfId="72"/>
    <cellStyle name="%_GTO Non Operational Capex Roll-over submission (FINAL with property)" xfId="73"/>
    <cellStyle name="%_NGG Opex PCRRP Tables 31 Mar 2009" xfId="1346"/>
    <cellStyle name="%_NGG TPCR4 MG Workings" xfId="74"/>
    <cellStyle name="%_Opex Input" xfId="75"/>
    <cellStyle name="%_Sch 2.1 Eng schedule 2009-10 Final @ 270710" xfId="1347"/>
    <cellStyle name="%_Transmission PCRRP tables_SPTL_200809 V1" xfId="76"/>
    <cellStyle name="%_VR NGET Opex tables" xfId="77"/>
    <cellStyle name="%_VR Pensions Opex tables" xfId="78"/>
    <cellStyle name="_070323 - 5yr opex BPQ (Final)" xfId="79"/>
    <cellStyle name="_0708 GSO Capex RRP (detail)" xfId="80"/>
    <cellStyle name="_0708 GSO Capex RRP (detail) 2" xfId="81"/>
    <cellStyle name="_0708 GSO Capex RRP (detail) 2 2" xfId="82"/>
    <cellStyle name="_0708 GSO Capex RRP (detail) 2 3" xfId="83"/>
    <cellStyle name="_0708 GSO Capex RRP (detail) 2 4" xfId="84"/>
    <cellStyle name="_0708 GSO Capex RRP (detail) 2 5" xfId="85"/>
    <cellStyle name="_0708 GSO Capex RRP (detail) 2 6" xfId="86"/>
    <cellStyle name="_0708 GSO Capex RRP (detail) 2 7" xfId="87"/>
    <cellStyle name="_0708 GSO Capex RRP (detail) 2 8" xfId="88"/>
    <cellStyle name="_0708 GSO Capex RRP (detail)_Opex Input" xfId="89"/>
    <cellStyle name="_0708 TO Non-Op Capex (detail)" xfId="90"/>
    <cellStyle name="_Book4" xfId="91"/>
    <cellStyle name="_Book4 2" xfId="92"/>
    <cellStyle name="_Book4 2 2" xfId="93"/>
    <cellStyle name="_Book4 2 3" xfId="94"/>
    <cellStyle name="_Book4 2 4" xfId="95"/>
    <cellStyle name="_Book4 2 5" xfId="96"/>
    <cellStyle name="_Book4 2 6" xfId="97"/>
    <cellStyle name="_Book4 2 7" xfId="98"/>
    <cellStyle name="_Book4 2 8" xfId="99"/>
    <cellStyle name="_BP10+ GTO Capex Split CN" xfId="100"/>
    <cellStyle name="_BP10+post TIC 1 Jun" xfId="101"/>
    <cellStyle name="_BP10+post TIC 1 Jun 2" xfId="102"/>
    <cellStyle name="_BP10+post TIC 1 Jun 2 2" xfId="103"/>
    <cellStyle name="_BP10+post TIC 1 Jun 2 3" xfId="104"/>
    <cellStyle name="_BP10+post TIC 1 Jun 2 4" xfId="105"/>
    <cellStyle name="_BP10+post TIC 1 Jun 2 5" xfId="106"/>
    <cellStyle name="_BP10+post TIC 1 Jun 2 6" xfId="107"/>
    <cellStyle name="_BP10+post TIC 1 Jun 2 7" xfId="108"/>
    <cellStyle name="_BP10+post TIC 1 Jun 2 8" xfId="109"/>
    <cellStyle name="_Capital Plan - IS UK" xfId="110"/>
    <cellStyle name="_Capital Plan - IS UK_0910 GSO Capex RRP - Final (Detail) v2 220710" xfId="111"/>
    <cellStyle name="_Capital Plan - IS UK_0910 GSO Capex RRP - Final (Detail) v2 220710 2" xfId="112"/>
    <cellStyle name="_Capital Plan - IS UK_0910 GSO Capex RRP - Final (Detail) v2 220710 2 2" xfId="113"/>
    <cellStyle name="_Capital Plan - IS UK_0910 GSO Capex RRP - Final (Detail) v2 220710 2 3" xfId="114"/>
    <cellStyle name="_Capital Plan - IS UK_0910 GSO Capex RRP - Final (Detail) v2 220710 2 4" xfId="115"/>
    <cellStyle name="_Capital Plan - IS UK_0910 GSO Capex RRP - Final (Detail) v2 220710 2 5" xfId="116"/>
    <cellStyle name="_Capital Plan - IS UK_0910 GSO Capex RRP - Final (Detail) v2 220710 2 6" xfId="117"/>
    <cellStyle name="_Capital Plan - IS UK_0910 GSO Capex RRP - Final (Detail) v2 220710 2 7" xfId="118"/>
    <cellStyle name="_Capital Plan - IS UK_0910 GSO Capex RRP - Final (Detail) v2 220710 2 8" xfId="119"/>
    <cellStyle name="_Capital Plan - IS UK_0910 GSO Capex RRP - Final (Detail) v2 220710_Opex Input" xfId="120"/>
    <cellStyle name="_Gas TO major Projects Forecast Jun-10" xfId="121"/>
    <cellStyle name="_Gas TO major Projects Forecast Jun-10 2" xfId="122"/>
    <cellStyle name="_Gas TO major Projects Forecast Jun-10 2 2" xfId="123"/>
    <cellStyle name="_Gas TO major Projects Forecast Jun-10 2 3" xfId="124"/>
    <cellStyle name="_Gas TO major Projects Forecast Jun-10 2 4" xfId="125"/>
    <cellStyle name="_Gas TO major Projects Forecast Jun-10 2 5" xfId="126"/>
    <cellStyle name="_Gas TO major Projects Forecast Jun-10 2 6" xfId="127"/>
    <cellStyle name="_Gas TO major Projects Forecast Jun-10 2 7" xfId="128"/>
    <cellStyle name="_Gas TO major Projects Forecast Jun-10 2 8" xfId="129"/>
    <cellStyle name="_Gas TO major Projects Forecast May-10 BP10+ v5" xfId="130"/>
    <cellStyle name="_Gas TO major Projects Forecast May-10 BP10+ v5 2" xfId="131"/>
    <cellStyle name="_Gas TO major Projects Forecast May-10 BP10+ v5 2 2" xfId="132"/>
    <cellStyle name="_Gas TO major Projects Forecast May-10 BP10+ v5 2 3" xfId="133"/>
    <cellStyle name="_Gas TO major Projects Forecast May-10 BP10+ v5 2 4" xfId="134"/>
    <cellStyle name="_Gas TO major Projects Forecast May-10 BP10+ v5 2 5" xfId="135"/>
    <cellStyle name="_Gas TO major Projects Forecast May-10 BP10+ v5 2 6" xfId="136"/>
    <cellStyle name="_Gas TO major Projects Forecast May-10 BP10+ v5 2 7" xfId="137"/>
    <cellStyle name="_Gas TO major Projects Forecast May-10 BP10+ v5 2 8" xfId="138"/>
    <cellStyle name="_GTO Non Operational Capex Roll-over submission (FINAL with property)" xfId="139"/>
    <cellStyle name="_Test scoring_UKGDx_20070924_Pilot (DV)" xfId="140"/>
    <cellStyle name="=C:\WINNT\SYSTEM32\COMMAND.COM" xfId="54"/>
    <cellStyle name="=C:\WINNT\SYSTEM32\COMMAND.COM 10" xfId="52"/>
    <cellStyle name="=C:\WINNT\SYSTEM32\COMMAND.COM 11" xfId="141"/>
    <cellStyle name="=C:\WINNT\SYSTEM32\COMMAND.COM 12" xfId="142"/>
    <cellStyle name="=C:\WINNT\SYSTEM32\COMMAND.COM 13" xfId="143"/>
    <cellStyle name="=C:\WINNT\SYSTEM32\COMMAND.COM 14" xfId="144"/>
    <cellStyle name="=C:\WINNT\SYSTEM32\COMMAND.COM 15" xfId="145"/>
    <cellStyle name="=C:\WINNT\SYSTEM32\COMMAND.COM 16" xfId="146"/>
    <cellStyle name="=C:\WINNT\SYSTEM32\COMMAND.COM 17" xfId="147"/>
    <cellStyle name="=C:\WINNT\SYSTEM32\COMMAND.COM 18" xfId="148"/>
    <cellStyle name="=C:\WINNT\SYSTEM32\COMMAND.COM 19" xfId="149"/>
    <cellStyle name="=C:\WINNT\SYSTEM32\COMMAND.COM 2" xfId="50"/>
    <cellStyle name="=C:\WINNT\SYSTEM32\COMMAND.COM 2 2" xfId="150"/>
    <cellStyle name="=C:\WINNT\SYSTEM32\COMMAND.COM 2 2 2" xfId="151"/>
    <cellStyle name="=C:\WINNT\SYSTEM32\COMMAND.COM 2 2 2 2" xfId="152"/>
    <cellStyle name="=C:\WINNT\SYSTEM32\COMMAND.COM 2 2 2 3" xfId="153"/>
    <cellStyle name="=C:\WINNT\SYSTEM32\COMMAND.COM 2 2 2_Opex Input" xfId="154"/>
    <cellStyle name="=C:\WINNT\SYSTEM32\COMMAND.COM 2 2 3" xfId="155"/>
    <cellStyle name="=C:\WINNT\SYSTEM32\COMMAND.COM 2 2_Opex Input" xfId="156"/>
    <cellStyle name="=C:\WINNT\SYSTEM32\COMMAND.COM 2 3" xfId="157"/>
    <cellStyle name="=C:\WINNT\SYSTEM32\COMMAND.COM 2 4" xfId="1373"/>
    <cellStyle name="=C:\WINNT\SYSTEM32\COMMAND.COM 2 5" xfId="1388"/>
    <cellStyle name="=C:\WINNT\SYSTEM32\COMMAND.COM 2 6" xfId="1374"/>
    <cellStyle name="=C:\WINNT\SYSTEM32\COMMAND.COM 2 7" xfId="1377"/>
    <cellStyle name="=C:\WINNT\SYSTEM32\COMMAND.COM 2 8" xfId="1375"/>
    <cellStyle name="=C:\WINNT\SYSTEM32\COMMAND.COM 2 9" xfId="1376"/>
    <cellStyle name="=C:\WINNT\SYSTEM32\COMMAND.COM 2_Opex Input" xfId="158"/>
    <cellStyle name="=C:\WINNT\SYSTEM32\COMMAND.COM 20" xfId="159"/>
    <cellStyle name="=C:\WINNT\SYSTEM32\COMMAND.COM 21" xfId="160"/>
    <cellStyle name="=C:\WINNT\SYSTEM32\COMMAND.COM 22" xfId="161"/>
    <cellStyle name="=C:\WINNT\SYSTEM32\COMMAND.COM 23" xfId="162"/>
    <cellStyle name="=C:\WINNT\SYSTEM32\COMMAND.COM 23 2" xfId="163"/>
    <cellStyle name="=C:\WINNT\SYSTEM32\COMMAND.COM 24" xfId="164"/>
    <cellStyle name="=C:\WINNT\SYSTEM32\COMMAND.COM 25" xfId="165"/>
    <cellStyle name="=C:\WINNT\SYSTEM32\COMMAND.COM 25 2" xfId="166"/>
    <cellStyle name="=C:\WINNT\SYSTEM32\COMMAND.COM 25 3" xfId="167"/>
    <cellStyle name="=C:\WINNT\SYSTEM32\COMMAND.COM 26" xfId="168"/>
    <cellStyle name="=C:\WINNT\SYSTEM32\COMMAND.COM 27" xfId="169"/>
    <cellStyle name="=C:\WINNT\SYSTEM32\COMMAND.COM 28" xfId="170"/>
    <cellStyle name="=C:\WINNT\SYSTEM32\COMMAND.COM 29" xfId="171"/>
    <cellStyle name="=C:\WINNT\SYSTEM32\COMMAND.COM 3" xfId="51"/>
    <cellStyle name="=C:\WINNT\SYSTEM32\COMMAND.COM 30" xfId="172"/>
    <cellStyle name="=C:\WINNT\SYSTEM32\COMMAND.COM 31" xfId="173"/>
    <cellStyle name="=C:\WINNT\SYSTEM32\COMMAND.COM 32" xfId="174"/>
    <cellStyle name="=C:\WINNT\SYSTEM32\COMMAND.COM 33" xfId="175"/>
    <cellStyle name="=C:\WINNT\SYSTEM32\COMMAND.COM 4" xfId="176"/>
    <cellStyle name="=C:\WINNT\SYSTEM32\COMMAND.COM 4 2" xfId="177"/>
    <cellStyle name="=C:\WINNT\SYSTEM32\COMMAND.COM 4 3" xfId="178"/>
    <cellStyle name="=C:\WINNT\SYSTEM32\COMMAND.COM 4_Opex Input" xfId="179"/>
    <cellStyle name="=C:\WINNT\SYSTEM32\COMMAND.COM 5" xfId="180"/>
    <cellStyle name="=C:\WINNT\SYSTEM32\COMMAND.COM 6" xfId="181"/>
    <cellStyle name="=C:\WINNT\SYSTEM32\COMMAND.COM 7" xfId="182"/>
    <cellStyle name="=C:\WINNT\SYSTEM32\COMMAND.COM 8" xfId="183"/>
    <cellStyle name="=C:\WINNT\SYSTEM32\COMMAND.COM 9" xfId="184"/>
    <cellStyle name="=C:\WINNT\SYSTEM32\COMMAND.COM_Model_run_060901" xfId="185"/>
    <cellStyle name="=C:\WINNT35\SYSTEM32\COMMAND.COM" xfId="186"/>
    <cellStyle name="20% - Accent1" xfId="13" builtinId="30" hidden="1"/>
    <cellStyle name="20% - Accent1 2" xfId="187"/>
    <cellStyle name="20% - Accent1 3" xfId="188"/>
    <cellStyle name="20% - Accent2" xfId="17" builtinId="34" hidden="1"/>
    <cellStyle name="20% - Accent2 2" xfId="189"/>
    <cellStyle name="20% - Accent2 3" xfId="190"/>
    <cellStyle name="20% - Accent3" xfId="21" builtinId="38" hidden="1"/>
    <cellStyle name="20% - Accent3 2" xfId="191"/>
    <cellStyle name="20% - Accent3 3" xfId="192"/>
    <cellStyle name="20% - Accent4" xfId="25" builtinId="42" hidden="1"/>
    <cellStyle name="20% - Accent4 2" xfId="193"/>
    <cellStyle name="20% - Accent4 3" xfId="194"/>
    <cellStyle name="20% - Accent5" xfId="29" builtinId="46" hidden="1"/>
    <cellStyle name="20% - Accent5 2" xfId="195"/>
    <cellStyle name="20% - Accent5 3" xfId="196"/>
    <cellStyle name="20% - Accent6" xfId="33" builtinId="50" hidden="1"/>
    <cellStyle name="20% - Accent6 2" xfId="197"/>
    <cellStyle name="20% - Accent6 3" xfId="198"/>
    <cellStyle name="40% - Accent1" xfId="14" builtinId="31" hidden="1"/>
    <cellStyle name="40% - Accent1 2" xfId="199"/>
    <cellStyle name="40% - Accent1 3" xfId="200"/>
    <cellStyle name="40% - Accent2" xfId="18" builtinId="35" hidden="1"/>
    <cellStyle name="40% - Accent2 2" xfId="201"/>
    <cellStyle name="40% - Accent2 3" xfId="202"/>
    <cellStyle name="40% - Accent3" xfId="22" builtinId="39" hidden="1"/>
    <cellStyle name="40% - Accent3 2" xfId="203"/>
    <cellStyle name="40% - Accent3 3" xfId="204"/>
    <cellStyle name="40% - Accent4" xfId="26" builtinId="43" hidden="1"/>
    <cellStyle name="40% - Accent4 2" xfId="205"/>
    <cellStyle name="40% - Accent4 3" xfId="206"/>
    <cellStyle name="40% - Accent5" xfId="30" builtinId="47" hidden="1"/>
    <cellStyle name="40% - Accent5 2" xfId="207"/>
    <cellStyle name="40% - Accent5 3" xfId="208"/>
    <cellStyle name="40% - Accent6" xfId="34" builtinId="51" hidden="1"/>
    <cellStyle name="40% - Accent6 2" xfId="209"/>
    <cellStyle name="40% - Accent6 3" xfId="210"/>
    <cellStyle name="60% - Accent1" xfId="15" builtinId="32" hidden="1"/>
    <cellStyle name="60% - Accent1 2" xfId="211"/>
    <cellStyle name="60% - Accent1 3" xfId="212"/>
    <cellStyle name="60% - Accent2" xfId="19" builtinId="36" hidden="1"/>
    <cellStyle name="60% - Accent2 2" xfId="213"/>
    <cellStyle name="60% - Accent2 3" xfId="214"/>
    <cellStyle name="60% - Accent3" xfId="23" builtinId="40" hidden="1"/>
    <cellStyle name="60% - Accent3 2" xfId="215"/>
    <cellStyle name="60% - Accent3 3" xfId="216"/>
    <cellStyle name="60% - Accent4" xfId="27" builtinId="44" hidden="1"/>
    <cellStyle name="60% - Accent4 2" xfId="217"/>
    <cellStyle name="60% - Accent4 3" xfId="218"/>
    <cellStyle name="60% - Accent5" xfId="31" builtinId="48" hidden="1"/>
    <cellStyle name="60% - Accent5 2" xfId="219"/>
    <cellStyle name="60% - Accent5 3" xfId="220"/>
    <cellStyle name="60% - Accent6" xfId="35" builtinId="52" hidden="1"/>
    <cellStyle name="60% - Accent6 2" xfId="221"/>
    <cellStyle name="60% - Accent6 3" xfId="222"/>
    <cellStyle name="Accent1" xfId="12" builtinId="29" hidden="1"/>
    <cellStyle name="Accent1 - 20%" xfId="223"/>
    <cellStyle name="Accent1 - 40%" xfId="224"/>
    <cellStyle name="Accent1 - 60%" xfId="225"/>
    <cellStyle name="Accent1 2" xfId="226"/>
    <cellStyle name="Accent1 3" xfId="227"/>
    <cellStyle name="Accent2" xfId="16" builtinId="33" hidden="1"/>
    <cellStyle name="Accent2 - 20%" xfId="228"/>
    <cellStyle name="Accent2 - 40%" xfId="229"/>
    <cellStyle name="Accent2 - 60%" xfId="230"/>
    <cellStyle name="Accent2 2" xfId="231"/>
    <cellStyle name="Accent2 3" xfId="232"/>
    <cellStyle name="Accent3" xfId="20" builtinId="37" hidden="1"/>
    <cellStyle name="Accent3 - 20%" xfId="233"/>
    <cellStyle name="Accent3 - 40%" xfId="234"/>
    <cellStyle name="Accent3 - 60%" xfId="235"/>
    <cellStyle name="Accent3 2" xfId="236"/>
    <cellStyle name="Accent3 3" xfId="237"/>
    <cellStyle name="Accent4" xfId="24" builtinId="41" hidden="1"/>
    <cellStyle name="Accent4 - 20%" xfId="238"/>
    <cellStyle name="Accent4 - 40%" xfId="239"/>
    <cellStyle name="Accent4 - 60%" xfId="240"/>
    <cellStyle name="Accent4 2" xfId="241"/>
    <cellStyle name="Accent4 3" xfId="242"/>
    <cellStyle name="Accent5" xfId="28" builtinId="45" hidden="1"/>
    <cellStyle name="Accent5 - 20%" xfId="243"/>
    <cellStyle name="Accent5 - 40%" xfId="244"/>
    <cellStyle name="Accent5 - 60%" xfId="245"/>
    <cellStyle name="Accent5 2" xfId="246"/>
    <cellStyle name="Accent5 3" xfId="247"/>
    <cellStyle name="Accent6" xfId="32" builtinId="49" hidden="1"/>
    <cellStyle name="Accent6 - 20%" xfId="248"/>
    <cellStyle name="Accent6 - 40%" xfId="249"/>
    <cellStyle name="Accent6 - 60%" xfId="250"/>
    <cellStyle name="Accent6 2" xfId="251"/>
    <cellStyle name="Accent6 3" xfId="252"/>
    <cellStyle name="Bad" xfId="37" builtinId="27" hidden="1"/>
    <cellStyle name="Bad 2" xfId="253"/>
    <cellStyle name="Bad 3" xfId="254"/>
    <cellStyle name="Calculation" xfId="40" builtinId="22" hidden="1"/>
    <cellStyle name="Calculation 2" xfId="255"/>
    <cellStyle name="Calculation 3" xfId="256"/>
    <cellStyle name="Check Cell 2" xfId="257"/>
    <cellStyle name="Check Cell 3" xfId="258"/>
    <cellStyle name="column Head Underlined" xfId="259"/>
    <cellStyle name="Column Heading" xfId="260"/>
    <cellStyle name="Comma" xfId="2" builtinId="3" hidden="1"/>
    <cellStyle name="Comma" xfId="1342" builtinId="3"/>
    <cellStyle name="Comma [0]" xfId="9" builtinId="6" hidden="1"/>
    <cellStyle name="Comma [1]" xfId="261"/>
    <cellStyle name="Comma [1] 2" xfId="262"/>
    <cellStyle name="Comma [1] 2 2" xfId="263"/>
    <cellStyle name="Comma [1] 2 3" xfId="264"/>
    <cellStyle name="Comma [1] 2 4" xfId="265"/>
    <cellStyle name="Comma [1] 2 5" xfId="266"/>
    <cellStyle name="Comma [1] 2 6" xfId="267"/>
    <cellStyle name="Comma [1] 2 7" xfId="268"/>
    <cellStyle name="Comma [1] 2 8" xfId="269"/>
    <cellStyle name="Comma 10" xfId="270"/>
    <cellStyle name="Comma 11" xfId="45"/>
    <cellStyle name="Comma 12" xfId="271"/>
    <cellStyle name="Comma 13" xfId="272"/>
    <cellStyle name="Comma 2" xfId="273"/>
    <cellStyle name="Comma 2 10" xfId="274"/>
    <cellStyle name="Comma 2 11" xfId="275"/>
    <cellStyle name="Comma 2 12" xfId="276"/>
    <cellStyle name="Comma 2 13" xfId="277"/>
    <cellStyle name="Comma 2 14" xfId="278"/>
    <cellStyle name="Comma 2 15" xfId="279"/>
    <cellStyle name="Comma 2 16" xfId="280"/>
    <cellStyle name="Comma 2 17" xfId="281"/>
    <cellStyle name="Comma 2 18" xfId="282"/>
    <cellStyle name="Comma 2 19" xfId="283"/>
    <cellStyle name="Comma 2 2" xfId="284"/>
    <cellStyle name="Comma 2 2 10" xfId="285"/>
    <cellStyle name="Comma 2 2 11" xfId="286"/>
    <cellStyle name="Comma 2 2 12" xfId="287"/>
    <cellStyle name="Comma 2 2 13" xfId="288"/>
    <cellStyle name="Comma 2 2 14" xfId="289"/>
    <cellStyle name="Comma 2 2 15" xfId="290"/>
    <cellStyle name="Comma 2 2 16" xfId="291"/>
    <cellStyle name="Comma 2 2 17" xfId="292"/>
    <cellStyle name="Comma 2 2 18" xfId="293"/>
    <cellStyle name="Comma 2 2 19" xfId="294"/>
    <cellStyle name="Comma 2 2 2" xfId="295"/>
    <cellStyle name="Comma 2 2 2 10" xfId="296"/>
    <cellStyle name="Comma 2 2 2 11" xfId="297"/>
    <cellStyle name="Comma 2 2 2 12" xfId="298"/>
    <cellStyle name="Comma 2 2 2 13" xfId="299"/>
    <cellStyle name="Comma 2 2 2 14" xfId="300"/>
    <cellStyle name="Comma 2 2 2 15" xfId="301"/>
    <cellStyle name="Comma 2 2 2 16" xfId="302"/>
    <cellStyle name="Comma 2 2 2 17" xfId="303"/>
    <cellStyle name="Comma 2 2 2 18" xfId="304"/>
    <cellStyle name="Comma 2 2 2 2" xfId="305"/>
    <cellStyle name="Comma 2 2 2 2 2" xfId="306"/>
    <cellStyle name="Comma 2 2 2 2 2 2" xfId="307"/>
    <cellStyle name="Comma 2 2 2 2 2 3" xfId="308"/>
    <cellStyle name="Comma 2 2 2 2 2 4" xfId="309"/>
    <cellStyle name="Comma 2 2 2 2 2 5" xfId="310"/>
    <cellStyle name="Comma 2 2 2 2 2 6" xfId="311"/>
    <cellStyle name="Comma 2 2 2 2 2 7" xfId="312"/>
    <cellStyle name="Comma 2 2 2 2 3" xfId="313"/>
    <cellStyle name="Comma 2 2 2 2 4" xfId="314"/>
    <cellStyle name="Comma 2 2 2 2 5" xfId="315"/>
    <cellStyle name="Comma 2 2 2 2 6" xfId="316"/>
    <cellStyle name="Comma 2 2 2 2 7" xfId="317"/>
    <cellStyle name="Comma 2 2 2 2 8" xfId="318"/>
    <cellStyle name="Comma 2 2 2 3" xfId="319"/>
    <cellStyle name="Comma 2 2 2 4" xfId="320"/>
    <cellStyle name="Comma 2 2 2 5" xfId="321"/>
    <cellStyle name="Comma 2 2 2 5 2" xfId="322"/>
    <cellStyle name="Comma 2 2 2 5 3" xfId="323"/>
    <cellStyle name="Comma 2 2 2 5 4" xfId="324"/>
    <cellStyle name="Comma 2 2 2 5 5" xfId="325"/>
    <cellStyle name="Comma 2 2 2 5 6" xfId="326"/>
    <cellStyle name="Comma 2 2 2 5 7" xfId="327"/>
    <cellStyle name="Comma 2 2 2 6" xfId="328"/>
    <cellStyle name="Comma 2 2 2 7" xfId="329"/>
    <cellStyle name="Comma 2 2 2 8" xfId="330"/>
    <cellStyle name="Comma 2 2 2 9" xfId="331"/>
    <cellStyle name="Comma 2 2 3" xfId="332"/>
    <cellStyle name="Comma 2 2 4" xfId="333"/>
    <cellStyle name="Comma 2 2 4 2" xfId="334"/>
    <cellStyle name="Comma 2 2 4 2 2" xfId="335"/>
    <cellStyle name="Comma 2 2 4 2 3" xfId="336"/>
    <cellStyle name="Comma 2 2 4 2 4" xfId="337"/>
    <cellStyle name="Comma 2 2 4 2 5" xfId="338"/>
    <cellStyle name="Comma 2 2 4 2 6" xfId="339"/>
    <cellStyle name="Comma 2 2 4 2 7" xfId="340"/>
    <cellStyle name="Comma 2 2 4 3" xfId="341"/>
    <cellStyle name="Comma 2 2 4 4" xfId="342"/>
    <cellStyle name="Comma 2 2 4 5" xfId="343"/>
    <cellStyle name="Comma 2 2 4 6" xfId="344"/>
    <cellStyle name="Comma 2 2 4 7" xfId="345"/>
    <cellStyle name="Comma 2 2 4 8" xfId="346"/>
    <cellStyle name="Comma 2 2 5" xfId="347"/>
    <cellStyle name="Comma 2 2 6" xfId="348"/>
    <cellStyle name="Comma 2 2 6 2" xfId="349"/>
    <cellStyle name="Comma 2 2 6 3" xfId="350"/>
    <cellStyle name="Comma 2 2 6 4" xfId="351"/>
    <cellStyle name="Comma 2 2 6 5" xfId="352"/>
    <cellStyle name="Comma 2 2 6 6" xfId="353"/>
    <cellStyle name="Comma 2 2 6 7" xfId="354"/>
    <cellStyle name="Comma 2 2 7" xfId="355"/>
    <cellStyle name="Comma 2 2 8" xfId="356"/>
    <cellStyle name="Comma 2 2 9" xfId="357"/>
    <cellStyle name="Comma 2 2_Opex Input" xfId="358"/>
    <cellStyle name="Comma 2 20" xfId="359"/>
    <cellStyle name="Comma 2 21" xfId="1390"/>
    <cellStyle name="Comma 2 3" xfId="360"/>
    <cellStyle name="Comma 2 3 2" xfId="361"/>
    <cellStyle name="Comma 2 3 2 2" xfId="362"/>
    <cellStyle name="Comma 2 3 3" xfId="363"/>
    <cellStyle name="Comma 2 4" xfId="364"/>
    <cellStyle name="Comma 2 5" xfId="365"/>
    <cellStyle name="Comma 2 6" xfId="366"/>
    <cellStyle name="Comma 2 7" xfId="367"/>
    <cellStyle name="Comma 2 8" xfId="368"/>
    <cellStyle name="Comma 2 9" xfId="369"/>
    <cellStyle name="Comma 2_2.11 Staff NG BS" xfId="1348"/>
    <cellStyle name="Comma 3" xfId="370"/>
    <cellStyle name="Comma 3 13" xfId="1349"/>
    <cellStyle name="Comma 3 2" xfId="371"/>
    <cellStyle name="Comma 3 2 2" xfId="372"/>
    <cellStyle name="Comma 3 2 3" xfId="373"/>
    <cellStyle name="Comma 3 3" xfId="374"/>
    <cellStyle name="Comma 3 3 2" xfId="1350"/>
    <cellStyle name="Comma 3_Asset Health Themes (2)" xfId="375"/>
    <cellStyle name="Comma 4" xfId="376"/>
    <cellStyle name="Comma 5" xfId="377"/>
    <cellStyle name="Comma 6" xfId="48"/>
    <cellStyle name="Comma 7" xfId="378"/>
    <cellStyle name="Comma 8" xfId="379"/>
    <cellStyle name="Comma 8 2" xfId="380"/>
    <cellStyle name="Comma 8 3" xfId="381"/>
    <cellStyle name="Comma 9" xfId="382"/>
    <cellStyle name="Comment" xfId="8"/>
    <cellStyle name="Currency" xfId="10" builtinId="4" hidden="1"/>
    <cellStyle name="Currency [0]" xfId="11" builtinId="7" hidden="1"/>
    <cellStyle name="Date" xfId="383"/>
    <cellStyle name="Date 2" xfId="384"/>
    <cellStyle name="Date_0910 GSO Capex RRP - Final (Detail) v2 220710" xfId="385"/>
    <cellStyle name="Dezimal [0]_Compiling Utility Macros" xfId="386"/>
    <cellStyle name="Dezimal_Compiling Utility Macros" xfId="387"/>
    <cellStyle name="Emphasis 1" xfId="388"/>
    <cellStyle name="Emphasis 2" xfId="389"/>
    <cellStyle name="Emphasis 3" xfId="390"/>
    <cellStyle name="Euro" xfId="391"/>
    <cellStyle name="Explanatory Text" xfId="42" builtinId="53" hidden="1"/>
    <cellStyle name="Explanatory Text 2" xfId="392"/>
    <cellStyle name="Explanatory Text 3" xfId="393"/>
    <cellStyle name="Good" xfId="36" builtinId="26" hidden="1"/>
    <cellStyle name="Good 2" xfId="394"/>
    <cellStyle name="Good 3" xfId="395"/>
    <cellStyle name="GreyOrWhite" xfId="396"/>
    <cellStyle name="GreyOrWhite 2" xfId="397"/>
    <cellStyle name="GreyOrWhite 2 2" xfId="398"/>
    <cellStyle name="GreyOrWhite 2 3" xfId="399"/>
    <cellStyle name="GreyOrWhite 2 4" xfId="400"/>
    <cellStyle name="GreyOrWhite 2 5" xfId="401"/>
    <cellStyle name="GreyOrWhite 2 6" xfId="402"/>
    <cellStyle name="GreyOrWhite 2 7" xfId="403"/>
    <cellStyle name="GreyOrWhite 2 8" xfId="404"/>
    <cellStyle name="Heading 1 2" xfId="405"/>
    <cellStyle name="Heading 1 3" xfId="406"/>
    <cellStyle name="Heading 2 2" xfId="407"/>
    <cellStyle name="Heading 2 3" xfId="408"/>
    <cellStyle name="Heading 3 2" xfId="409"/>
    <cellStyle name="Heading 3 3" xfId="410"/>
    <cellStyle name="Heading 4 2" xfId="411"/>
    <cellStyle name="Heading 4 3" xfId="412"/>
    <cellStyle name="Hyperlink" xfId="4" builtinId="8" hidden="1"/>
    <cellStyle name="Input" xfId="39" builtinId="20" hidden="1"/>
    <cellStyle name="Input 2" xfId="413"/>
    <cellStyle name="Input 3" xfId="414"/>
    <cellStyle name="InputData" xfId="415"/>
    <cellStyle name="Level 1" xfId="5"/>
    <cellStyle name="Level 2" xfId="6"/>
    <cellStyle name="Level 3" xfId="7"/>
    <cellStyle name="Level 4" xfId="3"/>
    <cellStyle name="Linked Cell 2" xfId="416"/>
    <cellStyle name="Linked Cell 3" xfId="417"/>
    <cellStyle name="Main Heading" xfId="418"/>
    <cellStyle name="Neutral" xfId="38" builtinId="28" hidden="1"/>
    <cellStyle name="Neutral 2" xfId="419"/>
    <cellStyle name="Neutral 3" xfId="420"/>
    <cellStyle name="Normal" xfId="0" builtinId="0"/>
    <cellStyle name="Normal 10" xfId="421"/>
    <cellStyle name="Normal 11" xfId="422"/>
    <cellStyle name="Normal 11 2" xfId="423"/>
    <cellStyle name="Normal 12" xfId="424"/>
    <cellStyle name="Normal 12 2" xfId="425"/>
    <cellStyle name="Normal 13" xfId="426"/>
    <cellStyle name="Normal 13 2" xfId="49"/>
    <cellStyle name="Normal 13 2 10" xfId="1339"/>
    <cellStyle name="Normal 13 2 2" xfId="1351"/>
    <cellStyle name="Normal 14" xfId="46"/>
    <cellStyle name="Normal 14 2 10" xfId="1340"/>
    <cellStyle name="Normal 15" xfId="44"/>
    <cellStyle name="Normal 16" xfId="427"/>
    <cellStyle name="Normal 17" xfId="428"/>
    <cellStyle name="Normal 18" xfId="429"/>
    <cellStyle name="Normal 19" xfId="430"/>
    <cellStyle name="Normal 2" xfId="431"/>
    <cellStyle name="Normal 2 10" xfId="432"/>
    <cellStyle name="Normal 2 11" xfId="433"/>
    <cellStyle name="Normal 2 12" xfId="434"/>
    <cellStyle name="Normal 2 13" xfId="435"/>
    <cellStyle name="Normal 2 14" xfId="436"/>
    <cellStyle name="Normal 2 15" xfId="437"/>
    <cellStyle name="Normal 2 16" xfId="438"/>
    <cellStyle name="Normal 2 17" xfId="439"/>
    <cellStyle name="Normal 2 18" xfId="440"/>
    <cellStyle name="Normal 2 19" xfId="441"/>
    <cellStyle name="Normal 2 2" xfId="442"/>
    <cellStyle name="Normal 2 2 10" xfId="443"/>
    <cellStyle name="Normal 2 2 11" xfId="444"/>
    <cellStyle name="Normal 2 2 11 2" xfId="445"/>
    <cellStyle name="Normal 2 2 11 2 2" xfId="446"/>
    <cellStyle name="Normal 2 2 11 2 3" xfId="447"/>
    <cellStyle name="Normal 2 2 11 2 4" xfId="448"/>
    <cellStyle name="Normal 2 2 11 2 5" xfId="449"/>
    <cellStyle name="Normal 2 2 11 2 6" xfId="450"/>
    <cellStyle name="Normal 2 2 11 2 7" xfId="451"/>
    <cellStyle name="Normal 2 2 11 3" xfId="452"/>
    <cellStyle name="Normal 2 2 11 4" xfId="453"/>
    <cellStyle name="Normal 2 2 11 5" xfId="454"/>
    <cellStyle name="Normal 2 2 11 6" xfId="455"/>
    <cellStyle name="Normal 2 2 11 7" xfId="456"/>
    <cellStyle name="Normal 2 2 11 8" xfId="457"/>
    <cellStyle name="Normal 2 2 12" xfId="458"/>
    <cellStyle name="Normal 2 2 13" xfId="459"/>
    <cellStyle name="Normal 2 2 13 2" xfId="460"/>
    <cellStyle name="Normal 2 2 13 3" xfId="461"/>
    <cellStyle name="Normal 2 2 13 4" xfId="462"/>
    <cellStyle name="Normal 2 2 13 5" xfId="463"/>
    <cellStyle name="Normal 2 2 13 6" xfId="464"/>
    <cellStyle name="Normal 2 2 13 7" xfId="465"/>
    <cellStyle name="Normal 2 2 14" xfId="466"/>
    <cellStyle name="Normal 2 2 15" xfId="467"/>
    <cellStyle name="Normal 2 2 16" xfId="468"/>
    <cellStyle name="Normal 2 2 17" xfId="469"/>
    <cellStyle name="Normal 2 2 18" xfId="470"/>
    <cellStyle name="Normal 2 2 19" xfId="471"/>
    <cellStyle name="Normal 2 2 2" xfId="472"/>
    <cellStyle name="Normal 2 2 2 10" xfId="473"/>
    <cellStyle name="Normal 2 2 2 11" xfId="474"/>
    <cellStyle name="Normal 2 2 2 11 2" xfId="475"/>
    <cellStyle name="Normal 2 2 2 11 2 2" xfId="476"/>
    <cellStyle name="Normal 2 2 2 11 2 3" xfId="477"/>
    <cellStyle name="Normal 2 2 2 11 2 4" xfId="478"/>
    <cellStyle name="Normal 2 2 2 11 2 5" xfId="479"/>
    <cellStyle name="Normal 2 2 2 11 2 6" xfId="480"/>
    <cellStyle name="Normal 2 2 2 11 2 7" xfId="481"/>
    <cellStyle name="Normal 2 2 2 11 3" xfId="482"/>
    <cellStyle name="Normal 2 2 2 11 4" xfId="483"/>
    <cellStyle name="Normal 2 2 2 11 5" xfId="484"/>
    <cellStyle name="Normal 2 2 2 11 6" xfId="485"/>
    <cellStyle name="Normal 2 2 2 11 7" xfId="486"/>
    <cellStyle name="Normal 2 2 2 11 8" xfId="487"/>
    <cellStyle name="Normal 2 2 2 12" xfId="488"/>
    <cellStyle name="Normal 2 2 2 13" xfId="489"/>
    <cellStyle name="Normal 2 2 2 13 2" xfId="490"/>
    <cellStyle name="Normal 2 2 2 13 3" xfId="491"/>
    <cellStyle name="Normal 2 2 2 13 4" xfId="492"/>
    <cellStyle name="Normal 2 2 2 13 5" xfId="493"/>
    <cellStyle name="Normal 2 2 2 13 6" xfId="494"/>
    <cellStyle name="Normal 2 2 2 13 7" xfId="495"/>
    <cellStyle name="Normal 2 2 2 14" xfId="496"/>
    <cellStyle name="Normal 2 2 2 15" xfId="497"/>
    <cellStyle name="Normal 2 2 2 16" xfId="498"/>
    <cellStyle name="Normal 2 2 2 17" xfId="499"/>
    <cellStyle name="Normal 2 2 2 18" xfId="500"/>
    <cellStyle name="Normal 2 2 2 19" xfId="501"/>
    <cellStyle name="Normal 2 2 2 2" xfId="502"/>
    <cellStyle name="Normal 2 2 2 2 10" xfId="503"/>
    <cellStyle name="Normal 2 2 2 2 11" xfId="504"/>
    <cellStyle name="Normal 2 2 2 2 11 2" xfId="505"/>
    <cellStyle name="Normal 2 2 2 2 11 3" xfId="506"/>
    <cellStyle name="Normal 2 2 2 2 11 4" xfId="507"/>
    <cellStyle name="Normal 2 2 2 2 11 5" xfId="508"/>
    <cellStyle name="Normal 2 2 2 2 11 6" xfId="509"/>
    <cellStyle name="Normal 2 2 2 2 11 7" xfId="510"/>
    <cellStyle name="Normal 2 2 2 2 12" xfId="511"/>
    <cellStyle name="Normal 2 2 2 2 13" xfId="512"/>
    <cellStyle name="Normal 2 2 2 2 14" xfId="513"/>
    <cellStyle name="Normal 2 2 2 2 15" xfId="514"/>
    <cellStyle name="Normal 2 2 2 2 16" xfId="515"/>
    <cellStyle name="Normal 2 2 2 2 17" xfId="516"/>
    <cellStyle name="Normal 2 2 2 2 18" xfId="517"/>
    <cellStyle name="Normal 2 2 2 2 19" xfId="518"/>
    <cellStyle name="Normal 2 2 2 2 2" xfId="519"/>
    <cellStyle name="Normal 2 2 2 2 2 10" xfId="520"/>
    <cellStyle name="Normal 2 2 2 2 2 11" xfId="521"/>
    <cellStyle name="Normal 2 2 2 2 2 11 2" xfId="522"/>
    <cellStyle name="Normal 2 2 2 2 2 11 3" xfId="523"/>
    <cellStyle name="Normal 2 2 2 2 2 11 4" xfId="524"/>
    <cellStyle name="Normal 2 2 2 2 2 11 5" xfId="525"/>
    <cellStyle name="Normal 2 2 2 2 2 11 6" xfId="526"/>
    <cellStyle name="Normal 2 2 2 2 2 11 7" xfId="527"/>
    <cellStyle name="Normal 2 2 2 2 2 12" xfId="528"/>
    <cellStyle name="Normal 2 2 2 2 2 13" xfId="529"/>
    <cellStyle name="Normal 2 2 2 2 2 14" xfId="530"/>
    <cellStyle name="Normal 2 2 2 2 2 15" xfId="531"/>
    <cellStyle name="Normal 2 2 2 2 2 16" xfId="532"/>
    <cellStyle name="Normal 2 2 2 2 2 17" xfId="533"/>
    <cellStyle name="Normal 2 2 2 2 2 18" xfId="534"/>
    <cellStyle name="Normal 2 2 2 2 2 19" xfId="535"/>
    <cellStyle name="Normal 2 2 2 2 2 2" xfId="536"/>
    <cellStyle name="Normal 2 2 2 2 2 2 10" xfId="537"/>
    <cellStyle name="Normal 2 2 2 2 2 2 10 2" xfId="538"/>
    <cellStyle name="Normal 2 2 2 2 2 2 10 3" xfId="539"/>
    <cellStyle name="Normal 2 2 2 2 2 2 10 4" xfId="540"/>
    <cellStyle name="Normal 2 2 2 2 2 2 10 5" xfId="541"/>
    <cellStyle name="Normal 2 2 2 2 2 2 10 6" xfId="542"/>
    <cellStyle name="Normal 2 2 2 2 2 2 10 7" xfId="543"/>
    <cellStyle name="Normal 2 2 2 2 2 2 11" xfId="544"/>
    <cellStyle name="Normal 2 2 2 2 2 2 12" xfId="545"/>
    <cellStyle name="Normal 2 2 2 2 2 2 13" xfId="546"/>
    <cellStyle name="Normal 2 2 2 2 2 2 14" xfId="547"/>
    <cellStyle name="Normal 2 2 2 2 2 2 15" xfId="548"/>
    <cellStyle name="Normal 2 2 2 2 2 2 16" xfId="549"/>
    <cellStyle name="Normal 2 2 2 2 2 2 17" xfId="550"/>
    <cellStyle name="Normal 2 2 2 2 2 2 18" xfId="551"/>
    <cellStyle name="Normal 2 2 2 2 2 2 19" xfId="552"/>
    <cellStyle name="Normal 2 2 2 2 2 2 2" xfId="553"/>
    <cellStyle name="Normal 2 2 2 2 2 2 2 10" xfId="554"/>
    <cellStyle name="Normal 2 2 2 2 2 2 2 10 2" xfId="555"/>
    <cellStyle name="Normal 2 2 2 2 2 2 2 10 3" xfId="556"/>
    <cellStyle name="Normal 2 2 2 2 2 2 2 10 4" xfId="557"/>
    <cellStyle name="Normal 2 2 2 2 2 2 2 10 5" xfId="558"/>
    <cellStyle name="Normal 2 2 2 2 2 2 2 10 6" xfId="559"/>
    <cellStyle name="Normal 2 2 2 2 2 2 2 10 7" xfId="560"/>
    <cellStyle name="Normal 2 2 2 2 2 2 2 11" xfId="561"/>
    <cellStyle name="Normal 2 2 2 2 2 2 2 12" xfId="562"/>
    <cellStyle name="Normal 2 2 2 2 2 2 2 13" xfId="563"/>
    <cellStyle name="Normal 2 2 2 2 2 2 2 14" xfId="564"/>
    <cellStyle name="Normal 2 2 2 2 2 2 2 15" xfId="565"/>
    <cellStyle name="Normal 2 2 2 2 2 2 2 16" xfId="566"/>
    <cellStyle name="Normal 2 2 2 2 2 2 2 17" xfId="567"/>
    <cellStyle name="Normal 2 2 2 2 2 2 2 18" xfId="568"/>
    <cellStyle name="Normal 2 2 2 2 2 2 2 19" xfId="569"/>
    <cellStyle name="Normal 2 2 2 2 2 2 2 2" xfId="570"/>
    <cellStyle name="Normal 2 2 2 2 2 2 2 2 10" xfId="571"/>
    <cellStyle name="Normal 2 2 2 2 2 2 2 2 11" xfId="572"/>
    <cellStyle name="Normal 2 2 2 2 2 2 2 2 12" xfId="573"/>
    <cellStyle name="Normal 2 2 2 2 2 2 2 2 13" xfId="574"/>
    <cellStyle name="Normal 2 2 2 2 2 2 2 2 14" xfId="575"/>
    <cellStyle name="Normal 2 2 2 2 2 2 2 2 15" xfId="576"/>
    <cellStyle name="Normal 2 2 2 2 2 2 2 2 16" xfId="577"/>
    <cellStyle name="Normal 2 2 2 2 2 2 2 2 17" xfId="578"/>
    <cellStyle name="Normal 2 2 2 2 2 2 2 2 18" xfId="579"/>
    <cellStyle name="Normal 2 2 2 2 2 2 2 2 19" xfId="580"/>
    <cellStyle name="Normal 2 2 2 2 2 2 2 2 2" xfId="581"/>
    <cellStyle name="Normal 2 2 2 2 2 2 2 2 2 10" xfId="582"/>
    <cellStyle name="Normal 2 2 2 2 2 2 2 2 2 11" xfId="583"/>
    <cellStyle name="Normal 2 2 2 2 2 2 2 2 2 12" xfId="584"/>
    <cellStyle name="Normal 2 2 2 2 2 2 2 2 2 13" xfId="585"/>
    <cellStyle name="Normal 2 2 2 2 2 2 2 2 2 14" xfId="586"/>
    <cellStyle name="Normal 2 2 2 2 2 2 2 2 2 15" xfId="587"/>
    <cellStyle name="Normal 2 2 2 2 2 2 2 2 2 16" xfId="588"/>
    <cellStyle name="Normal 2 2 2 2 2 2 2 2 2 17" xfId="589"/>
    <cellStyle name="Normal 2 2 2 2 2 2 2 2 2 18" xfId="590"/>
    <cellStyle name="Normal 2 2 2 2 2 2 2 2 2 19" xfId="591"/>
    <cellStyle name="Normal 2 2 2 2 2 2 2 2 2 2" xfId="592"/>
    <cellStyle name="Normal 2 2 2 2 2 2 2 2 2 2 10" xfId="593"/>
    <cellStyle name="Normal 2 2 2 2 2 2 2 2 2 2 11" xfId="594"/>
    <cellStyle name="Normal 2 2 2 2 2 2 2 2 2 2 12" xfId="595"/>
    <cellStyle name="Normal 2 2 2 2 2 2 2 2 2 2 13" xfId="596"/>
    <cellStyle name="Normal 2 2 2 2 2 2 2 2 2 2 14" xfId="597"/>
    <cellStyle name="Normal 2 2 2 2 2 2 2 2 2 2 15" xfId="598"/>
    <cellStyle name="Normal 2 2 2 2 2 2 2 2 2 2 16" xfId="599"/>
    <cellStyle name="Normal 2 2 2 2 2 2 2 2 2 2 17" xfId="600"/>
    <cellStyle name="Normal 2 2 2 2 2 2 2 2 2 2 18" xfId="601"/>
    <cellStyle name="Normal 2 2 2 2 2 2 2 2 2 2 2" xfId="602"/>
    <cellStyle name="Normal 2 2 2 2 2 2 2 2 2 2 2 2" xfId="603"/>
    <cellStyle name="Normal 2 2 2 2 2 2 2 2 2 2 2 2 2" xfId="604"/>
    <cellStyle name="Normal 2 2 2 2 2 2 2 2 2 2 2 2 3" xfId="605"/>
    <cellStyle name="Normal 2 2 2 2 2 2 2 2 2 2 2 2 4" xfId="606"/>
    <cellStyle name="Normal 2 2 2 2 2 2 2 2 2 2 2 2 5" xfId="607"/>
    <cellStyle name="Normal 2 2 2 2 2 2 2 2 2 2 2 2 6" xfId="608"/>
    <cellStyle name="Normal 2 2 2 2 2 2 2 2 2 2 2 2 7" xfId="609"/>
    <cellStyle name="Normal 2 2 2 2 2 2 2 2 2 2 2 3" xfId="610"/>
    <cellStyle name="Normal 2 2 2 2 2 2 2 2 2 2 2 4" xfId="611"/>
    <cellStyle name="Normal 2 2 2 2 2 2 2 2 2 2 2 5" xfId="612"/>
    <cellStyle name="Normal 2 2 2 2 2 2 2 2 2 2 2 6" xfId="613"/>
    <cellStyle name="Normal 2 2 2 2 2 2 2 2 2 2 2 7" xfId="614"/>
    <cellStyle name="Normal 2 2 2 2 2 2 2 2 2 2 2 8" xfId="615"/>
    <cellStyle name="Normal 2 2 2 2 2 2 2 2 2 2 3" xfId="616"/>
    <cellStyle name="Normal 2 2 2 2 2 2 2 2 2 2 4" xfId="617"/>
    <cellStyle name="Normal 2 2 2 2 2 2 2 2 2 2 5" xfId="618"/>
    <cellStyle name="Normal 2 2 2 2 2 2 2 2 2 2 5 2" xfId="619"/>
    <cellStyle name="Normal 2 2 2 2 2 2 2 2 2 2 5 3" xfId="620"/>
    <cellStyle name="Normal 2 2 2 2 2 2 2 2 2 2 5 4" xfId="621"/>
    <cellStyle name="Normal 2 2 2 2 2 2 2 2 2 2 5 5" xfId="622"/>
    <cellStyle name="Normal 2 2 2 2 2 2 2 2 2 2 5 6" xfId="623"/>
    <cellStyle name="Normal 2 2 2 2 2 2 2 2 2 2 5 7" xfId="624"/>
    <cellStyle name="Normal 2 2 2 2 2 2 2 2 2 2 6" xfId="625"/>
    <cellStyle name="Normal 2 2 2 2 2 2 2 2 2 2 7" xfId="626"/>
    <cellStyle name="Normal 2 2 2 2 2 2 2 2 2 2 8" xfId="627"/>
    <cellStyle name="Normal 2 2 2 2 2 2 2 2 2 2 9" xfId="628"/>
    <cellStyle name="Normal 2 2 2 2 2 2 2 2 2 3" xfId="629"/>
    <cellStyle name="Normal 2 2 2 2 2 2 2 2 2 4" xfId="630"/>
    <cellStyle name="Normal 2 2 2 2 2 2 2 2 2 4 2" xfId="631"/>
    <cellStyle name="Normal 2 2 2 2 2 2 2 2 2 4 2 2" xfId="632"/>
    <cellStyle name="Normal 2 2 2 2 2 2 2 2 2 4 2 3" xfId="633"/>
    <cellStyle name="Normal 2 2 2 2 2 2 2 2 2 4 2 4" xfId="634"/>
    <cellStyle name="Normal 2 2 2 2 2 2 2 2 2 4 2 5" xfId="635"/>
    <cellStyle name="Normal 2 2 2 2 2 2 2 2 2 4 2 6" xfId="636"/>
    <cellStyle name="Normal 2 2 2 2 2 2 2 2 2 4 2 7" xfId="637"/>
    <cellStyle name="Normal 2 2 2 2 2 2 2 2 2 4 3" xfId="638"/>
    <cellStyle name="Normal 2 2 2 2 2 2 2 2 2 4 4" xfId="639"/>
    <cellStyle name="Normal 2 2 2 2 2 2 2 2 2 4 5" xfId="640"/>
    <cellStyle name="Normal 2 2 2 2 2 2 2 2 2 4 6" xfId="641"/>
    <cellStyle name="Normal 2 2 2 2 2 2 2 2 2 4 7" xfId="642"/>
    <cellStyle name="Normal 2 2 2 2 2 2 2 2 2 4 8" xfId="643"/>
    <cellStyle name="Normal 2 2 2 2 2 2 2 2 2 5" xfId="644"/>
    <cellStyle name="Normal 2 2 2 2 2 2 2 2 2 6" xfId="645"/>
    <cellStyle name="Normal 2 2 2 2 2 2 2 2 2 6 2" xfId="646"/>
    <cellStyle name="Normal 2 2 2 2 2 2 2 2 2 6 3" xfId="647"/>
    <cellStyle name="Normal 2 2 2 2 2 2 2 2 2 6 4" xfId="648"/>
    <cellStyle name="Normal 2 2 2 2 2 2 2 2 2 6 5" xfId="649"/>
    <cellStyle name="Normal 2 2 2 2 2 2 2 2 2 6 6" xfId="650"/>
    <cellStyle name="Normal 2 2 2 2 2 2 2 2 2 6 7" xfId="651"/>
    <cellStyle name="Normal 2 2 2 2 2 2 2 2 2 7" xfId="652"/>
    <cellStyle name="Normal 2 2 2 2 2 2 2 2 2 8" xfId="653"/>
    <cellStyle name="Normal 2 2 2 2 2 2 2 2 2 9" xfId="654"/>
    <cellStyle name="Normal 2 2 2 2 2 2 2 2 2_Opex Input" xfId="655"/>
    <cellStyle name="Normal 2 2 2 2 2 2 2 2 20" xfId="656"/>
    <cellStyle name="Normal 2 2 2 2 2 2 2 2 3" xfId="657"/>
    <cellStyle name="Normal 2 2 2 2 2 2 2 2 4" xfId="658"/>
    <cellStyle name="Normal 2 2 2 2 2 2 2 2 5" xfId="659"/>
    <cellStyle name="Normal 2 2 2 2 2 2 2 2 5 2" xfId="660"/>
    <cellStyle name="Normal 2 2 2 2 2 2 2 2 5 2 2" xfId="661"/>
    <cellStyle name="Normal 2 2 2 2 2 2 2 2 5 2 3" xfId="662"/>
    <cellStyle name="Normal 2 2 2 2 2 2 2 2 5 2 4" xfId="663"/>
    <cellStyle name="Normal 2 2 2 2 2 2 2 2 5 2 5" xfId="664"/>
    <cellStyle name="Normal 2 2 2 2 2 2 2 2 5 2 6" xfId="665"/>
    <cellStyle name="Normal 2 2 2 2 2 2 2 2 5 2 7" xfId="666"/>
    <cellStyle name="Normal 2 2 2 2 2 2 2 2 5 3" xfId="667"/>
    <cellStyle name="Normal 2 2 2 2 2 2 2 2 5 4" xfId="668"/>
    <cellStyle name="Normal 2 2 2 2 2 2 2 2 5 5" xfId="669"/>
    <cellStyle name="Normal 2 2 2 2 2 2 2 2 5 6" xfId="670"/>
    <cellStyle name="Normal 2 2 2 2 2 2 2 2 5 7" xfId="671"/>
    <cellStyle name="Normal 2 2 2 2 2 2 2 2 5 8" xfId="672"/>
    <cellStyle name="Normal 2 2 2 2 2 2 2 2 6" xfId="673"/>
    <cellStyle name="Normal 2 2 2 2 2 2 2 2 7" xfId="674"/>
    <cellStyle name="Normal 2 2 2 2 2 2 2 2 7 2" xfId="675"/>
    <cellStyle name="Normal 2 2 2 2 2 2 2 2 7 3" xfId="676"/>
    <cellStyle name="Normal 2 2 2 2 2 2 2 2 7 4" xfId="677"/>
    <cellStyle name="Normal 2 2 2 2 2 2 2 2 7 5" xfId="678"/>
    <cellStyle name="Normal 2 2 2 2 2 2 2 2 7 6" xfId="679"/>
    <cellStyle name="Normal 2 2 2 2 2 2 2 2 7 7" xfId="680"/>
    <cellStyle name="Normal 2 2 2 2 2 2 2 2 8" xfId="681"/>
    <cellStyle name="Normal 2 2 2 2 2 2 2 2 9" xfId="682"/>
    <cellStyle name="Normal 2 2 2 2 2 2 2 2_ELEC SAP FCST UPLOAD" xfId="683"/>
    <cellStyle name="Normal 2 2 2 2 2 2 2 20" xfId="684"/>
    <cellStyle name="Normal 2 2 2 2 2 2 2 21" xfId="685"/>
    <cellStyle name="Normal 2 2 2 2 2 2 2 22" xfId="686"/>
    <cellStyle name="Normal 2 2 2 2 2 2 2 23" xfId="687"/>
    <cellStyle name="Normal 2 2 2 2 2 2 2 3" xfId="688"/>
    <cellStyle name="Normal 2 2 2 2 2 2 2 4" xfId="689"/>
    <cellStyle name="Normal 2 2 2 2 2 2 2 5" xfId="690"/>
    <cellStyle name="Normal 2 2 2 2 2 2 2 6" xfId="691"/>
    <cellStyle name="Normal 2 2 2 2 2 2 2 7" xfId="692"/>
    <cellStyle name="Normal 2 2 2 2 2 2 2 8" xfId="693"/>
    <cellStyle name="Normal 2 2 2 2 2 2 2 8 2" xfId="694"/>
    <cellStyle name="Normal 2 2 2 2 2 2 2 8 2 2" xfId="695"/>
    <cellStyle name="Normal 2 2 2 2 2 2 2 8 2 3" xfId="696"/>
    <cellStyle name="Normal 2 2 2 2 2 2 2 8 2 4" xfId="697"/>
    <cellStyle name="Normal 2 2 2 2 2 2 2 8 2 5" xfId="698"/>
    <cellStyle name="Normal 2 2 2 2 2 2 2 8 2 6" xfId="699"/>
    <cellStyle name="Normal 2 2 2 2 2 2 2 8 2 7" xfId="700"/>
    <cellStyle name="Normal 2 2 2 2 2 2 2 8 3" xfId="701"/>
    <cellStyle name="Normal 2 2 2 2 2 2 2 8 4" xfId="702"/>
    <cellStyle name="Normal 2 2 2 2 2 2 2 8 5" xfId="703"/>
    <cellStyle name="Normal 2 2 2 2 2 2 2 8 6" xfId="704"/>
    <cellStyle name="Normal 2 2 2 2 2 2 2 8 7" xfId="705"/>
    <cellStyle name="Normal 2 2 2 2 2 2 2 8 8" xfId="706"/>
    <cellStyle name="Normal 2 2 2 2 2 2 2 9" xfId="707"/>
    <cellStyle name="Normal 2 2 2 2 2 2 2_ELEC SAP FCST UPLOAD" xfId="708"/>
    <cellStyle name="Normal 2 2 2 2 2 2 20" xfId="709"/>
    <cellStyle name="Normal 2 2 2 2 2 2 21" xfId="710"/>
    <cellStyle name="Normal 2 2 2 2 2 2 22" xfId="711"/>
    <cellStyle name="Normal 2 2 2 2 2 2 23" xfId="712"/>
    <cellStyle name="Normal 2 2 2 2 2 2 3" xfId="713"/>
    <cellStyle name="Normal 2 2 2 2 2 2 3 2" xfId="714"/>
    <cellStyle name="Normal 2 2 2 2 2 2 3 3" xfId="715"/>
    <cellStyle name="Normal 2 2 2 2 2 2 3_ELEC SAP FCST UPLOAD" xfId="716"/>
    <cellStyle name="Normal 2 2 2 2 2 2 4" xfId="717"/>
    <cellStyle name="Normal 2 2 2 2 2 2 5" xfId="718"/>
    <cellStyle name="Normal 2 2 2 2 2 2 6" xfId="719"/>
    <cellStyle name="Normal 2 2 2 2 2 2 7" xfId="720"/>
    <cellStyle name="Normal 2 2 2 2 2 2 8" xfId="721"/>
    <cellStyle name="Normal 2 2 2 2 2 2 8 2" xfId="722"/>
    <cellStyle name="Normal 2 2 2 2 2 2 8 2 2" xfId="723"/>
    <cellStyle name="Normal 2 2 2 2 2 2 8 2 3" xfId="724"/>
    <cellStyle name="Normal 2 2 2 2 2 2 8 2 4" xfId="725"/>
    <cellStyle name="Normal 2 2 2 2 2 2 8 2 5" xfId="726"/>
    <cellStyle name="Normal 2 2 2 2 2 2 8 2 6" xfId="727"/>
    <cellStyle name="Normal 2 2 2 2 2 2 8 2 7" xfId="728"/>
    <cellStyle name="Normal 2 2 2 2 2 2 8 3" xfId="729"/>
    <cellStyle name="Normal 2 2 2 2 2 2 8 4" xfId="730"/>
    <cellStyle name="Normal 2 2 2 2 2 2 8 5" xfId="731"/>
    <cellStyle name="Normal 2 2 2 2 2 2 8 6" xfId="732"/>
    <cellStyle name="Normal 2 2 2 2 2 2 8 7" xfId="733"/>
    <cellStyle name="Normal 2 2 2 2 2 2 8 8" xfId="734"/>
    <cellStyle name="Normal 2 2 2 2 2 2 9" xfId="735"/>
    <cellStyle name="Normal 2 2 2 2 2 2_ELEC SAP FCST UPLOAD" xfId="736"/>
    <cellStyle name="Normal 2 2 2 2 2 20" xfId="737"/>
    <cellStyle name="Normal 2 2 2 2 2 21" xfId="738"/>
    <cellStyle name="Normal 2 2 2 2 2 22" xfId="739"/>
    <cellStyle name="Normal 2 2 2 2 2 23" xfId="740"/>
    <cellStyle name="Normal 2 2 2 2 2 24" xfId="741"/>
    <cellStyle name="Normal 2 2 2 2 2 3" xfId="742"/>
    <cellStyle name="Normal 2 2 2 2 2 3 2" xfId="743"/>
    <cellStyle name="Normal 2 2 2 2 2 3 3" xfId="744"/>
    <cellStyle name="Normal 2 2 2 2 2 3_ELEC SAP FCST UPLOAD" xfId="745"/>
    <cellStyle name="Normal 2 2 2 2 2 4" xfId="746"/>
    <cellStyle name="Normal 2 2 2 2 2 5" xfId="747"/>
    <cellStyle name="Normal 2 2 2 2 2 6" xfId="748"/>
    <cellStyle name="Normal 2 2 2 2 2 7" xfId="749"/>
    <cellStyle name="Normal 2 2 2 2 2 8" xfId="750"/>
    <cellStyle name="Normal 2 2 2 2 2 9" xfId="751"/>
    <cellStyle name="Normal 2 2 2 2 2 9 2" xfId="752"/>
    <cellStyle name="Normal 2 2 2 2 2 9 2 2" xfId="753"/>
    <cellStyle name="Normal 2 2 2 2 2 9 2 3" xfId="754"/>
    <cellStyle name="Normal 2 2 2 2 2 9 2 4" xfId="755"/>
    <cellStyle name="Normal 2 2 2 2 2 9 2 5" xfId="756"/>
    <cellStyle name="Normal 2 2 2 2 2 9 2 6" xfId="757"/>
    <cellStyle name="Normal 2 2 2 2 2 9 2 7" xfId="758"/>
    <cellStyle name="Normal 2 2 2 2 2 9 3" xfId="759"/>
    <cellStyle name="Normal 2 2 2 2 2 9 4" xfId="760"/>
    <cellStyle name="Normal 2 2 2 2 2 9 5" xfId="761"/>
    <cellStyle name="Normal 2 2 2 2 2 9 6" xfId="762"/>
    <cellStyle name="Normal 2 2 2 2 2 9 7" xfId="763"/>
    <cellStyle name="Normal 2 2 2 2 2 9 8" xfId="764"/>
    <cellStyle name="Normal 2 2 2 2 2_ELEC SAP FCST UPLOAD" xfId="765"/>
    <cellStyle name="Normal 2 2 2 2 20" xfId="766"/>
    <cellStyle name="Normal 2 2 2 2 21" xfId="767"/>
    <cellStyle name="Normal 2 2 2 2 22" xfId="768"/>
    <cellStyle name="Normal 2 2 2 2 23" xfId="769"/>
    <cellStyle name="Normal 2 2 2 2 24" xfId="770"/>
    <cellStyle name="Normal 2 2 2 2 3" xfId="771"/>
    <cellStyle name="Normal 2 2 2 2 3 2" xfId="772"/>
    <cellStyle name="Normal 2 2 2 2 3 2 2" xfId="773"/>
    <cellStyle name="Normal 2 2 2 2 3 2 3" xfId="774"/>
    <cellStyle name="Normal 2 2 2 2 3 2_ELEC SAP FCST UPLOAD" xfId="775"/>
    <cellStyle name="Normal 2 2 2 2 3 3" xfId="776"/>
    <cellStyle name="Normal 2 2 2 2 3 4" xfId="777"/>
    <cellStyle name="Normal 2 2 2 2 3 5" xfId="778"/>
    <cellStyle name="Normal 2 2 2 2 3 6" xfId="779"/>
    <cellStyle name="Normal 2 2 2 2 3_ELEC SAP FCST UPLOAD" xfId="780"/>
    <cellStyle name="Normal 2 2 2 2 4" xfId="781"/>
    <cellStyle name="Normal 2 2 2 2 4 2" xfId="782"/>
    <cellStyle name="Normal 2 2 2 2 4 3" xfId="783"/>
    <cellStyle name="Normal 2 2 2 2 4_ELEC SAP FCST UPLOAD" xfId="784"/>
    <cellStyle name="Normal 2 2 2 2 5" xfId="785"/>
    <cellStyle name="Normal 2 2 2 2 6" xfId="786"/>
    <cellStyle name="Normal 2 2 2 2 7" xfId="787"/>
    <cellStyle name="Normal 2 2 2 2 8" xfId="788"/>
    <cellStyle name="Normal 2 2 2 2 9" xfId="789"/>
    <cellStyle name="Normal 2 2 2 2 9 2" xfId="790"/>
    <cellStyle name="Normal 2 2 2 2 9 2 2" xfId="791"/>
    <cellStyle name="Normal 2 2 2 2 9 2 3" xfId="792"/>
    <cellStyle name="Normal 2 2 2 2 9 2 4" xfId="793"/>
    <cellStyle name="Normal 2 2 2 2 9 2 5" xfId="794"/>
    <cellStyle name="Normal 2 2 2 2 9 2 6" xfId="795"/>
    <cellStyle name="Normal 2 2 2 2 9 2 7" xfId="796"/>
    <cellStyle name="Normal 2 2 2 2 9 3" xfId="797"/>
    <cellStyle name="Normal 2 2 2 2 9 4" xfId="798"/>
    <cellStyle name="Normal 2 2 2 2 9 5" xfId="799"/>
    <cellStyle name="Normal 2 2 2 2 9 6" xfId="800"/>
    <cellStyle name="Normal 2 2 2 2 9 7" xfId="801"/>
    <cellStyle name="Normal 2 2 2 2 9 8" xfId="802"/>
    <cellStyle name="Normal 2 2 2 2_ELEC SAP FCST UPLOAD" xfId="803"/>
    <cellStyle name="Normal 2 2 2 20" xfId="804"/>
    <cellStyle name="Normal 2 2 2 21" xfId="805"/>
    <cellStyle name="Normal 2 2 2 22" xfId="806"/>
    <cellStyle name="Normal 2 2 2 23" xfId="807"/>
    <cellStyle name="Normal 2 2 2 24" xfId="808"/>
    <cellStyle name="Normal 2 2 2 25" xfId="809"/>
    <cellStyle name="Normal 2 2 2 26" xfId="810"/>
    <cellStyle name="Normal 2 2 2 3" xfId="811"/>
    <cellStyle name="Normal 2 2 2 4" xfId="812"/>
    <cellStyle name="Normal 2 2 2 4 2" xfId="813"/>
    <cellStyle name="Normal 2 2 2 4 2 2" xfId="814"/>
    <cellStyle name="Normal 2 2 2 4 2 2 2" xfId="815"/>
    <cellStyle name="Normal 2 2 2 4 2 2 3" xfId="816"/>
    <cellStyle name="Normal 2 2 2 4 2 2_ELEC SAP FCST UPLOAD" xfId="817"/>
    <cellStyle name="Normal 2 2 2 4 2 3" xfId="818"/>
    <cellStyle name="Normal 2 2 2 4 2 4" xfId="819"/>
    <cellStyle name="Normal 2 2 2 4 2 5" xfId="820"/>
    <cellStyle name="Normal 2 2 2 4 2 6" xfId="821"/>
    <cellStyle name="Normal 2 2 2 4 2_ELEC SAP FCST UPLOAD" xfId="822"/>
    <cellStyle name="Normal 2 2 2 4 3" xfId="823"/>
    <cellStyle name="Normal 2 2 2 4 3 2" xfId="824"/>
    <cellStyle name="Normal 2 2 2 4 3 3" xfId="825"/>
    <cellStyle name="Normal 2 2 2 4 3_ELEC SAP FCST UPLOAD" xfId="826"/>
    <cellStyle name="Normal 2 2 2 4 4" xfId="827"/>
    <cellStyle name="Normal 2 2 2 4 5" xfId="828"/>
    <cellStyle name="Normal 2 2 2 4 6" xfId="829"/>
    <cellStyle name="Normal 2 2 2 4_ELEC SAP FCST UPLOAD" xfId="830"/>
    <cellStyle name="Normal 2 2 2 5" xfId="831"/>
    <cellStyle name="Normal 2 2 2 5 2" xfId="832"/>
    <cellStyle name="Normal 2 2 2 5 3" xfId="833"/>
    <cellStyle name="Normal 2 2 2 5_ELEC SAP FCST UPLOAD" xfId="834"/>
    <cellStyle name="Normal 2 2 2 6" xfId="835"/>
    <cellStyle name="Normal 2 2 2 7" xfId="836"/>
    <cellStyle name="Normal 2 2 2 8" xfId="837"/>
    <cellStyle name="Normal 2 2 2 9" xfId="838"/>
    <cellStyle name="Normal 2 2 2_ELEC SAP FCST UPLOAD" xfId="839"/>
    <cellStyle name="Normal 2 2 20" xfId="840"/>
    <cellStyle name="Normal 2 2 21" xfId="841"/>
    <cellStyle name="Normal 2 2 22" xfId="842"/>
    <cellStyle name="Normal 2 2 23" xfId="843"/>
    <cellStyle name="Normal 2 2 24" xfId="844"/>
    <cellStyle name="Normal 2 2 25" xfId="845"/>
    <cellStyle name="Normal 2 2 26" xfId="846"/>
    <cellStyle name="Normal 2 2 3" xfId="847"/>
    <cellStyle name="Normal 2 2 3 2" xfId="848"/>
    <cellStyle name="Normal 2 2 3 2 2" xfId="849"/>
    <cellStyle name="Normal 2 2 3 2 2 2" xfId="850"/>
    <cellStyle name="Normal 2 2 3 2 2 2 2" xfId="851"/>
    <cellStyle name="Normal 2 2 3 2 2 2 2 2" xfId="852"/>
    <cellStyle name="Normal 2 2 3 2 2 2 2 3" xfId="853"/>
    <cellStyle name="Normal 2 2 3 2 2 2 2_ELEC SAP FCST UPLOAD" xfId="854"/>
    <cellStyle name="Normal 2 2 3 2 2 2 3" xfId="855"/>
    <cellStyle name="Normal 2 2 3 2 2 2 4" xfId="856"/>
    <cellStyle name="Normal 2 2 3 2 2 2 5" xfId="857"/>
    <cellStyle name="Normal 2 2 3 2 2 2 6" xfId="858"/>
    <cellStyle name="Normal 2 2 3 2 2 2_ELEC SAP FCST UPLOAD" xfId="859"/>
    <cellStyle name="Normal 2 2 3 2 2 3" xfId="860"/>
    <cellStyle name="Normal 2 2 3 2 2 3 2" xfId="861"/>
    <cellStyle name="Normal 2 2 3 2 2 3 3" xfId="862"/>
    <cellStyle name="Normal 2 2 3 2 2 3_ELEC SAP FCST UPLOAD" xfId="863"/>
    <cellStyle name="Normal 2 2 3 2 2 4" xfId="864"/>
    <cellStyle name="Normal 2 2 3 2 2 5" xfId="865"/>
    <cellStyle name="Normal 2 2 3 2 2 6" xfId="866"/>
    <cellStyle name="Normal 2 2 3 2 2_ELEC SAP FCST UPLOAD" xfId="867"/>
    <cellStyle name="Normal 2 2 3 2 3" xfId="868"/>
    <cellStyle name="Normal 2 2 3 2 3 2" xfId="869"/>
    <cellStyle name="Normal 2 2 3 2 3 3" xfId="870"/>
    <cellStyle name="Normal 2 2 3 2 3_ELEC SAP FCST UPLOAD" xfId="871"/>
    <cellStyle name="Normal 2 2 3 2 4" xfId="872"/>
    <cellStyle name="Normal 2 2 3 2 5" xfId="873"/>
    <cellStyle name="Normal 2 2 3 2 6" xfId="874"/>
    <cellStyle name="Normal 2 2 3 2 7" xfId="875"/>
    <cellStyle name="Normal 2 2 3 2_ELEC SAP FCST UPLOAD" xfId="876"/>
    <cellStyle name="Normal 2 2 3 3" xfId="877"/>
    <cellStyle name="Normal 2 2 3 3 2" xfId="878"/>
    <cellStyle name="Normal 2 2 3 3 2 2" xfId="879"/>
    <cellStyle name="Normal 2 2 3 3 2 3" xfId="880"/>
    <cellStyle name="Normal 2 2 3 3 2_ELEC SAP FCST UPLOAD" xfId="881"/>
    <cellStyle name="Normal 2 2 3 3 3" xfId="882"/>
    <cellStyle name="Normal 2 2 3 3 4" xfId="883"/>
    <cellStyle name="Normal 2 2 3 3 5" xfId="884"/>
    <cellStyle name="Normal 2 2 3 3 6" xfId="885"/>
    <cellStyle name="Normal 2 2 3 3_ELEC SAP FCST UPLOAD" xfId="886"/>
    <cellStyle name="Normal 2 2 3 4" xfId="887"/>
    <cellStyle name="Normal 2 2 3 4 2" xfId="888"/>
    <cellStyle name="Normal 2 2 3 4 3" xfId="889"/>
    <cellStyle name="Normal 2 2 3 4_ELEC SAP FCST UPLOAD" xfId="890"/>
    <cellStyle name="Normal 2 2 3 5" xfId="891"/>
    <cellStyle name="Normal 2 2 3 6" xfId="892"/>
    <cellStyle name="Normal 2 2 3 7" xfId="893"/>
    <cellStyle name="Normal 2 2 3_ELEC SAP FCST UPLOAD" xfId="894"/>
    <cellStyle name="Normal 2 2 4" xfId="895"/>
    <cellStyle name="Normal 2 2 4 2" xfId="896"/>
    <cellStyle name="Normal 2 2 4 2 2" xfId="897"/>
    <cellStyle name="Normal 2 2 4 2 2 2" xfId="898"/>
    <cellStyle name="Normal 2 2 4 2 2 3" xfId="899"/>
    <cellStyle name="Normal 2 2 4 2 2_ELEC SAP FCST UPLOAD" xfId="900"/>
    <cellStyle name="Normal 2 2 4 2 3" xfId="901"/>
    <cellStyle name="Normal 2 2 4 2 4" xfId="902"/>
    <cellStyle name="Normal 2 2 4 2 5" xfId="903"/>
    <cellStyle name="Normal 2 2 4 2 6" xfId="904"/>
    <cellStyle name="Normal 2 2 4 2_ELEC SAP FCST UPLOAD" xfId="905"/>
    <cellStyle name="Normal 2 2 4 3" xfId="906"/>
    <cellStyle name="Normal 2 2 4 3 2" xfId="907"/>
    <cellStyle name="Normal 2 2 4 3 3" xfId="908"/>
    <cellStyle name="Normal 2 2 4 3_ELEC SAP FCST UPLOAD" xfId="909"/>
    <cellStyle name="Normal 2 2 4 4" xfId="910"/>
    <cellStyle name="Normal 2 2 4 5" xfId="911"/>
    <cellStyle name="Normal 2 2 4 6" xfId="912"/>
    <cellStyle name="Normal 2 2 4_ELEC SAP FCST UPLOAD" xfId="913"/>
    <cellStyle name="Normal 2 2 5" xfId="914"/>
    <cellStyle name="Normal 2 2 5 2" xfId="915"/>
    <cellStyle name="Normal 2 2 5 3" xfId="916"/>
    <cellStyle name="Normal 2 2 5_ELEC SAP FCST UPLOAD" xfId="917"/>
    <cellStyle name="Normal 2 2 6" xfId="918"/>
    <cellStyle name="Normal 2 2 7" xfId="919"/>
    <cellStyle name="Normal 2 2 8" xfId="920"/>
    <cellStyle name="Normal 2 2 9" xfId="921"/>
    <cellStyle name="Normal 2 2_ELEC SAP FCST UPLOAD" xfId="922"/>
    <cellStyle name="Normal 2 20" xfId="923"/>
    <cellStyle name="Normal 2 21" xfId="924"/>
    <cellStyle name="Normal 2 22" xfId="925"/>
    <cellStyle name="Normal 2 23" xfId="926"/>
    <cellStyle name="Normal 2 24" xfId="927"/>
    <cellStyle name="Normal 2 25" xfId="928"/>
    <cellStyle name="Normal 2 26" xfId="929"/>
    <cellStyle name="Normal 2 27" xfId="930"/>
    <cellStyle name="Normal 2 3" xfId="931"/>
    <cellStyle name="Normal 2 3 2" xfId="932"/>
    <cellStyle name="Normal 2 3 2 2" xfId="933"/>
    <cellStyle name="Normal 2 3 2 2 2" xfId="934"/>
    <cellStyle name="Normal 2 3 2 2 2 2" xfId="935"/>
    <cellStyle name="Normal 2 3 2 2 2 2 2" xfId="936"/>
    <cellStyle name="Normal 2 3 2 2 2 2 3" xfId="937"/>
    <cellStyle name="Normal 2 3 2 2 2 2_ELEC SAP FCST UPLOAD" xfId="938"/>
    <cellStyle name="Normal 2 3 2 2 2 3" xfId="939"/>
    <cellStyle name="Normal 2 3 2 2 2 4" xfId="940"/>
    <cellStyle name="Normal 2 3 2 2 2 5" xfId="941"/>
    <cellStyle name="Normal 2 3 2 2 2 6" xfId="942"/>
    <cellStyle name="Normal 2 3 2 2 2_ELEC SAP FCST UPLOAD" xfId="943"/>
    <cellStyle name="Normal 2 3 2 2 3" xfId="944"/>
    <cellStyle name="Normal 2 3 2 2 3 2" xfId="945"/>
    <cellStyle name="Normal 2 3 2 2 3 3" xfId="946"/>
    <cellStyle name="Normal 2 3 2 2 3_ELEC SAP FCST UPLOAD" xfId="947"/>
    <cellStyle name="Normal 2 3 2 2 4" xfId="948"/>
    <cellStyle name="Normal 2 3 2 2 5" xfId="949"/>
    <cellStyle name="Normal 2 3 2 2 6" xfId="950"/>
    <cellStyle name="Normal 2 3 2 2_ELEC SAP FCST UPLOAD" xfId="951"/>
    <cellStyle name="Normal 2 3 2 3" xfId="952"/>
    <cellStyle name="Normal 2 3 2 3 2" xfId="953"/>
    <cellStyle name="Normal 2 3 2 3 3" xfId="954"/>
    <cellStyle name="Normal 2 3 2 3_ELEC SAP FCST UPLOAD" xfId="955"/>
    <cellStyle name="Normal 2 3 2 4" xfId="956"/>
    <cellStyle name="Normal 2 3 2 5" xfId="957"/>
    <cellStyle name="Normal 2 3 2 6" xfId="958"/>
    <cellStyle name="Normal 2 3 2 7" xfId="959"/>
    <cellStyle name="Normal 2 3 2_ELEC SAP FCST UPLOAD" xfId="960"/>
    <cellStyle name="Normal 2 3 3" xfId="961"/>
    <cellStyle name="Normal 2 3 3 2" xfId="962"/>
    <cellStyle name="Normal 2 3 3 2 2" xfId="963"/>
    <cellStyle name="Normal 2 3 3 2 3" xfId="964"/>
    <cellStyle name="Normal 2 3 3 2_ELEC SAP FCST UPLOAD" xfId="965"/>
    <cellStyle name="Normal 2 3 3 3" xfId="966"/>
    <cellStyle name="Normal 2 3 3 4" xfId="967"/>
    <cellStyle name="Normal 2 3 3 5" xfId="968"/>
    <cellStyle name="Normal 2 3 3 6" xfId="969"/>
    <cellStyle name="Normal 2 3 3_ELEC SAP FCST UPLOAD" xfId="970"/>
    <cellStyle name="Normal 2 3 4" xfId="971"/>
    <cellStyle name="Normal 2 3 4 2" xfId="972"/>
    <cellStyle name="Normal 2 3 4 3" xfId="973"/>
    <cellStyle name="Normal 2 3 4_ELEC SAP FCST UPLOAD" xfId="974"/>
    <cellStyle name="Normal 2 3 5" xfId="975"/>
    <cellStyle name="Normal 2 3 6" xfId="976"/>
    <cellStyle name="Normal 2 3 7" xfId="977"/>
    <cellStyle name="Normal 2 3_ELEC SAP FCST UPLOAD" xfId="978"/>
    <cellStyle name="Normal 2 4" xfId="979"/>
    <cellStyle name="Normal 2 4 2" xfId="1352"/>
    <cellStyle name="Normal 2 5" xfId="980"/>
    <cellStyle name="Normal 2 5 2" xfId="981"/>
    <cellStyle name="Normal 2 5 2 2" xfId="982"/>
    <cellStyle name="Normal 2 5 2 2 2" xfId="983"/>
    <cellStyle name="Normal 2 5 2 2 3" xfId="984"/>
    <cellStyle name="Normal 2 5 2 2_ELEC SAP FCST UPLOAD" xfId="985"/>
    <cellStyle name="Normal 2 5 2 3" xfId="986"/>
    <cellStyle name="Normal 2 5 2 4" xfId="987"/>
    <cellStyle name="Normal 2 5 2 5" xfId="988"/>
    <cellStyle name="Normal 2 5 2 6" xfId="989"/>
    <cellStyle name="Normal 2 5 2_ELEC SAP FCST UPLOAD" xfId="990"/>
    <cellStyle name="Normal 2 5 3" xfId="991"/>
    <cellStyle name="Normal 2 5 3 2" xfId="992"/>
    <cellStyle name="Normal 2 5 3 3" xfId="993"/>
    <cellStyle name="Normal 2 5 3_ELEC SAP FCST UPLOAD" xfId="994"/>
    <cellStyle name="Normal 2 5 4" xfId="995"/>
    <cellStyle name="Normal 2 5 5" xfId="996"/>
    <cellStyle name="Normal 2 5 6" xfId="997"/>
    <cellStyle name="Normal 2 5_ELEC SAP FCST UPLOAD" xfId="998"/>
    <cellStyle name="Normal 2 6" xfId="999"/>
    <cellStyle name="Normal 2 6 2" xfId="1353"/>
    <cellStyle name="Normal 2 7" xfId="1000"/>
    <cellStyle name="Normal 2 8" xfId="1001"/>
    <cellStyle name="Normal 2 9" xfId="1002"/>
    <cellStyle name="Normal 20" xfId="1003"/>
    <cellStyle name="Normal 21" xfId="1004"/>
    <cellStyle name="Normal 22" xfId="1005"/>
    <cellStyle name="Normal 23" xfId="1006"/>
    <cellStyle name="Normal 24" xfId="1341"/>
    <cellStyle name="Normal 24 2" xfId="1389"/>
    <cellStyle name="Normal 3" xfId="1007"/>
    <cellStyle name="Normal 3 10" xfId="1008"/>
    <cellStyle name="Normal 3 10 2" xfId="1009"/>
    <cellStyle name="Normal 3 10 3" xfId="1010"/>
    <cellStyle name="Normal 3 10 4" xfId="1011"/>
    <cellStyle name="Normal 3 10 5" xfId="1012"/>
    <cellStyle name="Normal 3 10 6" xfId="1013"/>
    <cellStyle name="Normal 3 10 7" xfId="1014"/>
    <cellStyle name="Normal 3 11" xfId="1015"/>
    <cellStyle name="Normal 3 12" xfId="1016"/>
    <cellStyle name="Normal 3 13" xfId="1017"/>
    <cellStyle name="Normal 3 14" xfId="1018"/>
    <cellStyle name="Normal 3 15" xfId="1019"/>
    <cellStyle name="Normal 3 16" xfId="1020"/>
    <cellStyle name="Normal 3 17" xfId="1021"/>
    <cellStyle name="Normal 3 18" xfId="1022"/>
    <cellStyle name="Normal 3 19" xfId="1023"/>
    <cellStyle name="Normal 3 2" xfId="1024"/>
    <cellStyle name="Normal 3 2 10" xfId="1025"/>
    <cellStyle name="Normal 3 2 11" xfId="1026"/>
    <cellStyle name="Normal 3 2 12" xfId="1027"/>
    <cellStyle name="Normal 3 2 13" xfId="1028"/>
    <cellStyle name="Normal 3 2 14" xfId="1029"/>
    <cellStyle name="Normal 3 2 15" xfId="1030"/>
    <cellStyle name="Normal 3 2 16" xfId="1031"/>
    <cellStyle name="Normal 3 2 2" xfId="1032"/>
    <cellStyle name="Normal 3 2 2 2" xfId="1033"/>
    <cellStyle name="Normal 3 2 2 3" xfId="1034"/>
    <cellStyle name="Normal 3 2 2 4" xfId="1035"/>
    <cellStyle name="Normal 3 2 2 5" xfId="1036"/>
    <cellStyle name="Normal 3 2 2 6" xfId="1037"/>
    <cellStyle name="Normal 3 2 2 7" xfId="1038"/>
    <cellStyle name="Normal 3 2 3" xfId="1039"/>
    <cellStyle name="Normal 3 2 4" xfId="1040"/>
    <cellStyle name="Normal 3 2 5" xfId="1041"/>
    <cellStyle name="Normal 3 2 6" xfId="1042"/>
    <cellStyle name="Normal 3 2 7" xfId="1043"/>
    <cellStyle name="Normal 3 2 8" xfId="1044"/>
    <cellStyle name="Normal 3 2 9" xfId="1045"/>
    <cellStyle name="Normal 3 20" xfId="1046"/>
    <cellStyle name="Normal 3 3" xfId="1047"/>
    <cellStyle name="Normal 3 3 2" xfId="1048"/>
    <cellStyle name="Normal 3 3 2 2" xfId="1354"/>
    <cellStyle name="Normal 3 3 2 5" xfId="1355"/>
    <cellStyle name="Normal 3 3 3" xfId="1356"/>
    <cellStyle name="Normal 3 3_GTO Non Operational Capex Roll-over submission (FINAL with property)" xfId="1049"/>
    <cellStyle name="Normal 3 4" xfId="1050"/>
    <cellStyle name="Normal 3 5" xfId="1051"/>
    <cellStyle name="Normal 3 6" xfId="1052"/>
    <cellStyle name="Normal 3 7" xfId="1053"/>
    <cellStyle name="Normal 3 8" xfId="1054"/>
    <cellStyle name="Normal 3 9" xfId="1055"/>
    <cellStyle name="Normal 3_ELEC SAP FCST UPLOAD" xfId="1056"/>
    <cellStyle name="Normal 4" xfId="1057"/>
    <cellStyle name="Normal 4 2" xfId="1058"/>
    <cellStyle name="Normal 4 2 2" xfId="1059"/>
    <cellStyle name="Normal 4 2 2 2" xfId="1060"/>
    <cellStyle name="Normal 4 2 2 2 2" xfId="1061"/>
    <cellStyle name="Normal 4 2 2 2 2 2" xfId="1062"/>
    <cellStyle name="Normal 4 2 2 2 2 3" xfId="1063"/>
    <cellStyle name="Normal 4 2 2 2 2_ELEC SAP FCST UPLOAD" xfId="1064"/>
    <cellStyle name="Normal 4 2 2 2 3" xfId="1065"/>
    <cellStyle name="Normal 4 2 2 2 4" xfId="1066"/>
    <cellStyle name="Normal 4 2 2 2 5" xfId="1067"/>
    <cellStyle name="Normal 4 2 2 2 6" xfId="1068"/>
    <cellStyle name="Normal 4 2 2 2_ELEC SAP FCST UPLOAD" xfId="1069"/>
    <cellStyle name="Normal 4 2 2 3" xfId="1070"/>
    <cellStyle name="Normal 4 2 2 3 2" xfId="1071"/>
    <cellStyle name="Normal 4 2 2 3 3" xfId="1072"/>
    <cellStyle name="Normal 4 2 2 3_ELEC SAP FCST UPLOAD" xfId="1073"/>
    <cellStyle name="Normal 4 2 2 4" xfId="1074"/>
    <cellStyle name="Normal 4 2 2 5" xfId="1075"/>
    <cellStyle name="Normal 4 2 2 6" xfId="1076"/>
    <cellStyle name="Normal 4 2 2_ELEC SAP FCST UPLOAD" xfId="1077"/>
    <cellStyle name="Normal 4 2 3" xfId="1078"/>
    <cellStyle name="Normal 4 2 3 2" xfId="1079"/>
    <cellStyle name="Normal 4 2 3 3" xfId="1080"/>
    <cellStyle name="Normal 4 2 3_ELEC SAP FCST UPLOAD" xfId="1081"/>
    <cellStyle name="Normal 4 2 4" xfId="1082"/>
    <cellStyle name="Normal 4 2 5" xfId="1083"/>
    <cellStyle name="Normal 4 2 6" xfId="1084"/>
    <cellStyle name="Normal 4 2 7" xfId="1085"/>
    <cellStyle name="Normal 4 2_ELEC SAP FCST UPLOAD" xfId="1086"/>
    <cellStyle name="Normal 4 3" xfId="1087"/>
    <cellStyle name="Normal 4 3 2" xfId="1088"/>
    <cellStyle name="Normal 4 3 2 2" xfId="1089"/>
    <cellStyle name="Normal 4 3 2 3" xfId="1090"/>
    <cellStyle name="Normal 4 3 2_ELEC SAP FCST UPLOAD" xfId="1091"/>
    <cellStyle name="Normal 4 3 3" xfId="1092"/>
    <cellStyle name="Normal 4 3 4" xfId="1093"/>
    <cellStyle name="Normal 4 3 5" xfId="1094"/>
    <cellStyle name="Normal 4 3 6" xfId="1095"/>
    <cellStyle name="Normal 4 3_ELEC SAP FCST UPLOAD" xfId="1096"/>
    <cellStyle name="Normal 4 4" xfId="1097"/>
    <cellStyle name="Normal 4 5" xfId="1098"/>
    <cellStyle name="Normal 4 6" xfId="1099"/>
    <cellStyle name="Normal 4_ELEC SAP FCST UPLOAD" xfId="1100"/>
    <cellStyle name="Normal 5" xfId="1101"/>
    <cellStyle name="Normal 5 2" xfId="1102"/>
    <cellStyle name="Normal 5 2 2" xfId="1103"/>
    <cellStyle name="Normal 5 2 2 2" xfId="1104"/>
    <cellStyle name="Normal 5 2 2 3" xfId="1105"/>
    <cellStyle name="Normal 5 2 2_ELEC SAP FCST UPLOAD" xfId="1106"/>
    <cellStyle name="Normal 5 2 3" xfId="1107"/>
    <cellStyle name="Normal 5 2 4" xfId="1108"/>
    <cellStyle name="Normal 5 2 5" xfId="1109"/>
    <cellStyle name="Normal 5 2 6" xfId="1110"/>
    <cellStyle name="Normal 5 2_ELEC SAP FCST UPLOAD" xfId="1111"/>
    <cellStyle name="Normal 5 3" xfId="1112"/>
    <cellStyle name="Normal 5 4" xfId="1113"/>
    <cellStyle name="Normal 5 5" xfId="1114"/>
    <cellStyle name="Normal 5_ELEC SAP FCST UPLOAD" xfId="1115"/>
    <cellStyle name="Normal 54" xfId="1357"/>
    <cellStyle name="Normal 6" xfId="1116"/>
    <cellStyle name="Normal 7" xfId="1117"/>
    <cellStyle name="Normal 7 2" xfId="1358"/>
    <cellStyle name="Normal 8" xfId="1118"/>
    <cellStyle name="Normal 9" xfId="1119"/>
    <cellStyle name="Normal 9 2" xfId="1120"/>
    <cellStyle name="Normal 9_GTO Non Operational Capex Roll-over submission (FINAL with property)" xfId="1121"/>
    <cellStyle name="Normal U" xfId="1122"/>
    <cellStyle name="Note" xfId="41" builtinId="10" hidden="1"/>
    <cellStyle name="Note 2" xfId="1123"/>
    <cellStyle name="Note 3" xfId="1124"/>
    <cellStyle name="Note 3 2" xfId="1125"/>
    <cellStyle name="Note 3 3" xfId="1126"/>
    <cellStyle name="Note 3 4" xfId="1127"/>
    <cellStyle name="Note 3 5" xfId="1128"/>
    <cellStyle name="Note 3 6" xfId="1129"/>
    <cellStyle name="Note 3 7" xfId="1130"/>
    <cellStyle name="Note 3 8" xfId="1131"/>
    <cellStyle name="Output 2" xfId="1132"/>
    <cellStyle name="Output 3" xfId="1133"/>
    <cellStyle name="Percent" xfId="1" builtinId="5" hidden="1"/>
    <cellStyle name="Percent" xfId="43" builtinId="5"/>
    <cellStyle name="Percent 10" xfId="1134"/>
    <cellStyle name="Percent 11" xfId="1135"/>
    <cellStyle name="Percent 12" xfId="1136"/>
    <cellStyle name="Percent 13" xfId="1137"/>
    <cellStyle name="Percent 14" xfId="1138"/>
    <cellStyle name="Percent 2" xfId="1139"/>
    <cellStyle name="Percent 2 2" xfId="1140"/>
    <cellStyle name="Percent 2 2 2" xfId="1141"/>
    <cellStyle name="Percent 2 2 2 2" xfId="1359"/>
    <cellStyle name="Percent 2 2 3" xfId="1142"/>
    <cellStyle name="Percent 2 3" xfId="1143"/>
    <cellStyle name="Percent 2 3 2" xfId="1144"/>
    <cellStyle name="Percent 2 3 2 2" xfId="1360"/>
    <cellStyle name="Percent 2 4" xfId="1145"/>
    <cellStyle name="Percent 2 5" xfId="55"/>
    <cellStyle name="Percent 3" xfId="1146"/>
    <cellStyle name="Percent 4" xfId="1147"/>
    <cellStyle name="Percent 4 2" xfId="1148"/>
    <cellStyle name="Percent 4 2 2" xfId="1149"/>
    <cellStyle name="Percent 4 3" xfId="1150"/>
    <cellStyle name="Percent 5" xfId="1151"/>
    <cellStyle name="Percent 6" xfId="1152"/>
    <cellStyle name="Percent 6 2" xfId="1153"/>
    <cellStyle name="Percent 7" xfId="1154"/>
    <cellStyle name="Percent 8" xfId="1155"/>
    <cellStyle name="Percent 8 2" xfId="1156"/>
    <cellStyle name="Percent 9" xfId="47"/>
    <cellStyle name="Percent 9 2" xfId="1157"/>
    <cellStyle name="Pre-inputted cells" xfId="1158"/>
    <cellStyle name="Pre-inputted cells 2" xfId="1159"/>
    <cellStyle name="Pre-inputted cells 2 2" xfId="1160"/>
    <cellStyle name="Pre-inputted cells 3" xfId="1161"/>
    <cellStyle name="Pre-inputted cells 3 2" xfId="1162"/>
    <cellStyle name="Pre-inputted cells 4" xfId="1163"/>
    <cellStyle name="Pre-inputted cells 4 2" xfId="1164"/>
    <cellStyle name="Pre-inputted cells 5" xfId="1165"/>
    <cellStyle name="Pre-inputted cells 5 2" xfId="1166"/>
    <cellStyle name="Pre-inputted cells 5 2 2" xfId="1361"/>
    <cellStyle name="Pre-inputted cells 6" xfId="53"/>
    <cellStyle name="Pre-inputted cells 6 2" xfId="1362"/>
    <cellStyle name="Pre-inputted cells 7" xfId="1167"/>
    <cellStyle name="Pre-inputted cells 7 2" xfId="1363"/>
    <cellStyle name="RangeName" xfId="1168"/>
    <cellStyle name="RIGs" xfId="1169"/>
    <cellStyle name="RIGs 2" xfId="1170"/>
    <cellStyle name="RIGs input cells" xfId="1171"/>
    <cellStyle name="RIGs input cells 2" xfId="1172"/>
    <cellStyle name="RIGs input cells 2 2" xfId="1173"/>
    <cellStyle name="RIGs input cells 2 2 2" xfId="1174"/>
    <cellStyle name="RIGs input cells 2 3" xfId="1175"/>
    <cellStyle name="RIGs input cells 3" xfId="1176"/>
    <cellStyle name="RIGs input cells 3 2" xfId="1177"/>
    <cellStyle name="RIGs input cells 3 2 2" xfId="1178"/>
    <cellStyle name="RIGs input cells 3 3" xfId="1179"/>
    <cellStyle name="RIGs input cells 4" xfId="1180"/>
    <cellStyle name="RIGs input cells 4 2" xfId="1181"/>
    <cellStyle name="RIGs input cells 5" xfId="1182"/>
    <cellStyle name="RIGs input cells 5 2" xfId="1183"/>
    <cellStyle name="RIGs input cells 6" xfId="1184"/>
    <cellStyle name="RIGs input cells 6 2" xfId="1185"/>
    <cellStyle name="RIGs input cells 7" xfId="1186"/>
    <cellStyle name="RIGs input cells 7 2" xfId="1364"/>
    <cellStyle name="RIGs input cells 8" xfId="1365"/>
    <cellStyle name="RIGs input totals" xfId="1187"/>
    <cellStyle name="RIGs input totals 10" xfId="1391"/>
    <cellStyle name="RIGs input totals 2" xfId="1188"/>
    <cellStyle name="RIGs input totals 2 2" xfId="1189"/>
    <cellStyle name="RIGs input totals 2 2 2" xfId="1190"/>
    <cellStyle name="RIGs input totals 2 3" xfId="1191"/>
    <cellStyle name="RIGs input totals 2 3 2" xfId="1192"/>
    <cellStyle name="RIGs input totals 2 4" xfId="1193"/>
    <cellStyle name="RIGs input totals 2 4 2" xfId="1366"/>
    <cellStyle name="RIGs input totals 2 4 3" xfId="1367"/>
    <cellStyle name="RIGs input totals 2 5" xfId="1194"/>
    <cellStyle name="RIGs input totals 2 5 2" xfId="1368"/>
    <cellStyle name="RIGs input totals 3" xfId="1195"/>
    <cellStyle name="RIGs input totals 3 2" xfId="1196"/>
    <cellStyle name="RIGs input totals 4" xfId="1197"/>
    <cellStyle name="RIGs input totals 4 2" xfId="1198"/>
    <cellStyle name="RIGs input totals 5" xfId="1199"/>
    <cellStyle name="RIGs input totals 5 2" xfId="1200"/>
    <cellStyle name="RIGs input totals 5 2 2" xfId="1369"/>
    <cellStyle name="RIGs input totals 6" xfId="1201"/>
    <cellStyle name="RIGs input totals 7" xfId="1202"/>
    <cellStyle name="RIGs linked cells" xfId="1203"/>
    <cellStyle name="RIGs linked cells 2" xfId="1204"/>
    <cellStyle name="RIGs linked cells 2 2" xfId="1205"/>
    <cellStyle name="RIGs linked cells 3" xfId="1206"/>
    <cellStyle name="RIGs linked cells 3 2" xfId="1207"/>
    <cellStyle name="RIGs linked cells 3 2 2" xfId="1370"/>
    <cellStyle name="RIGs linked cells 3 3" xfId="1208"/>
    <cellStyle name="RIGs linked cells 3 3 2" xfId="1371"/>
    <cellStyle name="RIGs linked cells 4" xfId="1209"/>
    <cellStyle name="RIGs linked cells 4 2" xfId="1210"/>
    <cellStyle name="RIGs linked cells 4 2 2" xfId="1372"/>
    <cellStyle name="RIGs linked cells 5" xfId="1211"/>
    <cellStyle name="SAPBEXaggData" xfId="1212"/>
    <cellStyle name="SAPBEXaggDataEmph" xfId="1213"/>
    <cellStyle name="SAPBEXaggItem" xfId="1214"/>
    <cellStyle name="SAPBEXaggItemX" xfId="1215"/>
    <cellStyle name="SAPBEXchaText" xfId="1216"/>
    <cellStyle name="SAPBEXexcBad7" xfId="1217"/>
    <cellStyle name="SAPBEXexcBad8" xfId="1218"/>
    <cellStyle name="SAPBEXexcBad9" xfId="1219"/>
    <cellStyle name="SAPBEXexcCritical4" xfId="1220"/>
    <cellStyle name="SAPBEXexcCritical5" xfId="1221"/>
    <cellStyle name="SAPBEXexcCritical6" xfId="1222"/>
    <cellStyle name="SAPBEXexcGood1" xfId="1223"/>
    <cellStyle name="SAPBEXexcGood2" xfId="1224"/>
    <cellStyle name="SAPBEXexcGood3" xfId="1225"/>
    <cellStyle name="SAPBEXfilterDrill" xfId="1226"/>
    <cellStyle name="SAPBEXfilterItem" xfId="1227"/>
    <cellStyle name="SAPBEXfilterText" xfId="1228"/>
    <cellStyle name="SAPBEXformats" xfId="1229"/>
    <cellStyle name="SAPBEXheaderItem" xfId="1230"/>
    <cellStyle name="SAPBEXheaderItem 2" xfId="1231"/>
    <cellStyle name="SAPBEXheaderItem_0910 GSO Capex RRP - Final (Detail) v2 220710" xfId="1232"/>
    <cellStyle name="SAPBEXheaderText" xfId="1233"/>
    <cellStyle name="SAPBEXheaderText 2" xfId="1234"/>
    <cellStyle name="SAPBEXheaderText_0910 GSO Capex RRP - Final (Detail) v2 220710" xfId="1235"/>
    <cellStyle name="SAPBEXHLevel0" xfId="1236"/>
    <cellStyle name="SAPBEXHLevel0 2" xfId="1237"/>
    <cellStyle name="SAPBEXHLevel0_0910 GSO Capex RRP - Final (Detail) v2 220710" xfId="1238"/>
    <cellStyle name="SAPBEXHLevel0X" xfId="1239"/>
    <cellStyle name="SAPBEXHLevel0X 2" xfId="1240"/>
    <cellStyle name="SAPBEXHLevel0X 3" xfId="1241"/>
    <cellStyle name="SAPBEXHLevel0X 3 2" xfId="1242"/>
    <cellStyle name="SAPBEXHLevel0X 3 3" xfId="1243"/>
    <cellStyle name="SAPBEXHLevel0X 3 4" xfId="1244"/>
    <cellStyle name="SAPBEXHLevel0X 3 5" xfId="1245"/>
    <cellStyle name="SAPBEXHLevel0X 3 6" xfId="1246"/>
    <cellStyle name="SAPBEXHLevel0X 3 7" xfId="1247"/>
    <cellStyle name="SAPBEXHLevel0X 3 8" xfId="1248"/>
    <cellStyle name="SAPBEXHLevel0X_0910 GSO Capex RRP - Final (Detail) v2 220710" xfId="1249"/>
    <cellStyle name="SAPBEXHLevel1" xfId="1250"/>
    <cellStyle name="SAPBEXHLevel1 2" xfId="1251"/>
    <cellStyle name="SAPBEXHLevel1_0910 GSO Capex RRP - Final (Detail) v2 220710" xfId="1252"/>
    <cellStyle name="SAPBEXHLevel1X" xfId="1253"/>
    <cellStyle name="SAPBEXHLevel1X 2" xfId="1254"/>
    <cellStyle name="SAPBEXHLevel1X 3" xfId="1255"/>
    <cellStyle name="SAPBEXHLevel1X 3 2" xfId="1256"/>
    <cellStyle name="SAPBEXHLevel1X 3 3" xfId="1257"/>
    <cellStyle name="SAPBEXHLevel1X 3 4" xfId="1258"/>
    <cellStyle name="SAPBEXHLevel1X 3 5" xfId="1259"/>
    <cellStyle name="SAPBEXHLevel1X 3 6" xfId="1260"/>
    <cellStyle name="SAPBEXHLevel1X 3 7" xfId="1261"/>
    <cellStyle name="SAPBEXHLevel1X 3 8" xfId="1262"/>
    <cellStyle name="SAPBEXHLevel1X_0910 GSO Capex RRP - Final (Detail) v2 220710" xfId="1263"/>
    <cellStyle name="SAPBEXHLevel2" xfId="1264"/>
    <cellStyle name="SAPBEXHLevel2 2" xfId="1265"/>
    <cellStyle name="SAPBEXHLevel2_0910 GSO Capex RRP - Final (Detail) v2 220710" xfId="1266"/>
    <cellStyle name="SAPBEXHLevel2X" xfId="1267"/>
    <cellStyle name="SAPBEXHLevel2X 2" xfId="1268"/>
    <cellStyle name="SAPBEXHLevel2X 3" xfId="1269"/>
    <cellStyle name="SAPBEXHLevel2X 3 2" xfId="1270"/>
    <cellStyle name="SAPBEXHLevel2X 3 3" xfId="1271"/>
    <cellStyle name="SAPBEXHLevel2X 3 4" xfId="1272"/>
    <cellStyle name="SAPBEXHLevel2X 3 5" xfId="1273"/>
    <cellStyle name="SAPBEXHLevel2X 3 6" xfId="1274"/>
    <cellStyle name="SAPBEXHLevel2X 3 7" xfId="1275"/>
    <cellStyle name="SAPBEXHLevel2X 3 8" xfId="1276"/>
    <cellStyle name="SAPBEXHLevel2X_0910 GSO Capex RRP - Final (Detail) v2 220710" xfId="1277"/>
    <cellStyle name="SAPBEXHLevel3" xfId="1278"/>
    <cellStyle name="SAPBEXHLevel3 2" xfId="1279"/>
    <cellStyle name="SAPBEXHLevel3_0910 GSO Capex RRP - Final (Detail) v2 220710" xfId="1280"/>
    <cellStyle name="SAPBEXHLevel3X" xfId="1281"/>
    <cellStyle name="SAPBEXHLevel3X 2" xfId="1282"/>
    <cellStyle name="SAPBEXHLevel3X 3" xfId="1283"/>
    <cellStyle name="SAPBEXHLevel3X 3 2" xfId="1284"/>
    <cellStyle name="SAPBEXHLevel3X 3 3" xfId="1285"/>
    <cellStyle name="SAPBEXHLevel3X 3 4" xfId="1286"/>
    <cellStyle name="SAPBEXHLevel3X 3 5" xfId="1287"/>
    <cellStyle name="SAPBEXHLevel3X 3 6" xfId="1288"/>
    <cellStyle name="SAPBEXHLevel3X 3 7" xfId="1289"/>
    <cellStyle name="SAPBEXHLevel3X 3 8" xfId="1290"/>
    <cellStyle name="SAPBEXHLevel3X_0910 GSO Capex RRP - Final (Detail) v2 220710" xfId="1291"/>
    <cellStyle name="SAPBEXinputData" xfId="1292"/>
    <cellStyle name="SAPBEXinputData 2" xfId="1293"/>
    <cellStyle name="SAPBEXinputData 3" xfId="1294"/>
    <cellStyle name="SAPBEXinputData 3 2" xfId="1295"/>
    <cellStyle name="SAPBEXinputData 3 2 2" xfId="1380"/>
    <cellStyle name="SAPBEXinputData 3 3" xfId="1296"/>
    <cellStyle name="SAPBEXinputData 3 3 2" xfId="1381"/>
    <cellStyle name="SAPBEXinputData 3 4" xfId="1297"/>
    <cellStyle name="SAPBEXinputData 3 4 2" xfId="1382"/>
    <cellStyle name="SAPBEXinputData 3 5" xfId="1298"/>
    <cellStyle name="SAPBEXinputData 3 5 2" xfId="1383"/>
    <cellStyle name="SAPBEXinputData 3 6" xfId="1299"/>
    <cellStyle name="SAPBEXinputData 3 6 2" xfId="1384"/>
    <cellStyle name="SAPBEXinputData 3 7" xfId="1300"/>
    <cellStyle name="SAPBEXinputData 3 7 2" xfId="1385"/>
    <cellStyle name="SAPBEXinputData 3 8" xfId="1301"/>
    <cellStyle name="SAPBEXinputData 3 8 2" xfId="1386"/>
    <cellStyle name="SAPBEXinputData 3 9" xfId="1379"/>
    <cellStyle name="SAPBEXinputData 4" xfId="1378"/>
    <cellStyle name="SAPBEXinputData_0910 GSO Capex RRP - Final (Detail) v2 220710" xfId="1302"/>
    <cellStyle name="SAPBEXItemHeader" xfId="1303"/>
    <cellStyle name="SAPBEXresData" xfId="1304"/>
    <cellStyle name="SAPBEXresDataEmph" xfId="1305"/>
    <cellStyle name="SAPBEXresItem" xfId="1306"/>
    <cellStyle name="SAPBEXresItemX" xfId="1307"/>
    <cellStyle name="SAPBEXstdData" xfId="1308"/>
    <cellStyle name="SAPBEXstdDataEmph" xfId="1309"/>
    <cellStyle name="SAPBEXstdItem" xfId="1310"/>
    <cellStyle name="SAPBEXstdItemX" xfId="1311"/>
    <cellStyle name="SAPBEXtitle" xfId="1312"/>
    <cellStyle name="SAPBEXunassignedItem" xfId="1313"/>
    <cellStyle name="SAPBEXundefined" xfId="1314"/>
    <cellStyle name="Sheet Title" xfId="1315"/>
    <cellStyle name="Standard_Anpassen der Amortisation" xfId="1316"/>
    <cellStyle name="Style 1" xfId="1317"/>
    <cellStyle name="Sub-total" xfId="1318"/>
    <cellStyle name="swpBody01" xfId="1319"/>
    <cellStyle name="Title 2" xfId="1320"/>
    <cellStyle name="Title 3" xfId="1321"/>
    <cellStyle name="Total 1" xfId="1322"/>
    <cellStyle name="Total 1 2" xfId="1387"/>
    <cellStyle name="Total 2" xfId="1323"/>
    <cellStyle name="Total 3" xfId="1324"/>
    <cellStyle name="Totals" xfId="1325"/>
    <cellStyle name="Währung [0]_Compiling Utility Macros" xfId="1326"/>
    <cellStyle name="Währung_Compiling Utility Macros" xfId="1327"/>
    <cellStyle name="Warning Text 2" xfId="1328"/>
    <cellStyle name="Warning Text 3" xfId="1329"/>
    <cellStyle name="Yellow" xfId="1330"/>
    <cellStyle name="Yellow 2" xfId="1331"/>
    <cellStyle name="Yellow 2 2" xfId="1332"/>
    <cellStyle name="Yellow 2 3" xfId="1333"/>
    <cellStyle name="Yellow 2 4" xfId="1334"/>
    <cellStyle name="Yellow 2 5" xfId="1335"/>
    <cellStyle name="Yellow 2 6" xfId="1336"/>
    <cellStyle name="Yellow 2 7" xfId="1337"/>
    <cellStyle name="Yellow 2 8" xfId="1338"/>
  </cellStyles>
  <dxfs count="87">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strike val="0"/>
        <color theme="0" tint="-0.24994659260841701"/>
      </font>
    </dxf>
    <dxf>
      <font>
        <color theme="0" tint="-0.24994659260841701"/>
      </font>
    </dxf>
    <dxf>
      <font>
        <color theme="0" tint="-0.24994659260841701"/>
      </font>
    </dxf>
    <dxf>
      <font>
        <condense val="0"/>
        <extend val="0"/>
        <color rgb="FF9C0006"/>
      </font>
      <fill>
        <patternFill>
          <bgColor rgb="FFFFC7CE"/>
        </patternFill>
      </fill>
    </dxf>
    <dxf>
      <font>
        <condense val="0"/>
        <extend val="0"/>
        <color rgb="FF9C0006"/>
      </font>
      <fill>
        <patternFill>
          <bgColor rgb="FFFFC7CE"/>
        </patternFill>
      </fill>
    </dxf>
    <dxf>
      <font>
        <color theme="0" tint="-0.24994659260841701"/>
      </font>
    </dxf>
  </dxfs>
  <tableStyles count="0" defaultTableStyle="TableStyleMedium9" defaultPivotStyle="PivotStyleLight16"/>
  <colors>
    <mruColors>
      <color rgb="FFFF00FF"/>
      <color rgb="FFFF66CC"/>
      <color rgb="FFFFFFCC"/>
      <color rgb="FFFF99FF"/>
      <color rgb="FF006600"/>
      <color rgb="FF339933"/>
      <color rgb="FF336600"/>
      <color rgb="FF666633"/>
      <color rgb="FFB2ECB3"/>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s>
</file>

<file path=xl/ctrlProps/ctrlProp1.xml><?xml version="1.0" encoding="utf-8"?>
<formControlPr xmlns="http://schemas.microsoft.com/office/spreadsheetml/2009/9/main" objectType="Drop" dropLines="14" dropStyle="combo" dx="16" fmlaLink="$E$57" fmlaRange="$E$43:$E$56" sel="14" val="0"/>
</file>

<file path=xl/ctrlProps/ctrlProp2.xml><?xml version="1.0" encoding="utf-8"?>
<formControlPr xmlns="http://schemas.microsoft.com/office/spreadsheetml/2009/9/main" objectType="Drop" dropLines="11" dropStyle="combo" dx="16" fmlaLink="$E$69" fmlaRange="$E$61:$E$68"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4" dropStyle="combo" dx="16" fmlaLink="$E$32" fmlaRange="$E$30:$E$31"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16" fmlaLink="UserInterface!$E$57" fmlaRange="UserInterface!$E$43:$E$56" noThreeD="1" sel="14" val="6"/>
</file>

<file path=xl/ctrlProps/ctrlProp8.xml><?xml version="1.0" encoding="utf-8"?>
<formControlPr xmlns="http://schemas.microsoft.com/office/spreadsheetml/2009/9/main" objectType="Drop" dropStyle="combo" dx="16" fmlaLink="UserInterface!$E$57" fmlaRange="UserInterface!$E$43:$E$56" noThreeD="1" sel="14" val="6"/>
</file>

<file path=xl/ctrlProps/ctrlProp9.xml><?xml version="1.0" encoding="utf-8"?>
<formControlPr xmlns="http://schemas.microsoft.com/office/spreadsheetml/2009/9/main" objectType="Drop" dropStyle="combo" dx="16" fmlaLink="UserInterface!$E$57" fmlaRange="UserInterface!$E$43:$E$56" noThreeD="1" sel="14" val="0"/>
</file>

<file path=xl/ctrlProps/ctrlProp10.xml><?xml version="1.0" encoding="utf-8"?>
<formControlPr xmlns="http://schemas.microsoft.com/office/spreadsheetml/2009/9/main" objectType="Drop" dropStyle="combo" dx="16" fmlaLink="UserInterface!$E$57" fmlaRange="UserInterface!$E$43:$E$56" noThreeD="1" sel="14" val="6"/>
</file>

<file path=xl/ctrlProps/ctrlProp11.xml><?xml version="1.0" encoding="utf-8"?>
<formControlPr xmlns="http://schemas.microsoft.com/office/spreadsheetml/2009/9/main" objectType="Drop" dropStyle="combo" dx="16" fmlaLink="UserInterface!$E$57" fmlaRange="UserInterface!$E$43:$E$56" noThreeD="1" sel="14" val="0"/>
</file>

<file path=xl/ctrlProps/ctrlProp12.xml><?xml version="1.0" encoding="utf-8"?>
<formControlPr xmlns="http://schemas.microsoft.com/office/spreadsheetml/2009/9/main" objectType="Drop" dropStyle="combo" dx="16" fmlaLink="UserInterface!$E$57" fmlaRange="UserInterface!$E$43:$E$56" noThreeD="1" sel="14" val="3"/>
</file>

<file path=xl/ctrlProps/ctrlProp13.xml><?xml version="1.0" encoding="utf-8"?>
<formControlPr xmlns="http://schemas.microsoft.com/office/spreadsheetml/2009/9/main" objectType="Drop" dropStyle="combo" dx="16" fmlaLink="UserInterface!$E$57" fmlaRange="UserInterface!$E$43:$E$56" noThreeD="1" sel="14" val="0"/>
</file>

<file path=xl/ctrlProps/ctrlProp14.xml><?xml version="1.0" encoding="utf-8"?>
<formControlPr xmlns="http://schemas.microsoft.com/office/spreadsheetml/2009/9/main" objectType="Drop" dropStyle="combo" dx="16" fmlaLink="UserInterface!$E$57" fmlaRange="UserInterface!$E$43:$E$56" noThreeD="1" sel="14" val="3"/>
</file>

<file path=xl/ctrlProps/ctrlProp15.xml><?xml version="1.0" encoding="utf-8"?>
<formControlPr xmlns="http://schemas.microsoft.com/office/spreadsheetml/2009/9/main" objectType="Drop" dropStyle="combo" dx="16" fmlaLink="UserInterface!$E$57" fmlaRange="UserInterface!$E$43:$E$56" noThreeD="1" sel="14" val="6"/>
</file>

<file path=xl/ctrlProps/ctrlProp16.xml><?xml version="1.0" encoding="utf-8"?>
<formControlPr xmlns="http://schemas.microsoft.com/office/spreadsheetml/2009/9/main" objectType="Drop" dropStyle="combo" dx="16" fmlaLink="UserInterface!$E$57" fmlaRange="UserInterface!$E$43:$E$56" noThreeD="1" sel="14" val="0"/>
</file>

<file path=xl/ctrlProps/ctrlProp17.xml><?xml version="1.0" encoding="utf-8"?>
<formControlPr xmlns="http://schemas.microsoft.com/office/spreadsheetml/2009/9/main" objectType="Drop" dropStyle="combo" dx="16" fmlaLink="UserInterface!$E$57" fmlaRange="UserInterface!$E$43:$E$56" noThreeD="1" sel="14" val="6"/>
</file>

<file path=xl/ctrlProps/ctrlProp18.xml><?xml version="1.0" encoding="utf-8"?>
<formControlPr xmlns="http://schemas.microsoft.com/office/spreadsheetml/2009/9/main" objectType="Drop" dropStyle="combo" dx="16" fmlaLink="UserInterface!$E$57" fmlaRange="UserInterface!$E$43:$E$56" noThreeD="1" sel="14" val="4"/>
</file>

<file path=xl/ctrlProps/ctrlProp19.xml><?xml version="1.0" encoding="utf-8"?>
<formControlPr xmlns="http://schemas.microsoft.com/office/spreadsheetml/2009/9/main" objectType="Drop" dropStyle="combo" dx="16" fmlaLink="UserInterface!$E$57" fmlaRange="UserInterface!$E$43:$E$56" noThreeD="1" sel="14"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7</xdr:col>
          <xdr:colOff>0</xdr:colOff>
          <xdr:row>15</xdr:row>
          <xdr:rowOff>9525</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180975</xdr:rowOff>
        </xdr:from>
        <xdr:to>
          <xdr:col>7</xdr:col>
          <xdr:colOff>0</xdr:colOff>
          <xdr:row>8</xdr:row>
          <xdr:rowOff>0</xdr:rowOff>
        </xdr:to>
        <xdr:sp macro="" textlink="">
          <xdr:nvSpPr>
            <xdr:cNvPr id="7222" name="Drop Down 54" hidden="1">
              <a:extLst>
                <a:ext uri="{63B3BB69-23CF-44E3-9099-C40C66FF867C}">
                  <a14:compatExt spid="_x0000_s7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31</xdr:row>
          <xdr:rowOff>19050</xdr:rowOff>
        </xdr:from>
        <xdr:to>
          <xdr:col>5</xdr:col>
          <xdr:colOff>0</xdr:colOff>
          <xdr:row>34</xdr:row>
          <xdr:rowOff>19050</xdr:rowOff>
        </xdr:to>
        <xdr:sp macro="" textlink="">
          <xdr:nvSpPr>
            <xdr:cNvPr id="7226" name="Button 58" hidden="1">
              <a:extLst>
                <a:ext uri="{63B3BB69-23CF-44E3-9099-C40C66FF867C}">
                  <a14:compatExt spid="_x0000_s722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GB" sz="1000" b="0" i="0" u="none" strike="noStrike" baseline="0">
                  <a:solidFill>
                    <a:srgbClr val="FF0000"/>
                  </a:solidFill>
                  <a:latin typeface="Gill Sans MT"/>
                </a:rPr>
                <a:t>Run the "RunForOne" macro to save results for</a:t>
              </a:r>
            </a:p>
            <a:p>
              <a:pPr algn="ctr" rtl="0">
                <a:defRPr sz="1000"/>
              </a:pPr>
              <a:r>
                <a:rPr lang="en-GB" sz="1000" b="0" i="0" u="none" strike="noStrike" baseline="0">
                  <a:solidFill>
                    <a:srgbClr val="FF0000"/>
                  </a:solidFill>
                  <a:latin typeface="Gill Sans MT"/>
                </a:rPr>
                <a:t>the selected company (keyboard shortcut Ctrl+j)</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31</xdr:row>
          <xdr:rowOff>19050</xdr:rowOff>
        </xdr:from>
        <xdr:to>
          <xdr:col>6</xdr:col>
          <xdr:colOff>3448050</xdr:colOff>
          <xdr:row>34</xdr:row>
          <xdr:rowOff>19050</xdr:rowOff>
        </xdr:to>
        <xdr:sp macro="" textlink="">
          <xdr:nvSpPr>
            <xdr:cNvPr id="7227" name="Button 59" hidden="1">
              <a:extLst>
                <a:ext uri="{63B3BB69-23CF-44E3-9099-C40C66FF867C}">
                  <a14:compatExt spid="_x0000_s722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GB" sz="1000" b="0" i="0" u="none" strike="noStrike" baseline="0">
                  <a:solidFill>
                    <a:srgbClr val="FF0000"/>
                  </a:solidFill>
                  <a:latin typeface="Gill Sans MT"/>
                </a:rPr>
                <a:t>Run the "RunForAll" macro to save results for</a:t>
              </a:r>
            </a:p>
            <a:p>
              <a:pPr algn="ctr" rtl="0">
                <a:defRPr sz="1000"/>
              </a:pPr>
              <a:r>
                <a:rPr lang="en-GB" sz="1000" b="0" i="0" u="none" strike="noStrike" baseline="0">
                  <a:solidFill>
                    <a:srgbClr val="FF0000"/>
                  </a:solidFill>
                  <a:latin typeface="Gill Sans MT"/>
                </a:rPr>
                <a:t>all companies (keyboard shortcut Ctrl+q)</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26</xdr:row>
          <xdr:rowOff>9525</xdr:rowOff>
        </xdr:from>
        <xdr:to>
          <xdr:col>5</xdr:col>
          <xdr:colOff>9525</xdr:colOff>
          <xdr:row>27</xdr:row>
          <xdr:rowOff>133350</xdr:rowOff>
        </xdr:to>
        <xdr:sp macro="" textlink="">
          <xdr:nvSpPr>
            <xdr:cNvPr id="169003" name="Drop Down 43" hidden="1">
              <a:extLst>
                <a:ext uri="{63B3BB69-23CF-44E3-9099-C40C66FF867C}">
                  <a14:compatExt spid="_x0000_s1690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38</xdr:row>
          <xdr:rowOff>0</xdr:rowOff>
        </xdr:from>
        <xdr:to>
          <xdr:col>5</xdr:col>
          <xdr:colOff>0</xdr:colOff>
          <xdr:row>42</xdr:row>
          <xdr:rowOff>0</xdr:rowOff>
        </xdr:to>
        <xdr:sp macro="" textlink="">
          <xdr:nvSpPr>
            <xdr:cNvPr id="169024" name="Button 64" hidden="1">
              <a:extLst>
                <a:ext uri="{63B3BB69-23CF-44E3-9099-C40C66FF867C}">
                  <a14:compatExt spid="_x0000_s16902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GB" sz="1000" b="0" i="0" u="none" strike="noStrike" baseline="0">
                  <a:solidFill>
                    <a:srgbClr val="FF0000"/>
                  </a:solidFill>
                  <a:latin typeface="Gill Sans MT"/>
                </a:rPr>
                <a:t>Run the "TaxTrigger" macro to calculate the</a:t>
              </a:r>
            </a:p>
            <a:p>
              <a:pPr algn="ctr" rtl="0">
                <a:defRPr sz="1000"/>
              </a:pPr>
              <a:r>
                <a:rPr lang="en-GB" sz="1000" b="0" i="0" u="none" strike="noStrike" baseline="0">
                  <a:solidFill>
                    <a:srgbClr val="FF0000"/>
                  </a:solidFill>
                  <a:latin typeface="Gill Sans MT"/>
                </a:rPr>
                <a:t>Tax Trigger Adjustment for the selected company</a:t>
              </a:r>
            </a:p>
            <a:p>
              <a:pPr algn="ctr" rtl="0">
                <a:defRPr sz="1000"/>
              </a:pPr>
              <a:endParaRPr lang="en-GB" sz="1000" b="0" i="0" u="none" strike="noStrike" baseline="0">
                <a:solidFill>
                  <a:srgbClr val="FF0000"/>
                </a:solidFill>
                <a:latin typeface="Gill Sans MT"/>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1114425</xdr:colOff>
          <xdr:row>1</xdr:row>
          <xdr:rowOff>0</xdr:rowOff>
        </xdr:from>
        <xdr:to>
          <xdr:col>4</xdr:col>
          <xdr:colOff>3552825</xdr:colOff>
          <xdr:row>1</xdr:row>
          <xdr:rowOff>171450</xdr:rowOff>
        </xdr:to>
        <xdr:sp macro="" textlink="">
          <xdr:nvSpPr>
            <xdr:cNvPr id="169025" name="Drop Down 65" hidden="1">
              <a:extLst>
                <a:ext uri="{63B3BB69-23CF-44E3-9099-C40C66FF867C}">
                  <a14:compatExt spid="_x0000_s169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1114425</xdr:colOff>
          <xdr:row>1</xdr:row>
          <xdr:rowOff>0</xdr:rowOff>
        </xdr:from>
        <xdr:to>
          <xdr:col>4</xdr:col>
          <xdr:colOff>3552825</xdr:colOff>
          <xdr:row>1</xdr:row>
          <xdr:rowOff>171450</xdr:rowOff>
        </xdr:to>
        <xdr:sp macro="" textlink="">
          <xdr:nvSpPr>
            <xdr:cNvPr id="613377" name="Drop Down 1" hidden="1">
              <a:extLst>
                <a:ext uri="{63B3BB69-23CF-44E3-9099-C40C66FF867C}">
                  <a14:compatExt spid="_x0000_s61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1028700</xdr:colOff>
          <xdr:row>1</xdr:row>
          <xdr:rowOff>0</xdr:rowOff>
        </xdr:from>
        <xdr:to>
          <xdr:col>4</xdr:col>
          <xdr:colOff>3467100</xdr:colOff>
          <xdr:row>1</xdr:row>
          <xdr:rowOff>171450</xdr:rowOff>
        </xdr:to>
        <xdr:sp macro="" textlink="">
          <xdr:nvSpPr>
            <xdr:cNvPr id="208897" name="Drop Down 1"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981075</xdr:colOff>
          <xdr:row>1</xdr:row>
          <xdr:rowOff>47625</xdr:rowOff>
        </xdr:from>
        <xdr:to>
          <xdr:col>4</xdr:col>
          <xdr:colOff>3419475</xdr:colOff>
          <xdr:row>2</xdr:row>
          <xdr:rowOff>28575</xdr:rowOff>
        </xdr:to>
        <xdr:sp macro="" textlink="">
          <xdr:nvSpPr>
            <xdr:cNvPr id="614401" name="Drop Down 1" hidden="1">
              <a:extLst>
                <a:ext uri="{63B3BB69-23CF-44E3-9099-C40C66FF867C}">
                  <a14:compatExt spid="_x0000_s614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1028700</xdr:colOff>
          <xdr:row>1</xdr:row>
          <xdr:rowOff>0</xdr:rowOff>
        </xdr:from>
        <xdr:to>
          <xdr:col>4</xdr:col>
          <xdr:colOff>3467100</xdr:colOff>
          <xdr:row>2</xdr:row>
          <xdr:rowOff>9525</xdr:rowOff>
        </xdr:to>
        <xdr:sp macro="" textlink="">
          <xdr:nvSpPr>
            <xdr:cNvPr id="194561" name="Drop Down 1" hidden="1">
              <a:extLst>
                <a:ext uri="{63B3BB69-23CF-44E3-9099-C40C66FF867C}">
                  <a14:compatExt spid="_x0000_s1945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1114425</xdr:colOff>
          <xdr:row>2</xdr:row>
          <xdr:rowOff>0</xdr:rowOff>
        </xdr:from>
        <xdr:to>
          <xdr:col>4</xdr:col>
          <xdr:colOff>3552825</xdr:colOff>
          <xdr:row>2</xdr:row>
          <xdr:rowOff>171450</xdr:rowOff>
        </xdr:to>
        <xdr:sp macro="" textlink="">
          <xdr:nvSpPr>
            <xdr:cNvPr id="615425" name="Drop Down 1" hidden="1">
              <a:extLst>
                <a:ext uri="{63B3BB69-23CF-44E3-9099-C40C66FF867C}">
                  <a14:compatExt spid="_x0000_s615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2390775</xdr:colOff>
          <xdr:row>0</xdr:row>
          <xdr:rowOff>114300</xdr:rowOff>
        </xdr:from>
        <xdr:to>
          <xdr:col>8</xdr:col>
          <xdr:colOff>561975</xdr:colOff>
          <xdr:row>1</xdr:row>
          <xdr:rowOff>95250</xdr:rowOff>
        </xdr:to>
        <xdr:sp macro="" textlink="">
          <xdr:nvSpPr>
            <xdr:cNvPr id="309249" name="Drop Down 1" hidden="1">
              <a:extLst>
                <a:ext uri="{63B3BB69-23CF-44E3-9099-C40C66FF867C}">
                  <a14:compatExt spid="_x0000_s309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981075</xdr:colOff>
          <xdr:row>0</xdr:row>
          <xdr:rowOff>114300</xdr:rowOff>
        </xdr:from>
        <xdr:to>
          <xdr:col>4</xdr:col>
          <xdr:colOff>3419475</xdr:colOff>
          <xdr:row>1</xdr:row>
          <xdr:rowOff>95250</xdr:rowOff>
        </xdr:to>
        <xdr:sp macro="" textlink="">
          <xdr:nvSpPr>
            <xdr:cNvPr id="325633" name="Drop Down 1" hidden="1">
              <a:extLst>
                <a:ext uri="{63B3BB69-23CF-44E3-9099-C40C66FF867C}">
                  <a14:compatExt spid="_x0000_s3256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762000</xdr:colOff>
          <xdr:row>0</xdr:row>
          <xdr:rowOff>219075</xdr:rowOff>
        </xdr:from>
        <xdr:to>
          <xdr:col>4</xdr:col>
          <xdr:colOff>3200400</xdr:colOff>
          <xdr:row>1</xdr:row>
          <xdr:rowOff>142875</xdr:rowOff>
        </xdr:to>
        <xdr:sp macro="" textlink="">
          <xdr:nvSpPr>
            <xdr:cNvPr id="616449" name="Drop Down 1" hidden="1">
              <a:extLst>
                <a:ext uri="{63B3BB69-23CF-44E3-9099-C40C66FF867C}">
                  <a14:compatExt spid="_x0000_s616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561975</xdr:colOff>
          <xdr:row>1</xdr:row>
          <xdr:rowOff>0</xdr:rowOff>
        </xdr:from>
        <xdr:to>
          <xdr:col>4</xdr:col>
          <xdr:colOff>3000375</xdr:colOff>
          <xdr:row>2</xdr:row>
          <xdr:rowOff>9525</xdr:rowOff>
        </xdr:to>
        <xdr:sp macro="" textlink="">
          <xdr:nvSpPr>
            <xdr:cNvPr id="183297" name="Drop Down 1" hidden="1">
              <a:extLst>
                <a:ext uri="{63B3BB69-23CF-44E3-9099-C40C66FF867C}">
                  <a14:compatExt spid="_x0000_s183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581025</xdr:colOff>
          <xdr:row>1</xdr:row>
          <xdr:rowOff>0</xdr:rowOff>
        </xdr:from>
        <xdr:to>
          <xdr:col>4</xdr:col>
          <xdr:colOff>3019425</xdr:colOff>
          <xdr:row>2</xdr:row>
          <xdr:rowOff>0</xdr:rowOff>
        </xdr:to>
        <xdr:sp macro="" textlink="">
          <xdr:nvSpPr>
            <xdr:cNvPr id="220161" name="Drop Down 1" hidden="1">
              <a:extLst>
                <a:ext uri="{63B3BB69-23CF-44E3-9099-C40C66FF867C}">
                  <a14:compatExt spid="_x0000_s220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9</xdr:col>
          <xdr:colOff>657225</xdr:colOff>
          <xdr:row>9</xdr:row>
          <xdr:rowOff>161925</xdr:rowOff>
        </xdr:to>
        <xdr:sp macro="" textlink="">
          <xdr:nvSpPr>
            <xdr:cNvPr id="424961" name="Drop Down 1" hidden="1">
              <a:extLst>
                <a:ext uri="{63B3BB69-23CF-44E3-9099-C40C66FF867C}">
                  <a14:compatExt spid="_x0000_s4249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771525</xdr:colOff>
          <xdr:row>0</xdr:row>
          <xdr:rowOff>123825</xdr:rowOff>
        </xdr:from>
        <xdr:to>
          <xdr:col>4</xdr:col>
          <xdr:colOff>3209925</xdr:colOff>
          <xdr:row>0</xdr:row>
          <xdr:rowOff>295275</xdr:rowOff>
        </xdr:to>
        <xdr:sp macro="" textlink="">
          <xdr:nvSpPr>
            <xdr:cNvPr id="425191" name="Drop Down 231" hidden="1">
              <a:extLst>
                <a:ext uri="{63B3BB69-23CF-44E3-9099-C40C66FF867C}">
                  <a14:compatExt spid="_x0000_s425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A1:XEN61"/>
  <sheetViews>
    <sheetView zoomScale="70" zoomScaleNormal="70" workbookViewId="0">
      <pane ySplit="4" topLeftCell="A5" activePane="bottomLeft" state="frozen"/>
      <selection activeCell="N881" sqref="N881"/>
      <selection pane="bottomLeft" activeCell="K18" sqref="K18"/>
    </sheetView>
  </sheetViews>
  <sheetFormatPr defaultColWidth="0" defaultRowHeight="0" customHeight="1" zeroHeight="1"/>
  <cols>
    <col min="1" max="1" width="2.625" style="11" customWidth="1"/>
    <col min="2" max="4" width="1.625" style="11" customWidth="1"/>
    <col min="5" max="5" width="16.75" style="11" bestFit="1" customWidth="1"/>
    <col min="6" max="6" width="2.5" style="11" customWidth="1"/>
    <col min="7" max="7" width="36.625" style="11" customWidth="1"/>
    <col min="8" max="8" width="1.625" style="11" customWidth="1"/>
    <col min="9" max="9" width="13.625" style="11" customWidth="1"/>
    <col min="10" max="10" width="2.5" style="11" customWidth="1"/>
    <col min="11" max="11" width="36.625" style="11" bestFit="1" customWidth="1"/>
    <col min="12" max="12" width="1.625" style="11" customWidth="1"/>
    <col min="13" max="16335" width="9" style="11" hidden="1"/>
    <col min="16336" max="16350" width="0" style="11" hidden="1"/>
    <col min="16351" max="16368" width="9" style="11" hidden="1"/>
    <col min="16369" max="16384" width="0" style="11" hidden="1"/>
  </cols>
  <sheetData>
    <row r="1" spans="1:11" s="65" customFormat="1" ht="24.75">
      <c r="A1" s="63" t="s">
        <v>717</v>
      </c>
      <c r="B1" s="64"/>
      <c r="C1" s="64"/>
      <c r="D1" s="64"/>
      <c r="E1" s="64"/>
    </row>
    <row r="2" spans="1:11" s="65" customFormat="1" ht="19.5">
      <c r="A2" s="66"/>
      <c r="B2" s="66" t="s">
        <v>626</v>
      </c>
      <c r="C2" s="64"/>
      <c r="D2" s="64"/>
      <c r="E2" s="64"/>
    </row>
    <row r="3" spans="1:11" s="65" customFormat="1" ht="15" customHeight="1">
      <c r="A3" s="64"/>
      <c r="B3" s="64"/>
      <c r="C3" s="67" t="str">
        <f ca="1">MID(CELL("filename"),SEARCH("[",CELL("filename"))+1,SEARCH("]",CELL("filename"))-SEARCH("[",CELL("filename"))-1)</f>
        <v>Annex to Order of the CMA - CMA substitute ED1 Price Control Financial Model.xlsm</v>
      </c>
      <c r="D3" s="67"/>
      <c r="E3" s="67"/>
      <c r="F3" s="68"/>
      <c r="G3" s="68"/>
    </row>
    <row r="4" spans="1:11" s="65" customFormat="1" ht="27" customHeight="1">
      <c r="A4" s="64"/>
      <c r="B4" s="64"/>
      <c r="C4" s="441" t="s">
        <v>627</v>
      </c>
      <c r="D4" s="441"/>
      <c r="E4" s="441"/>
      <c r="F4" s="441"/>
      <c r="G4" s="441"/>
      <c r="H4" s="441"/>
      <c r="I4" s="441"/>
      <c r="J4" s="441"/>
      <c r="K4" s="441"/>
    </row>
    <row r="5" spans="1:11" ht="15" customHeight="1">
      <c r="B5" s="262"/>
    </row>
    <row r="6" spans="1:11" s="156" customFormat="1" ht="32.25" customHeight="1">
      <c r="B6" s="262"/>
      <c r="C6" s="442" t="s">
        <v>718</v>
      </c>
      <c r="D6" s="442"/>
      <c r="E6" s="442"/>
      <c r="F6" s="442"/>
      <c r="G6" s="442"/>
      <c r="H6" s="442"/>
      <c r="I6" s="442"/>
      <c r="J6" s="442"/>
      <c r="K6" s="442"/>
    </row>
    <row r="7" spans="1:11" s="156" customFormat="1" ht="15" customHeight="1">
      <c r="B7" s="262"/>
    </row>
    <row r="8" spans="1:11" s="69" customFormat="1" ht="15" customHeight="1">
      <c r="B8" s="15" t="s">
        <v>61</v>
      </c>
      <c r="C8" s="15"/>
      <c r="D8" s="15"/>
      <c r="E8" s="15"/>
      <c r="F8" s="15"/>
      <c r="G8" s="15"/>
      <c r="H8" s="15"/>
      <c r="I8" s="15"/>
      <c r="J8" s="15"/>
      <c r="K8" s="15"/>
    </row>
    <row r="9" spans="1:11" s="69" customFormat="1" ht="15" customHeight="1">
      <c r="C9" s="70"/>
      <c r="D9" s="70"/>
      <c r="E9" s="71"/>
      <c r="G9" s="72"/>
    </row>
    <row r="10" spans="1:11" s="69" customFormat="1" ht="15" customHeight="1">
      <c r="C10" s="70"/>
      <c r="D10" s="70"/>
      <c r="E10" s="228" t="s">
        <v>109</v>
      </c>
      <c r="G10" s="69" t="s">
        <v>451</v>
      </c>
    </row>
    <row r="11" spans="1:11" s="69" customFormat="1" ht="15" customHeight="1">
      <c r="C11" s="70"/>
      <c r="D11" s="70"/>
      <c r="E11" s="73" t="s">
        <v>109</v>
      </c>
      <c r="G11" s="69" t="s">
        <v>624</v>
      </c>
    </row>
    <row r="12" spans="1:11" s="69" customFormat="1" ht="15" customHeight="1">
      <c r="C12" s="70"/>
      <c r="D12" s="70"/>
      <c r="E12" s="217" t="s">
        <v>109</v>
      </c>
      <c r="G12" s="69" t="s">
        <v>158</v>
      </c>
    </row>
    <row r="13" spans="1:11" s="69" customFormat="1" ht="15" customHeight="1">
      <c r="C13" s="70"/>
      <c r="D13" s="70"/>
      <c r="E13" s="162" t="s">
        <v>109</v>
      </c>
      <c r="G13" s="69" t="s">
        <v>157</v>
      </c>
    </row>
    <row r="14" spans="1:11" s="69" customFormat="1" ht="15" customHeight="1">
      <c r="C14" s="70"/>
      <c r="D14" s="70"/>
      <c r="E14" s="171" t="s">
        <v>109</v>
      </c>
      <c r="G14" s="69" t="s">
        <v>403</v>
      </c>
    </row>
    <row r="15" spans="1:11" s="69" customFormat="1" ht="15" customHeight="1">
      <c r="C15" s="70"/>
      <c r="D15" s="70"/>
    </row>
    <row r="16" spans="1:11" s="69" customFormat="1" ht="15" customHeight="1">
      <c r="B16" s="15" t="s">
        <v>75</v>
      </c>
      <c r="C16" s="15"/>
      <c r="D16" s="15"/>
      <c r="E16" s="15"/>
      <c r="F16" s="15"/>
      <c r="G16" s="15"/>
      <c r="H16" s="15"/>
      <c r="I16" s="15"/>
      <c r="J16" s="15"/>
      <c r="K16" s="15"/>
    </row>
    <row r="17" spans="3:7" s="69" customFormat="1" ht="15" customHeight="1">
      <c r="C17" s="70"/>
      <c r="D17" s="70"/>
      <c r="E17" s="71"/>
      <c r="G17" s="72"/>
    </row>
    <row r="18" spans="3:7" s="69" customFormat="1" ht="15" customHeight="1" thickBot="1">
      <c r="C18" s="70"/>
      <c r="E18" s="70" t="s">
        <v>184</v>
      </c>
    </row>
    <row r="19" spans="3:7" s="69" customFormat="1" ht="15" customHeight="1" thickBot="1">
      <c r="C19" s="70"/>
      <c r="D19" s="70"/>
      <c r="E19" s="74" t="s">
        <v>77</v>
      </c>
      <c r="F19" s="75"/>
      <c r="G19" s="76" t="s">
        <v>81</v>
      </c>
    </row>
    <row r="20" spans="3:7" s="69" customFormat="1" ht="15" customHeight="1" thickBot="1">
      <c r="C20" s="70"/>
      <c r="D20" s="70"/>
      <c r="E20" s="74" t="s">
        <v>78</v>
      </c>
      <c r="F20" s="75"/>
      <c r="G20" s="76" t="s">
        <v>57</v>
      </c>
    </row>
    <row r="21" spans="3:7" s="69" customFormat="1" ht="15" customHeight="1" thickBot="1">
      <c r="C21" s="70"/>
      <c r="D21" s="70"/>
      <c r="E21" s="77" t="s">
        <v>315</v>
      </c>
      <c r="F21" s="75"/>
      <c r="G21" s="76" t="s">
        <v>63</v>
      </c>
    </row>
    <row r="22" spans="3:7" s="69" customFormat="1" ht="15" customHeight="1">
      <c r="C22" s="70"/>
      <c r="D22" s="70"/>
      <c r="E22" s="77" t="s">
        <v>58</v>
      </c>
      <c r="F22" s="370"/>
      <c r="G22" s="76" t="s">
        <v>623</v>
      </c>
    </row>
    <row r="23" spans="3:7" s="69" customFormat="1" ht="15" customHeight="1" thickBot="1">
      <c r="C23" s="70"/>
      <c r="D23" s="70"/>
      <c r="E23" s="70" t="s">
        <v>450</v>
      </c>
      <c r="G23" s="72"/>
    </row>
    <row r="24" spans="3:7" s="69" customFormat="1" ht="15" customHeight="1" thickTop="1" thickBot="1">
      <c r="C24" s="70"/>
      <c r="D24" s="70"/>
      <c r="E24" s="74" t="s">
        <v>76</v>
      </c>
      <c r="F24" s="168"/>
      <c r="G24" s="76" t="s">
        <v>183</v>
      </c>
    </row>
    <row r="25" spans="3:7" s="69" customFormat="1" ht="15" customHeight="1" thickTop="1" thickBot="1">
      <c r="C25" s="70"/>
      <c r="D25" s="70"/>
      <c r="E25" s="70" t="s">
        <v>80</v>
      </c>
      <c r="G25" s="72"/>
    </row>
    <row r="26" spans="3:7" s="69" customFormat="1" ht="15" customHeight="1" thickBot="1">
      <c r="C26" s="70"/>
      <c r="D26" s="70"/>
      <c r="E26" s="74" t="s">
        <v>67</v>
      </c>
      <c r="F26" s="79"/>
      <c r="G26" s="76" t="s">
        <v>309</v>
      </c>
    </row>
    <row r="27" spans="3:7" s="69" customFormat="1" ht="15" customHeight="1" thickBot="1">
      <c r="C27" s="70"/>
      <c r="D27" s="70"/>
      <c r="E27" s="74" t="s">
        <v>208</v>
      </c>
      <c r="F27" s="79"/>
      <c r="G27" s="76" t="s">
        <v>310</v>
      </c>
    </row>
    <row r="28" spans="3:7" s="69" customFormat="1" ht="15" customHeight="1" thickBot="1">
      <c r="C28" s="70"/>
      <c r="D28" s="70"/>
      <c r="E28" s="74" t="s">
        <v>217</v>
      </c>
      <c r="F28" s="79"/>
      <c r="G28" s="76" t="s">
        <v>219</v>
      </c>
    </row>
    <row r="29" spans="3:7" s="69" customFormat="1" ht="15" customHeight="1" thickBot="1">
      <c r="C29" s="70"/>
      <c r="D29" s="70"/>
      <c r="E29" s="74" t="s">
        <v>485</v>
      </c>
      <c r="F29" s="79"/>
      <c r="G29" s="76" t="s">
        <v>279</v>
      </c>
    </row>
    <row r="30" spans="3:7" s="69" customFormat="1" ht="15" customHeight="1" thickBot="1">
      <c r="C30" s="70"/>
      <c r="D30" s="70"/>
      <c r="E30" s="74" t="s">
        <v>185</v>
      </c>
      <c r="F30" s="79"/>
      <c r="G30" s="70" t="s">
        <v>186</v>
      </c>
    </row>
    <row r="31" spans="3:7" s="69" customFormat="1" ht="15" customHeight="1" thickBot="1">
      <c r="C31" s="70"/>
      <c r="D31" s="70"/>
      <c r="E31" s="74" t="s">
        <v>204</v>
      </c>
      <c r="F31" s="79"/>
      <c r="G31" s="76" t="s">
        <v>311</v>
      </c>
    </row>
    <row r="32" spans="3:7" s="69" customFormat="1" ht="15" customHeight="1" thickBot="1">
      <c r="C32" s="70"/>
      <c r="D32" s="70"/>
      <c r="E32" s="74" t="s">
        <v>343</v>
      </c>
      <c r="F32" s="79"/>
      <c r="G32" s="76" t="s">
        <v>353</v>
      </c>
    </row>
    <row r="33" spans="3:11" s="69" customFormat="1" ht="15" customHeight="1" thickBot="1">
      <c r="C33" s="70"/>
      <c r="D33" s="70"/>
      <c r="E33" s="74" t="s">
        <v>17</v>
      </c>
      <c r="F33" s="79"/>
      <c r="G33" s="76" t="s">
        <v>312</v>
      </c>
    </row>
    <row r="34" spans="3:11" s="69" customFormat="1" ht="15" customHeight="1">
      <c r="C34" s="70"/>
      <c r="D34" s="70"/>
      <c r="E34" s="74"/>
      <c r="F34" s="74"/>
      <c r="G34" s="76"/>
    </row>
    <row r="35" spans="3:11" s="69" customFormat="1" ht="15" customHeight="1" thickBot="1">
      <c r="C35" s="70"/>
      <c r="D35" s="70"/>
      <c r="E35" s="70" t="s">
        <v>79</v>
      </c>
      <c r="G35" s="72"/>
    </row>
    <row r="36" spans="3:11" s="69" customFormat="1" ht="15" customHeight="1" thickBot="1">
      <c r="C36" s="70"/>
      <c r="D36" s="70"/>
      <c r="E36" s="77" t="s">
        <v>625</v>
      </c>
      <c r="F36" s="78"/>
      <c r="G36" s="76" t="s">
        <v>313</v>
      </c>
    </row>
    <row r="37" spans="3:11" s="69" customFormat="1" ht="15" customHeight="1" thickBot="1">
      <c r="C37" s="70"/>
      <c r="D37" s="70"/>
      <c r="E37" s="77" t="s">
        <v>113</v>
      </c>
      <c r="F37" s="78"/>
      <c r="G37" s="76" t="s">
        <v>314</v>
      </c>
    </row>
    <row r="38" spans="3:11" s="69" customFormat="1" ht="15" customHeight="1">
      <c r="C38" s="70"/>
      <c r="D38" s="70"/>
      <c r="E38" s="77"/>
      <c r="F38" s="77"/>
      <c r="G38" s="76"/>
    </row>
    <row r="39" spans="3:11" s="69" customFormat="1" ht="15" customHeight="1" thickBot="1">
      <c r="C39" s="70"/>
      <c r="D39" s="70"/>
      <c r="E39" s="69" t="s">
        <v>452</v>
      </c>
    </row>
    <row r="40" spans="3:11" s="69" customFormat="1" ht="15" customHeight="1" thickTop="1" thickBot="1">
      <c r="C40" s="70"/>
      <c r="D40" s="70"/>
      <c r="E40" s="77" t="s">
        <v>507</v>
      </c>
      <c r="F40" s="168"/>
    </row>
    <row r="41" spans="3:11" s="69" customFormat="1" ht="15" customHeight="1" thickTop="1" thickBot="1">
      <c r="C41" s="70"/>
      <c r="D41" s="70"/>
      <c r="E41" s="77" t="s">
        <v>508</v>
      </c>
      <c r="F41" s="168"/>
    </row>
    <row r="42" spans="3:11" s="69" customFormat="1" ht="15" customHeight="1" thickTop="1" thickBot="1">
      <c r="C42" s="70"/>
      <c r="D42" s="70"/>
      <c r="E42" s="77" t="s">
        <v>509</v>
      </c>
      <c r="F42" s="168"/>
    </row>
    <row r="43" spans="3:11" s="69" customFormat="1" ht="15" customHeight="1" thickTop="1" thickBot="1">
      <c r="C43" s="70"/>
      <c r="D43" s="70"/>
      <c r="E43" s="77" t="s">
        <v>510</v>
      </c>
      <c r="F43" s="168"/>
    </row>
    <row r="44" spans="3:11" s="69" customFormat="1" ht="15" customHeight="1" thickTop="1" thickBot="1">
      <c r="C44" s="70"/>
      <c r="D44" s="70"/>
      <c r="E44" s="77" t="s">
        <v>511</v>
      </c>
      <c r="F44" s="168"/>
    </row>
    <row r="45" spans="3:11" s="69" customFormat="1" ht="15" customHeight="1" thickTop="1" thickBot="1">
      <c r="C45" s="70"/>
      <c r="D45" s="70"/>
      <c r="E45" s="77" t="s">
        <v>512</v>
      </c>
      <c r="F45" s="168"/>
    </row>
    <row r="46" spans="3:11" s="69" customFormat="1" ht="15" customHeight="1" thickTop="1" thickBot="1">
      <c r="C46" s="70"/>
      <c r="D46" s="70"/>
      <c r="E46" s="77" t="s">
        <v>513</v>
      </c>
      <c r="F46" s="168"/>
    </row>
    <row r="47" spans="3:11" s="69" customFormat="1" ht="15" customHeight="1" thickTop="1" thickBot="1">
      <c r="C47" s="70"/>
      <c r="D47" s="70"/>
      <c r="E47" s="77" t="s">
        <v>514</v>
      </c>
      <c r="F47" s="168"/>
    </row>
    <row r="48" spans="3:11" s="69" customFormat="1" ht="15" customHeight="1" thickTop="1" thickBot="1">
      <c r="C48" s="70"/>
      <c r="D48" s="70"/>
      <c r="E48" s="77" t="s">
        <v>515</v>
      </c>
      <c r="F48" s="168"/>
      <c r="G48" s="11"/>
      <c r="I48" s="156"/>
      <c r="J48" s="11"/>
      <c r="K48" s="11"/>
    </row>
    <row r="49" spans="2:43" ht="15" customHeight="1" thickTop="1" thickBot="1">
      <c r="E49" s="77" t="s">
        <v>516</v>
      </c>
      <c r="F49" s="168"/>
      <c r="I49" s="156"/>
    </row>
    <row r="50" spans="2:43" ht="15" customHeight="1" thickTop="1" thickBot="1">
      <c r="E50" s="77" t="s">
        <v>517</v>
      </c>
      <c r="F50" s="168"/>
      <c r="I50" s="156"/>
    </row>
    <row r="51" spans="2:43" ht="15" customHeight="1" thickTop="1" thickBot="1">
      <c r="E51" s="77" t="s">
        <v>518</v>
      </c>
      <c r="F51" s="168"/>
      <c r="I51" s="156"/>
    </row>
    <row r="52" spans="2:43" ht="15" customHeight="1" thickTop="1" thickBot="1">
      <c r="E52" s="77" t="s">
        <v>519</v>
      </c>
      <c r="F52" s="168"/>
      <c r="I52" s="156"/>
    </row>
    <row r="53" spans="2:43" s="156" customFormat="1" ht="15" customHeight="1" thickTop="1" thickBot="1">
      <c r="E53" s="77" t="s">
        <v>520</v>
      </c>
      <c r="F53" s="168"/>
    </row>
    <row r="54" spans="2:43" s="156" customFormat="1" ht="15" customHeight="1" thickTop="1"/>
    <row r="55" spans="2:43" s="156" customFormat="1" ht="15" customHeight="1">
      <c r="B55" s="84" t="s">
        <v>51</v>
      </c>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row>
    <row r="56" spans="2:43" s="156" customFormat="1" ht="15" customHeight="1"/>
    <row r="57" spans="2:43" s="156" customFormat="1" ht="15" hidden="1" customHeight="1"/>
    <row r="58" spans="2:43" s="156" customFormat="1" ht="15" hidden="1" customHeight="1"/>
    <row r="59" spans="2:43" s="156" customFormat="1" ht="15" hidden="1" customHeight="1"/>
    <row r="60" spans="2:43" ht="15" hidden="1" customHeight="1"/>
    <row r="61" spans="2:43" ht="15" hidden="1" customHeight="1"/>
  </sheetData>
  <mergeCells count="2">
    <mergeCell ref="C4:K4"/>
    <mergeCell ref="C6:K6"/>
  </mergeCells>
  <hyperlinks>
    <hyperlink ref="E21" location="TaxTrigger!A1" display="TaxTrigger"/>
    <hyperlink ref="E36" location="LiveResults!A1" display="ResultsLive"/>
    <hyperlink ref="E32" location="'Finance&amp;Tax'!A1" display="Finance&amp;Tax"/>
    <hyperlink ref="E19" location="Cover!A1" display="Cover"/>
    <hyperlink ref="E20" location="UserInterface!A1" display="UserInterface"/>
    <hyperlink ref="E24" location="Input!A1" display="Input"/>
    <hyperlink ref="E28" location="DARTs!A1" display="DARTs"/>
    <hyperlink ref="E26" location="Totex!A1" display="Totex"/>
    <hyperlink ref="E31" location="TaxPools!A1" display="TaxPools"/>
    <hyperlink ref="E33" location="Revenue!A1" display="Revenue"/>
    <hyperlink ref="E29" location="DepnGD!A1" display="DepnGD"/>
    <hyperlink ref="E30" location="'Return&amp;RAV'!A1" display="Return&amp;RAV"/>
    <hyperlink ref="E27" location="TIM!A1" display="TIM"/>
    <hyperlink ref="E22" location="MOD!A1" display="TaxTrigger"/>
    <hyperlink ref="E37" location="SavedResults!A1" display="LiveResults"/>
    <hyperlink ref="E40" location="ENWL!A1" display="Bill impact"/>
    <hyperlink ref="E41" location="NPgN!A1" display="ENWL"/>
    <hyperlink ref="E42" location="NPgY!A1" display="ENWL"/>
    <hyperlink ref="E43" location="WMID!A1" display="ENWL"/>
    <hyperlink ref="E44" location="EMID!A1" display="ENWL"/>
    <hyperlink ref="E45" location="SWALES!A1" display="ENWL"/>
    <hyperlink ref="E46" location="SWEST!A1" display="ENWL"/>
    <hyperlink ref="E47" location="LPN!A1" display="ENWL"/>
    <hyperlink ref="E48" location="SPN!A1" display="ENWL"/>
    <hyperlink ref="E50" location="SPD!A1" display="ENWL"/>
    <hyperlink ref="E51" location="SPMW!A1" display="ENWL"/>
    <hyperlink ref="E52" location="SSEH!A1" display="ENWL"/>
    <hyperlink ref="E53" location="SSES!A1" display="ENWL"/>
    <hyperlink ref="E49" location="EPN!A1" display="ENWL"/>
  </hyperlinks>
  <pageMargins left="0.23622047244094491" right="0.23622047244094491" top="0.74803149606299213" bottom="0.74803149606299213" header="0.31496062992125984" footer="0.31496062992125984"/>
  <pageSetup paperSize="8" fitToHeight="0" orientation="portrait" r:id="rId1"/>
  <headerFooter>
    <oddFooter>&amp;LDraft at &amp;D&amp;C&amp;P of &amp;N&amp;R"&amp;A" sheet</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fitToPage="1"/>
  </sheetPr>
  <dimension ref="A1:AQ88"/>
  <sheetViews>
    <sheetView zoomScale="70" zoomScaleNormal="70" zoomScaleSheetLayoutView="70" workbookViewId="0">
      <pane ySplit="1" topLeftCell="A2" activePane="bottomLeft" state="frozen"/>
      <selection activeCell="N881" sqref="N881"/>
      <selection pane="bottomLeft" activeCell="A2" sqref="A2"/>
    </sheetView>
  </sheetViews>
  <sheetFormatPr defaultColWidth="0" defaultRowHeight="0" customHeight="1" zeroHeight="1"/>
  <cols>
    <col min="1" max="4" width="1.625" style="69" customWidth="1"/>
    <col min="5" max="5" width="41.5" style="69" customWidth="1"/>
    <col min="6" max="6" width="1.625" style="69" customWidth="1"/>
    <col min="7" max="7" width="45.625" style="69" customWidth="1"/>
    <col min="8" max="8" width="1.625" style="69" customWidth="1"/>
    <col min="9" max="13" width="9" style="69" hidden="1" customWidth="1"/>
    <col min="14" max="21" width="0" style="69" hidden="1" customWidth="1"/>
    <col min="22" max="16384" width="9" style="69" hidden="1"/>
  </cols>
  <sheetData>
    <row r="1" spans="1:7" s="65" customFormat="1" ht="19.5">
      <c r="A1" s="80" t="s">
        <v>203</v>
      </c>
    </row>
    <row r="2" spans="1:7" ht="15" customHeight="1"/>
    <row r="3" spans="1:7" ht="15" customHeight="1">
      <c r="B3" s="15" t="s">
        <v>57</v>
      </c>
      <c r="C3" s="15"/>
      <c r="D3" s="15"/>
      <c r="E3" s="15"/>
      <c r="F3" s="15"/>
      <c r="G3" s="15"/>
    </row>
    <row r="4" spans="1:7" ht="15" customHeight="1"/>
    <row r="5" spans="1:7" ht="15" customHeight="1">
      <c r="C5" s="17" t="s">
        <v>316</v>
      </c>
      <c r="D5" s="17"/>
      <c r="E5" s="17"/>
      <c r="F5" s="17"/>
      <c r="G5" s="17"/>
    </row>
    <row r="6" spans="1:7" ht="15" customHeight="1">
      <c r="C6" s="171" t="s">
        <v>319</v>
      </c>
      <c r="D6" s="171"/>
      <c r="E6" s="171"/>
      <c r="F6" s="171"/>
      <c r="G6" s="171"/>
    </row>
    <row r="7" spans="1:7" ht="15" customHeight="1">
      <c r="C7" s="70"/>
      <c r="D7" s="70"/>
      <c r="E7" s="71"/>
      <c r="G7" s="72"/>
    </row>
    <row r="8" spans="1:7" ht="15" customHeight="1">
      <c r="C8" s="70"/>
      <c r="D8" s="70"/>
      <c r="E8" s="172" t="s">
        <v>291</v>
      </c>
    </row>
    <row r="9" spans="1:7" ht="15" customHeight="1">
      <c r="C9" s="70"/>
      <c r="D9" s="70"/>
      <c r="E9" s="172"/>
    </row>
    <row r="10" spans="1:7" ht="15" customHeight="1">
      <c r="B10" s="82"/>
      <c r="C10" s="82"/>
      <c r="D10" s="82"/>
      <c r="E10" s="172" t="s">
        <v>292</v>
      </c>
      <c r="F10" s="82"/>
      <c r="G10" s="272">
        <f>EOMONTH(42094,E69*12)</f>
        <v>42460</v>
      </c>
    </row>
    <row r="11" spans="1:7" ht="15" customHeight="1">
      <c r="C11" s="70"/>
      <c r="D11" s="70"/>
      <c r="E11" s="71"/>
      <c r="G11" s="72"/>
    </row>
    <row r="12" spans="1:7" ht="15" customHeight="1">
      <c r="C12" s="17" t="s">
        <v>320</v>
      </c>
      <c r="D12" s="17"/>
      <c r="E12" s="17"/>
      <c r="F12" s="17"/>
      <c r="G12" s="17"/>
    </row>
    <row r="13" spans="1:7" ht="15" customHeight="1">
      <c r="C13" s="171" t="s">
        <v>318</v>
      </c>
      <c r="D13" s="171"/>
      <c r="E13" s="171"/>
      <c r="F13" s="171"/>
      <c r="G13" s="171"/>
    </row>
    <row r="14" spans="1:7" ht="15" customHeight="1">
      <c r="C14" s="70"/>
      <c r="D14" s="70"/>
      <c r="E14" s="70"/>
    </row>
    <row r="15" spans="1:7" ht="15" customHeight="1">
      <c r="C15" s="70"/>
      <c r="D15" s="70"/>
      <c r="E15" s="172" t="s">
        <v>293</v>
      </c>
    </row>
    <row r="16" spans="1:7" ht="15" customHeight="1">
      <c r="C16" s="70"/>
      <c r="D16" s="70"/>
      <c r="E16" s="172"/>
    </row>
    <row r="17" spans="3:7" ht="15" customHeight="1">
      <c r="C17" s="70"/>
      <c r="D17" s="70"/>
      <c r="E17" s="172" t="s">
        <v>294</v>
      </c>
      <c r="G17" s="204" t="str">
        <f>INDEX(E43:E56, E57)</f>
        <v>SSES</v>
      </c>
    </row>
    <row r="18" spans="3:7" ht="15" customHeight="1">
      <c r="C18" s="70"/>
      <c r="D18" s="70"/>
      <c r="E18" s="172" t="s">
        <v>830</v>
      </c>
      <c r="G18" s="379" t="str">
        <f>IF(AND(m_identity&gt;=4,m_identity&lt;=7),"Fast-Tracked","Slow-Tracked")</f>
        <v>Slow-Tracked</v>
      </c>
    </row>
    <row r="19" spans="3:7" ht="15" customHeight="1">
      <c r="C19" s="70"/>
      <c r="D19" s="70"/>
      <c r="E19" s="71"/>
      <c r="G19" s="72"/>
    </row>
    <row r="20" spans="3:7" ht="15" customHeight="1">
      <c r="C20" s="17" t="s">
        <v>317</v>
      </c>
      <c r="D20" s="17"/>
      <c r="E20" s="17"/>
      <c r="F20" s="17"/>
      <c r="G20" s="17"/>
    </row>
    <row r="21" spans="3:7" ht="15" customHeight="1">
      <c r="C21" s="369" t="s">
        <v>618</v>
      </c>
      <c r="D21" s="171"/>
      <c r="E21" s="171"/>
      <c r="F21" s="171"/>
      <c r="G21" s="171"/>
    </row>
    <row r="22" spans="3:7" ht="15" customHeight="1">
      <c r="C22" s="70"/>
      <c r="D22" s="70"/>
      <c r="E22" s="71"/>
      <c r="G22" s="72"/>
    </row>
    <row r="23" spans="3:7" ht="15" customHeight="1">
      <c r="C23" s="70"/>
      <c r="D23" s="70"/>
      <c r="E23" s="172" t="s">
        <v>295</v>
      </c>
      <c r="G23" s="273" t="str">
        <f>INDEX(TaxTrigger!E30:E31,m_tax_trigger_state,1)</f>
        <v>Licence Model</v>
      </c>
    </row>
    <row r="24" spans="3:7" ht="15" customHeight="1">
      <c r="C24" s="70"/>
      <c r="D24" s="70"/>
      <c r="E24" s="71"/>
      <c r="G24" s="72"/>
    </row>
    <row r="25" spans="3:7" ht="15" customHeight="1">
      <c r="C25" s="17" t="s">
        <v>87</v>
      </c>
      <c r="D25" s="17"/>
      <c r="E25" s="17"/>
      <c r="F25" s="17"/>
      <c r="G25" s="17"/>
    </row>
    <row r="26" spans="3:7" ht="15" customHeight="1">
      <c r="C26" s="171" t="s">
        <v>198</v>
      </c>
      <c r="D26" s="171"/>
      <c r="E26" s="171"/>
      <c r="F26" s="171"/>
      <c r="G26" s="171"/>
    </row>
    <row r="27" spans="3:7" ht="15" customHeight="1">
      <c r="C27" s="171" t="s">
        <v>195</v>
      </c>
      <c r="D27" s="171"/>
      <c r="E27" s="171"/>
      <c r="F27" s="171"/>
      <c r="G27" s="171"/>
    </row>
    <row r="28" spans="3:7" ht="15" customHeight="1">
      <c r="C28" s="169" t="s">
        <v>324</v>
      </c>
      <c r="D28" s="169"/>
      <c r="E28" s="169"/>
      <c r="F28" s="171"/>
      <c r="G28" s="171"/>
    </row>
    <row r="29" spans="3:7" ht="15" customHeight="1">
      <c r="C29" s="169" t="s">
        <v>197</v>
      </c>
      <c r="D29" s="169"/>
      <c r="E29" s="169"/>
      <c r="F29" s="171"/>
      <c r="G29" s="171"/>
    </row>
    <row r="30" spans="3:7" ht="15" customHeight="1">
      <c r="C30" s="169" t="s">
        <v>338</v>
      </c>
      <c r="D30" s="169"/>
      <c r="E30" s="169"/>
      <c r="F30" s="171"/>
      <c r="G30" s="171"/>
    </row>
    <row r="31" spans="3:7" ht="15" customHeight="1">
      <c r="C31" s="70"/>
      <c r="D31" s="70"/>
      <c r="E31" s="71"/>
      <c r="G31" s="72"/>
    </row>
    <row r="32" spans="3:7" ht="15" customHeight="1">
      <c r="C32" s="70"/>
      <c r="D32" s="70"/>
      <c r="E32" s="71"/>
      <c r="G32" s="72"/>
    </row>
    <row r="33" spans="2:11" ht="15" customHeight="1">
      <c r="C33" s="70"/>
      <c r="D33" s="70"/>
      <c r="E33" s="71"/>
      <c r="G33" s="72"/>
    </row>
    <row r="34" spans="2:11" ht="15" customHeight="1">
      <c r="C34" s="70"/>
      <c r="D34" s="70"/>
      <c r="E34" s="71"/>
      <c r="G34" s="72"/>
    </row>
    <row r="35" spans="2:11" ht="15" customHeight="1">
      <c r="C35" s="70"/>
      <c r="D35" s="70"/>
      <c r="E35" s="71"/>
      <c r="G35" s="72"/>
    </row>
    <row r="36" spans="2:11" ht="15" customHeight="1">
      <c r="B36" s="15" t="s">
        <v>55</v>
      </c>
      <c r="C36" s="15"/>
      <c r="D36" s="15"/>
      <c r="E36" s="15"/>
      <c r="F36" s="15"/>
      <c r="G36" s="15"/>
      <c r="I36" s="82"/>
      <c r="J36" s="82"/>
      <c r="K36" s="82"/>
    </row>
    <row r="37" spans="2:11" ht="15" customHeight="1">
      <c r="B37" s="164" t="s">
        <v>321</v>
      </c>
      <c r="C37" s="164"/>
      <c r="D37" s="164"/>
      <c r="E37" s="164"/>
      <c r="F37" s="164"/>
      <c r="G37" s="164"/>
      <c r="I37" s="82"/>
      <c r="J37" s="82"/>
      <c r="K37" s="82"/>
    </row>
    <row r="38" spans="2:11" ht="15" customHeight="1">
      <c r="B38" s="164" t="s">
        <v>322</v>
      </c>
      <c r="C38" s="164"/>
      <c r="D38" s="164"/>
      <c r="E38" s="164"/>
      <c r="F38" s="164"/>
      <c r="G38" s="164"/>
      <c r="I38" s="82"/>
      <c r="J38" s="82"/>
      <c r="K38" s="82"/>
    </row>
    <row r="39" spans="2:11" ht="15" customHeight="1">
      <c r="B39" s="164" t="s">
        <v>323</v>
      </c>
      <c r="C39" s="164"/>
      <c r="D39" s="164"/>
      <c r="E39" s="164"/>
      <c r="F39" s="164"/>
      <c r="G39" s="164"/>
      <c r="I39" s="82"/>
      <c r="J39" s="82"/>
      <c r="K39" s="82"/>
    </row>
    <row r="40" spans="2:11" ht="15" customHeight="1">
      <c r="B40" s="164" t="s">
        <v>386</v>
      </c>
      <c r="C40" s="164"/>
      <c r="D40" s="164"/>
      <c r="E40" s="164"/>
      <c r="F40" s="164"/>
      <c r="G40" s="164"/>
      <c r="I40" s="82"/>
      <c r="J40" s="82"/>
      <c r="K40" s="82"/>
    </row>
    <row r="41" spans="2:11" ht="15" customHeight="1">
      <c r="I41" s="82"/>
      <c r="J41" s="82"/>
      <c r="K41" s="82"/>
    </row>
    <row r="42" spans="2:11" ht="15" customHeight="1" thickBot="1">
      <c r="E42" s="173" t="str">
        <f>"Source for ''"&amp;C12&amp;"'' drop-down list"</f>
        <v>Source for ''Active company'' drop-down list</v>
      </c>
      <c r="G42" s="173" t="s">
        <v>831</v>
      </c>
      <c r="I42" s="82"/>
      <c r="J42" s="82"/>
      <c r="K42" s="82"/>
    </row>
    <row r="43" spans="2:11" ht="15" customHeight="1">
      <c r="E43" s="274" t="s">
        <v>507</v>
      </c>
      <c r="F43" s="83"/>
      <c r="G43" s="274" t="s">
        <v>827</v>
      </c>
      <c r="I43" s="82"/>
    </row>
    <row r="44" spans="2:11" ht="15" customHeight="1" thickBot="1">
      <c r="E44" s="275" t="s">
        <v>508</v>
      </c>
      <c r="G44" s="276" t="s">
        <v>828</v>
      </c>
    </row>
    <row r="45" spans="2:11" ht="15" customHeight="1" thickBot="1">
      <c r="E45" s="275" t="s">
        <v>509</v>
      </c>
      <c r="G45" s="435">
        <f>MATCH($G$18,$G$43:$G$44)-1</f>
        <v>1</v>
      </c>
    </row>
    <row r="46" spans="2:11" ht="15" customHeight="1">
      <c r="E46" s="275" t="s">
        <v>510</v>
      </c>
      <c r="G46" s="215" t="s">
        <v>829</v>
      </c>
    </row>
    <row r="47" spans="2:11" ht="15" customHeight="1">
      <c r="E47" s="275" t="s">
        <v>511</v>
      </c>
    </row>
    <row r="48" spans="2:11" ht="15" customHeight="1">
      <c r="E48" s="275" t="s">
        <v>512</v>
      </c>
    </row>
    <row r="49" spans="5:5" ht="15" customHeight="1">
      <c r="E49" s="275" t="s">
        <v>513</v>
      </c>
    </row>
    <row r="50" spans="5:5" ht="15" customHeight="1">
      <c r="E50" s="275" t="s">
        <v>514</v>
      </c>
    </row>
    <row r="51" spans="5:5" ht="15" customHeight="1">
      <c r="E51" s="275" t="s">
        <v>515</v>
      </c>
    </row>
    <row r="52" spans="5:5" ht="15" customHeight="1">
      <c r="E52" s="275" t="s">
        <v>516</v>
      </c>
    </row>
    <row r="53" spans="5:5" ht="15" customHeight="1">
      <c r="E53" s="275" t="s">
        <v>517</v>
      </c>
    </row>
    <row r="54" spans="5:5" ht="15" customHeight="1">
      <c r="E54" s="275" t="s">
        <v>518</v>
      </c>
    </row>
    <row r="55" spans="5:5" ht="15" customHeight="1">
      <c r="E55" s="275" t="s">
        <v>519</v>
      </c>
    </row>
    <row r="56" spans="5:5" ht="15" customHeight="1" thickBot="1">
      <c r="E56" s="276" t="s">
        <v>520</v>
      </c>
    </row>
    <row r="57" spans="5:5" ht="15" customHeight="1" thickBot="1">
      <c r="E57" s="277">
        <v>14</v>
      </c>
    </row>
    <row r="58" spans="5:5" ht="15" customHeight="1">
      <c r="E58" s="215" t="s">
        <v>415</v>
      </c>
    </row>
    <row r="59" spans="5:5" ht="15" customHeight="1">
      <c r="E59" s="215"/>
    </row>
    <row r="60" spans="5:5" ht="15" customHeight="1" thickBot="1">
      <c r="E60" s="173" t="str">
        <f>"Source for ''"&amp;C5&amp;"'' drop-down list"</f>
        <v>Source for ''PCFM year t'' drop-down list</v>
      </c>
    </row>
    <row r="61" spans="5:5" ht="15" customHeight="1">
      <c r="E61" s="205">
        <v>42460</v>
      </c>
    </row>
    <row r="62" spans="5:5" ht="15" customHeight="1">
      <c r="E62" s="206">
        <v>42825</v>
      </c>
    </row>
    <row r="63" spans="5:5" ht="15" customHeight="1">
      <c r="E63" s="206">
        <v>43190</v>
      </c>
    </row>
    <row r="64" spans="5:5" ht="15" customHeight="1">
      <c r="E64" s="206">
        <v>43555</v>
      </c>
    </row>
    <row r="65" spans="2:43" ht="15" customHeight="1">
      <c r="E65" s="206">
        <v>43921</v>
      </c>
    </row>
    <row r="66" spans="2:43" ht="15" customHeight="1">
      <c r="E66" s="206">
        <v>44286</v>
      </c>
    </row>
    <row r="67" spans="2:43" ht="15" customHeight="1">
      <c r="E67" s="206">
        <v>44651</v>
      </c>
    </row>
    <row r="68" spans="2:43" ht="15" customHeight="1" thickBot="1">
      <c r="E68" s="207">
        <v>45016</v>
      </c>
    </row>
    <row r="69" spans="2:43" ht="15" customHeight="1" thickBot="1">
      <c r="E69" s="277">
        <v>1</v>
      </c>
    </row>
    <row r="70" spans="2:43" ht="15" customHeight="1">
      <c r="E70" s="215" t="s">
        <v>498</v>
      </c>
    </row>
    <row r="71" spans="2:43" ht="15" customHeight="1">
      <c r="E71" s="215"/>
    </row>
    <row r="72" spans="2:43" s="156" customFormat="1" ht="15" customHeight="1">
      <c r="B72" s="84" t="s">
        <v>51</v>
      </c>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row>
    <row r="73" spans="2:43" s="82" customFormat="1" ht="15" customHeight="1">
      <c r="E73" s="204"/>
    </row>
    <row r="74" spans="2:43" customFormat="1" ht="15" hidden="1" customHeight="1"/>
    <row r="75" spans="2:43" customFormat="1" ht="15" hidden="1" customHeight="1"/>
    <row r="76" spans="2:43" customFormat="1" ht="15" hidden="1" customHeight="1"/>
    <row r="77" spans="2:43" customFormat="1" ht="15" hidden="1" customHeight="1"/>
    <row r="78" spans="2:43" ht="15" hidden="1" customHeight="1"/>
    <row r="79" spans="2:43" ht="15" hidden="1" customHeight="1"/>
    <row r="80" spans="2:43"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sheetData>
  <dataConsolidate/>
  <pageMargins left="0.23622047244094491" right="0.23622047244094491" top="0.74803149606299213" bottom="0.74803149606299213" header="0.31496062992125984" footer="0.31496062992125984"/>
  <pageSetup paperSize="8"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6</xdr:col>
                    <xdr:colOff>0</xdr:colOff>
                    <xdr:row>14</xdr:row>
                    <xdr:rowOff>0</xdr:rowOff>
                  </from>
                  <to>
                    <xdr:col>7</xdr:col>
                    <xdr:colOff>0</xdr:colOff>
                    <xdr:row>15</xdr:row>
                    <xdr:rowOff>9525</xdr:rowOff>
                  </to>
                </anchor>
              </controlPr>
            </control>
          </mc:Choice>
        </mc:AlternateContent>
        <mc:AlternateContent xmlns:mc="http://schemas.openxmlformats.org/markup-compatibility/2006">
          <mc:Choice Requires="x14">
            <control shapeId="7222" r:id="rId5" name="Drop Down 54">
              <controlPr defaultSize="0" autoLine="0" autoPict="0">
                <anchor moveWithCells="1">
                  <from>
                    <xdr:col>6</xdr:col>
                    <xdr:colOff>0</xdr:colOff>
                    <xdr:row>6</xdr:row>
                    <xdr:rowOff>180975</xdr:rowOff>
                  </from>
                  <to>
                    <xdr:col>7</xdr:col>
                    <xdr:colOff>0</xdr:colOff>
                    <xdr:row>8</xdr:row>
                    <xdr:rowOff>0</xdr:rowOff>
                  </to>
                </anchor>
              </controlPr>
            </control>
          </mc:Choice>
        </mc:AlternateContent>
        <mc:AlternateContent xmlns:mc="http://schemas.openxmlformats.org/markup-compatibility/2006">
          <mc:Choice Requires="x14">
            <control shapeId="7226" r:id="rId6" name="Button 58">
              <controlPr defaultSize="0" autoFill="0" autoPict="0" macro="[0]!RunForOne">
                <anchor moveWithCells="1" sizeWithCells="1">
                  <from>
                    <xdr:col>4</xdr:col>
                    <xdr:colOff>9525</xdr:colOff>
                    <xdr:row>31</xdr:row>
                    <xdr:rowOff>19050</xdr:rowOff>
                  </from>
                  <to>
                    <xdr:col>5</xdr:col>
                    <xdr:colOff>0</xdr:colOff>
                    <xdr:row>34</xdr:row>
                    <xdr:rowOff>19050</xdr:rowOff>
                  </to>
                </anchor>
              </controlPr>
            </control>
          </mc:Choice>
        </mc:AlternateContent>
        <mc:AlternateContent xmlns:mc="http://schemas.openxmlformats.org/markup-compatibility/2006">
          <mc:Choice Requires="x14">
            <control shapeId="7227" r:id="rId7" name="Button 59">
              <controlPr defaultSize="0" autoFill="0" autoPict="0" macro="[0]!RunForAll">
                <anchor moveWithCells="1" sizeWithCells="1">
                  <from>
                    <xdr:col>5</xdr:col>
                    <xdr:colOff>114300</xdr:colOff>
                    <xdr:row>31</xdr:row>
                    <xdr:rowOff>19050</xdr:rowOff>
                  </from>
                  <to>
                    <xdr:col>6</xdr:col>
                    <xdr:colOff>3448050</xdr:colOff>
                    <xdr:row>34</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autoPageBreaks="0" fitToPage="1"/>
  </sheetPr>
  <dimension ref="A1:XDD241"/>
  <sheetViews>
    <sheetView zoomScale="70" zoomScaleNormal="70" zoomScaleSheetLayoutView="75" workbookViewId="0">
      <pane xSplit="10" ySplit="8" topLeftCell="AJ9" activePane="bottomRight" state="frozen"/>
      <selection activeCell="N881" sqref="N881"/>
      <selection pane="topRight" activeCell="N881" sqref="N881"/>
      <selection pane="bottomLeft" activeCell="N881" sqref="N881"/>
      <selection pane="bottomRight" activeCell="I27" sqref="I27:AL27"/>
    </sheetView>
  </sheetViews>
  <sheetFormatPr defaultColWidth="0" defaultRowHeight="15" zeroHeight="1" outlineLevelCol="1"/>
  <cols>
    <col min="1" max="4" width="1.625" style="11" customWidth="1"/>
    <col min="5" max="5" width="50.625" style="11" customWidth="1"/>
    <col min="6" max="6" width="1.625" style="11" customWidth="1"/>
    <col min="7" max="7" width="12.625" style="11" customWidth="1"/>
    <col min="8" max="8" width="1.625" style="11" customWidth="1"/>
    <col min="9" max="9" width="10.625" style="11" customWidth="1"/>
    <col min="10" max="10" width="1.625" style="11" customWidth="1"/>
    <col min="11" max="29" width="10.625" style="11" hidden="1" customWidth="1" outlineLevel="1"/>
    <col min="30" max="31" width="10.625" style="156" hidden="1" customWidth="1" outlineLevel="1"/>
    <col min="32" max="35" width="10.625" style="11" hidden="1" customWidth="1" outlineLevel="1"/>
    <col min="36" max="36" width="10.625" style="11" customWidth="1" collapsed="1"/>
    <col min="37" max="43" width="10.625" style="11" customWidth="1"/>
    <col min="44" max="44" width="2.25" style="11" customWidth="1"/>
    <col min="45" max="87" width="0" style="11" hidden="1"/>
    <col min="88" max="16332" width="9" style="11" hidden="1"/>
    <col min="16333" max="16384" width="0" style="11" hidden="1"/>
  </cols>
  <sheetData>
    <row r="1" spans="1:44" s="47" customFormat="1" ht="19.5">
      <c r="A1" s="5" t="s">
        <v>240</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K1" s="6"/>
      <c r="AL1" s="6"/>
      <c r="AM1" s="6"/>
      <c r="AN1" s="6"/>
      <c r="AO1" s="6"/>
      <c r="AP1" s="6"/>
      <c r="AQ1" s="6"/>
    </row>
    <row r="2" spans="1:44" s="47" customForma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140" customFormat="1">
      <c r="A6" s="6"/>
      <c r="B6" s="8"/>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row>
    <row r="7" spans="1:44" s="47" customFormat="1">
      <c r="A7" s="6"/>
      <c r="B7" s="6"/>
      <c r="C7" s="6"/>
      <c r="D7" s="6"/>
      <c r="E7" s="9" t="s">
        <v>42</v>
      </c>
      <c r="F7" s="9"/>
      <c r="G7" s="9" t="s">
        <v>38</v>
      </c>
      <c r="H7" s="9"/>
      <c r="I7" s="9" t="s">
        <v>41</v>
      </c>
      <c r="J7" s="10"/>
      <c r="K7" s="10"/>
      <c r="L7" s="10"/>
      <c r="M7" s="10"/>
      <c r="N7" s="10"/>
      <c r="O7" s="10"/>
      <c r="P7" s="10"/>
      <c r="Q7" s="10"/>
      <c r="R7" s="10"/>
      <c r="S7" s="10"/>
      <c r="T7" s="10"/>
      <c r="U7" s="10"/>
      <c r="V7" s="10"/>
      <c r="W7" s="10"/>
      <c r="X7" s="10"/>
      <c r="Y7" s="10"/>
      <c r="Z7" s="10"/>
      <c r="AA7" s="10"/>
      <c r="AB7" s="10"/>
      <c r="AC7" s="10"/>
      <c r="AD7" s="10"/>
      <c r="AE7" s="10"/>
      <c r="AF7" s="10"/>
      <c r="AG7" s="10"/>
      <c r="AH7" s="10"/>
      <c r="AI7" s="10"/>
      <c r="AJ7" s="9" t="s">
        <v>39</v>
      </c>
      <c r="AK7" s="6"/>
      <c r="AL7" s="6"/>
      <c r="AM7" s="6"/>
      <c r="AN7" s="6"/>
      <c r="AO7" s="6"/>
      <c r="AP7" s="6"/>
      <c r="AQ7" s="6"/>
      <c r="AR7" s="6"/>
    </row>
    <row r="8" spans="1:44" s="47" customFormat="1">
      <c r="A8" s="6"/>
      <c r="B8" s="6"/>
      <c r="C8" s="6"/>
      <c r="D8" s="6"/>
      <c r="E8" s="6" t="s">
        <v>231</v>
      </c>
      <c r="F8" s="6"/>
      <c r="G8" s="178"/>
      <c r="H8" s="178"/>
      <c r="I8" s="179">
        <f>UserInterface!$G$10</f>
        <v>42460</v>
      </c>
      <c r="J8" s="178"/>
      <c r="K8" s="177">
        <v>33328</v>
      </c>
      <c r="L8" s="177">
        <v>33694</v>
      </c>
      <c r="M8" s="177">
        <v>34059</v>
      </c>
      <c r="N8" s="177">
        <v>34424</v>
      </c>
      <c r="O8" s="177">
        <v>34789</v>
      </c>
      <c r="P8" s="177">
        <v>35155</v>
      </c>
      <c r="Q8" s="177">
        <v>35520</v>
      </c>
      <c r="R8" s="177">
        <v>35885</v>
      </c>
      <c r="S8" s="177">
        <v>36250</v>
      </c>
      <c r="T8" s="177">
        <v>36616</v>
      </c>
      <c r="U8" s="177">
        <v>36981</v>
      </c>
      <c r="V8" s="177">
        <v>37346</v>
      </c>
      <c r="W8" s="177">
        <v>37711</v>
      </c>
      <c r="X8" s="177">
        <v>38077</v>
      </c>
      <c r="Y8" s="177">
        <v>38442</v>
      </c>
      <c r="Z8" s="177">
        <v>38807</v>
      </c>
      <c r="AA8" s="177">
        <v>39172</v>
      </c>
      <c r="AB8" s="177">
        <v>39538</v>
      </c>
      <c r="AC8" s="177">
        <v>39903</v>
      </c>
      <c r="AD8" s="177">
        <v>40268</v>
      </c>
      <c r="AE8" s="177">
        <v>40633</v>
      </c>
      <c r="AF8" s="177">
        <v>40999</v>
      </c>
      <c r="AG8" s="177">
        <v>41364</v>
      </c>
      <c r="AH8" s="177">
        <v>41729</v>
      </c>
      <c r="AI8" s="177">
        <v>42094</v>
      </c>
      <c r="AJ8" s="177">
        <v>42460</v>
      </c>
      <c r="AK8" s="177">
        <v>42825</v>
      </c>
      <c r="AL8" s="177">
        <v>43190</v>
      </c>
      <c r="AM8" s="177">
        <v>43555</v>
      </c>
      <c r="AN8" s="177">
        <v>43921</v>
      </c>
      <c r="AO8" s="177">
        <v>44286</v>
      </c>
      <c r="AP8" s="177">
        <v>44651</v>
      </c>
      <c r="AQ8" s="177">
        <v>45016</v>
      </c>
      <c r="AR8" s="6"/>
    </row>
    <row r="9" spans="1:44"/>
    <row r="10" spans="1:44" ht="15" customHeight="1">
      <c r="B10" s="15" t="s">
        <v>108</v>
      </c>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row>
    <row r="11" spans="1:44" ht="15" customHeight="1"/>
    <row r="12" spans="1:44" ht="15" customHeight="1">
      <c r="C12" s="17" t="s">
        <v>288</v>
      </c>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row>
    <row r="13" spans="1:44" s="156" customFormat="1" ht="15" customHeight="1">
      <c r="C13" s="164" t="s">
        <v>619</v>
      </c>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row>
    <row r="14" spans="1:44" s="156" customFormat="1" ht="15" customHeight="1">
      <c r="C14" s="164" t="s">
        <v>377</v>
      </c>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64"/>
      <c r="AB14" s="164"/>
      <c r="AC14" s="164"/>
      <c r="AD14" s="164"/>
      <c r="AE14" s="164"/>
      <c r="AF14" s="164"/>
      <c r="AG14" s="164"/>
      <c r="AH14" s="164"/>
      <c r="AI14" s="164"/>
      <c r="AJ14" s="164"/>
      <c r="AK14" s="164"/>
      <c r="AL14" s="164"/>
      <c r="AM14" s="164"/>
      <c r="AN14" s="164"/>
      <c r="AO14" s="164"/>
      <c r="AP14" s="164"/>
      <c r="AQ14" s="164"/>
    </row>
    <row r="15" spans="1:44" s="156" customFormat="1" ht="15" customHeight="1">
      <c r="C15" s="164" t="s">
        <v>380</v>
      </c>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row>
    <row r="16" spans="1:44" s="156" customFormat="1" ht="15" customHeight="1">
      <c r="C16" s="212" t="s">
        <v>474</v>
      </c>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64"/>
      <c r="AB16" s="164"/>
      <c r="AC16" s="164"/>
      <c r="AD16" s="164"/>
      <c r="AE16" s="164"/>
      <c r="AF16" s="164"/>
      <c r="AG16" s="164"/>
      <c r="AH16" s="164"/>
      <c r="AI16" s="164"/>
      <c r="AJ16" s="164"/>
      <c r="AK16" s="164"/>
      <c r="AL16" s="164"/>
      <c r="AM16" s="164"/>
      <c r="AN16" s="164"/>
      <c r="AO16" s="164"/>
      <c r="AP16" s="164"/>
      <c r="AQ16" s="164"/>
    </row>
    <row r="17" spans="3:43" s="156" customFormat="1" ht="15" customHeight="1">
      <c r="C17" s="212" t="s">
        <v>475</v>
      </c>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4"/>
      <c r="AG17" s="164"/>
      <c r="AH17" s="164"/>
      <c r="AI17" s="164"/>
      <c r="AJ17" s="164"/>
      <c r="AK17" s="164"/>
      <c r="AL17" s="164"/>
      <c r="AM17" s="164"/>
      <c r="AN17" s="164"/>
      <c r="AO17" s="164"/>
      <c r="AP17" s="164"/>
      <c r="AQ17" s="164"/>
    </row>
    <row r="18" spans="3:43" s="156" customFormat="1" ht="15" customHeight="1">
      <c r="C18" s="212" t="s">
        <v>382</v>
      </c>
      <c r="D18" s="164"/>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row>
    <row r="19" spans="3:43" s="156" customFormat="1" ht="15" customHeight="1">
      <c r="C19" s="212" t="s">
        <v>476</v>
      </c>
      <c r="D19" s="164"/>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row>
    <row r="20" spans="3:43" s="156" customFormat="1" ht="15" customHeight="1">
      <c r="C20" s="164" t="s">
        <v>383</v>
      </c>
      <c r="D20" s="164"/>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row>
    <row r="21" spans="3:43" s="156" customFormat="1" ht="15" customHeight="1">
      <c r="I21" s="96"/>
      <c r="AK21" s="211"/>
    </row>
    <row r="22" spans="3:43" s="156" customFormat="1" ht="15" customHeight="1">
      <c r="I22" s="96"/>
    </row>
    <row r="23" spans="3:43" s="156" customFormat="1" ht="15" customHeight="1">
      <c r="I23" s="96"/>
    </row>
    <row r="24" spans="3:43" s="156" customFormat="1" ht="15" customHeight="1">
      <c r="I24" s="96"/>
    </row>
    <row r="25" spans="3:43" s="156" customFormat="1" ht="15" customHeight="1">
      <c r="I25" s="96"/>
    </row>
    <row r="26" spans="3:43" s="156" customFormat="1" ht="15" customHeight="1">
      <c r="E26" s="1" t="s">
        <v>287</v>
      </c>
    </row>
    <row r="27" spans="3:43" s="156" customFormat="1" ht="15" customHeight="1"/>
    <row r="28" spans="3:43" s="156" customFormat="1" ht="15" customHeight="1">
      <c r="I28" s="52"/>
    </row>
    <row r="29" spans="3:43" s="156" customFormat="1" ht="15" customHeight="1" thickBot="1">
      <c r="E29" s="1" t="s">
        <v>286</v>
      </c>
    </row>
    <row r="30" spans="3:43" s="156" customFormat="1" ht="15" customHeight="1">
      <c r="E30" s="199" t="s">
        <v>290</v>
      </c>
    </row>
    <row r="31" spans="3:43" s="156" customFormat="1" ht="15" customHeight="1" thickBot="1">
      <c r="E31" s="144" t="s">
        <v>477</v>
      </c>
    </row>
    <row r="32" spans="3:43" s="156" customFormat="1" ht="15" customHeight="1" thickBot="1">
      <c r="E32" s="278">
        <v>1</v>
      </c>
      <c r="I32" s="52"/>
    </row>
    <row r="33" spans="3:43" s="156" customFormat="1" ht="15" customHeight="1">
      <c r="E33" s="61" t="s">
        <v>378</v>
      </c>
      <c r="I33" s="52"/>
    </row>
    <row r="34" spans="3:43" s="156" customFormat="1" ht="15" customHeight="1">
      <c r="E34" s="176"/>
      <c r="I34" s="96"/>
    </row>
    <row r="35" spans="3:43" s="156" customFormat="1" ht="15" customHeight="1">
      <c r="E35" s="152"/>
    </row>
    <row r="36" spans="3:43" s="156" customFormat="1" ht="15" customHeight="1">
      <c r="E36" s="152"/>
      <c r="I36" s="52"/>
    </row>
    <row r="37" spans="3:43" s="156" customFormat="1" ht="15" customHeight="1">
      <c r="E37" s="152"/>
      <c r="I37" s="96"/>
    </row>
    <row r="38" spans="3:43" s="156" customFormat="1" ht="15" customHeight="1">
      <c r="E38" s="1" t="s">
        <v>299</v>
      </c>
      <c r="I38" s="96"/>
    </row>
    <row r="39" spans="3:43" s="156" customFormat="1" ht="15" customHeight="1">
      <c r="I39" s="52"/>
    </row>
    <row r="40" spans="3:43" s="156" customFormat="1" ht="15" customHeight="1">
      <c r="I40" s="96"/>
    </row>
    <row r="41" spans="3:43" s="156" customFormat="1" ht="15" customHeight="1">
      <c r="I41" s="96"/>
    </row>
    <row r="42" spans="3:43" s="156" customFormat="1" ht="15" customHeight="1">
      <c r="I42" s="52"/>
    </row>
    <row r="43" spans="3:43" s="156" customFormat="1" ht="15" customHeight="1">
      <c r="I43" s="52"/>
    </row>
    <row r="44" spans="3:43" s="44" customFormat="1">
      <c r="C44" s="17" t="s">
        <v>46</v>
      </c>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row>
    <row r="45" spans="3:43" s="156" customFormat="1"/>
    <row r="46" spans="3:43" s="156" customFormat="1">
      <c r="E46" s="156" t="s">
        <v>614</v>
      </c>
    </row>
    <row r="47" spans="3:43" s="156" customFormat="1"/>
    <row r="48" spans="3:43" s="156" customFormat="1">
      <c r="E48" s="190" t="s">
        <v>615</v>
      </c>
      <c r="G48" s="156" t="s">
        <v>657</v>
      </c>
      <c r="AJ48" s="155">
        <f>'Finance&amp;Tax'!AJ169 * Input!$AG$59 / Input!AJ$59</f>
        <v>109.23649464169235</v>
      </c>
      <c r="AK48" s="155">
        <f>'Finance&amp;Tax'!AK169 * Input!$AG$59 / Input!AK$59</f>
        <v>108.73992594626196</v>
      </c>
      <c r="AL48" s="155">
        <f>'Finance&amp;Tax'!AL169 * Input!$AG$59 / Input!AL$59</f>
        <v>104.20660465258588</v>
      </c>
      <c r="AM48" s="155">
        <f>'Finance&amp;Tax'!AM169 * Input!$AG$59 / Input!AM$59</f>
        <v>101.53004311278544</v>
      </c>
      <c r="AN48" s="155">
        <f>'Finance&amp;Tax'!AN169 * Input!$AG$59 / Input!AN$59</f>
        <v>101.18448944130009</v>
      </c>
      <c r="AO48" s="155">
        <f>'Finance&amp;Tax'!AO169 * Input!$AG$59 / Input!AO$59</f>
        <v>103.14074390621543</v>
      </c>
      <c r="AP48" s="155">
        <f>'Finance&amp;Tax'!AP169 * Input!$AG$59 / Input!AP$59</f>
        <v>103.15890943701567</v>
      </c>
      <c r="AQ48" s="155">
        <f>'Finance&amp;Tax'!AQ169 * Input!$AG$59 / Input!AQ$59</f>
        <v>104.03545289179594</v>
      </c>
    </row>
    <row r="49" spans="3:43" s="156" customFormat="1">
      <c r="E49" s="156" t="s">
        <v>82</v>
      </c>
      <c r="AJ49" s="163">
        <f>'Finance&amp;Tax'!AJ186</f>
        <v>0.2</v>
      </c>
      <c r="AK49" s="163">
        <f>'Finance&amp;Tax'!AK186</f>
        <v>0.2</v>
      </c>
      <c r="AL49" s="163">
        <f>'Finance&amp;Tax'!AL186</f>
        <v>0.2</v>
      </c>
      <c r="AM49" s="163">
        <f>'Finance&amp;Tax'!AM186</f>
        <v>0.2</v>
      </c>
      <c r="AN49" s="163">
        <f>'Finance&amp;Tax'!AN186</f>
        <v>0.2</v>
      </c>
      <c r="AO49" s="163">
        <f>'Finance&amp;Tax'!AO186</f>
        <v>0.2</v>
      </c>
      <c r="AP49" s="163">
        <f>'Finance&amp;Tax'!AP186</f>
        <v>0.2</v>
      </c>
      <c r="AQ49" s="163">
        <f>'Finance&amp;Tax'!AQ186</f>
        <v>0.2</v>
      </c>
    </row>
    <row r="50" spans="3:43" s="156" customFormat="1">
      <c r="E50" s="156" t="s">
        <v>678</v>
      </c>
      <c r="AJ50" s="374">
        <f>'Finance&amp;Tax'!AJ189</f>
        <v>1.25</v>
      </c>
      <c r="AK50" s="374">
        <f>'Finance&amp;Tax'!AK189</f>
        <v>1.25</v>
      </c>
      <c r="AL50" s="374">
        <f>'Finance&amp;Tax'!AL189</f>
        <v>1.25</v>
      </c>
      <c r="AM50" s="374">
        <f>'Finance&amp;Tax'!AM189</f>
        <v>1.25</v>
      </c>
      <c r="AN50" s="374">
        <f>'Finance&amp;Tax'!AN189</f>
        <v>1.25</v>
      </c>
      <c r="AO50" s="374">
        <f>'Finance&amp;Tax'!AO189</f>
        <v>1.25</v>
      </c>
      <c r="AP50" s="374">
        <f>'Finance&amp;Tax'!AP189</f>
        <v>1.25</v>
      </c>
      <c r="AQ50" s="374">
        <f>'Finance&amp;Tax'!AQ189</f>
        <v>1.25</v>
      </c>
    </row>
    <row r="51" spans="3:43" s="156" customFormat="1">
      <c r="E51" s="156" t="s">
        <v>616</v>
      </c>
      <c r="AJ51" s="165">
        <f>AJ49*AJ48*AJ50</f>
        <v>27.30912366042309</v>
      </c>
      <c r="AK51" s="165">
        <f t="shared" ref="AK51:AQ51" si="0">AK49*AK48*AK50</f>
        <v>27.184981486565491</v>
      </c>
      <c r="AL51" s="165">
        <f t="shared" si="0"/>
        <v>26.051651163146474</v>
      </c>
      <c r="AM51" s="165">
        <f t="shared" si="0"/>
        <v>25.382510778196359</v>
      </c>
      <c r="AN51" s="165">
        <f t="shared" si="0"/>
        <v>25.296122360325022</v>
      </c>
      <c r="AO51" s="165">
        <f t="shared" si="0"/>
        <v>25.785185976553858</v>
      </c>
      <c r="AP51" s="165">
        <f t="shared" si="0"/>
        <v>25.78972735925392</v>
      </c>
      <c r="AQ51" s="165">
        <f t="shared" si="0"/>
        <v>26.008863222948989</v>
      </c>
    </row>
    <row r="52" spans="3:43" s="156" customFormat="1"/>
    <row r="53" spans="3:43" s="156" customFormat="1">
      <c r="E53" s="156" t="s">
        <v>617</v>
      </c>
      <c r="AJ53" s="38">
        <f>AJ51</f>
        <v>27.30912366042309</v>
      </c>
      <c r="AK53" s="38">
        <f t="shared" ref="AK53:AQ53" si="1">AK51</f>
        <v>27.184981486565491</v>
      </c>
      <c r="AL53" s="38">
        <f t="shared" si="1"/>
        <v>26.051651163146474</v>
      </c>
      <c r="AM53" s="38">
        <f t="shared" si="1"/>
        <v>25.382510778196359</v>
      </c>
      <c r="AN53" s="38">
        <f t="shared" si="1"/>
        <v>25.296122360325022</v>
      </c>
      <c r="AO53" s="38">
        <f t="shared" si="1"/>
        <v>25.785185976553858</v>
      </c>
      <c r="AP53" s="38">
        <f t="shared" si="1"/>
        <v>25.78972735925392</v>
      </c>
      <c r="AQ53" s="38">
        <f t="shared" si="1"/>
        <v>26.008863222948989</v>
      </c>
    </row>
    <row r="54" spans="3:43" s="156" customFormat="1"/>
    <row r="55" spans="3:43" s="156" customFormat="1">
      <c r="I55" s="1" t="s">
        <v>289</v>
      </c>
    </row>
    <row r="56" spans="3:43">
      <c r="E56" s="11" t="s">
        <v>92</v>
      </c>
      <c r="G56" s="156" t="s">
        <v>657</v>
      </c>
      <c r="I56" s="147"/>
      <c r="AJ56" s="150">
        <f>AJ53</f>
        <v>27.30912366042309</v>
      </c>
      <c r="AK56" s="150">
        <f t="shared" ref="AK56:AQ56" si="2">AK53</f>
        <v>27.184981486565491</v>
      </c>
      <c r="AL56" s="150">
        <f t="shared" si="2"/>
        <v>26.051651163146474</v>
      </c>
      <c r="AM56" s="150">
        <f t="shared" si="2"/>
        <v>25.382510778196359</v>
      </c>
      <c r="AN56" s="150">
        <f t="shared" si="2"/>
        <v>25.296122360325022</v>
      </c>
      <c r="AO56" s="150">
        <f t="shared" si="2"/>
        <v>25.785185976553858</v>
      </c>
      <c r="AP56" s="150">
        <f t="shared" si="2"/>
        <v>25.78972735925392</v>
      </c>
      <c r="AQ56" s="150">
        <f t="shared" si="2"/>
        <v>26.008863222948989</v>
      </c>
    </row>
    <row r="57" spans="3:43">
      <c r="E57" s="156" t="s">
        <v>482</v>
      </c>
      <c r="G57" s="156" t="s">
        <v>657</v>
      </c>
      <c r="I57" s="147"/>
      <c r="AJ57" s="282">
        <f>AJ135</f>
        <v>0</v>
      </c>
      <c r="AK57" s="282">
        <f t="shared" ref="AK57:AQ57" si="3">AK135</f>
        <v>0</v>
      </c>
      <c r="AL57" s="282">
        <f t="shared" si="3"/>
        <v>0</v>
      </c>
      <c r="AM57" s="282">
        <f t="shared" si="3"/>
        <v>0</v>
      </c>
      <c r="AN57" s="282">
        <f t="shared" si="3"/>
        <v>0</v>
      </c>
      <c r="AO57" s="282">
        <f t="shared" si="3"/>
        <v>0</v>
      </c>
      <c r="AP57" s="282">
        <f t="shared" si="3"/>
        <v>0</v>
      </c>
      <c r="AQ57" s="282">
        <f t="shared" si="3"/>
        <v>0</v>
      </c>
    </row>
    <row r="58" spans="3:43">
      <c r="E58" s="156" t="s">
        <v>280</v>
      </c>
      <c r="G58" s="156" t="s">
        <v>657</v>
      </c>
      <c r="I58" s="147"/>
      <c r="AJ58" s="150">
        <f>AJ86</f>
        <v>0</v>
      </c>
      <c r="AK58" s="150">
        <f t="shared" ref="AK58:AQ58" si="4">AK86</f>
        <v>0</v>
      </c>
      <c r="AL58" s="150">
        <f t="shared" si="4"/>
        <v>0</v>
      </c>
      <c r="AM58" s="150">
        <f t="shared" si="4"/>
        <v>0</v>
      </c>
      <c r="AN58" s="150">
        <f t="shared" si="4"/>
        <v>0</v>
      </c>
      <c r="AO58" s="150">
        <f t="shared" si="4"/>
        <v>0</v>
      </c>
      <c r="AP58" s="150">
        <f t="shared" si="4"/>
        <v>0</v>
      </c>
      <c r="AQ58" s="150">
        <f t="shared" si="4"/>
        <v>0</v>
      </c>
    </row>
    <row r="59" spans="3:43" ht="15.75" thickBot="1">
      <c r="E59" s="156" t="s">
        <v>6</v>
      </c>
      <c r="G59" s="156" t="s">
        <v>657</v>
      </c>
      <c r="I59" s="151" t="str">
        <f>IF(m_tax_trigger_state = 1, "Copy cells --&gt;", "-")</f>
        <v>Copy cells --&gt;</v>
      </c>
      <c r="AJ59" s="279">
        <f t="shared" ref="AJ59:AQ59" si="5">SUM(AJ56:AJ58)</f>
        <v>27.30912366042309</v>
      </c>
      <c r="AK59" s="280">
        <f t="shared" si="5"/>
        <v>27.184981486565491</v>
      </c>
      <c r="AL59" s="280">
        <f t="shared" si="5"/>
        <v>26.051651163146474</v>
      </c>
      <c r="AM59" s="280">
        <f t="shared" si="5"/>
        <v>25.382510778196359</v>
      </c>
      <c r="AN59" s="280">
        <f t="shared" si="5"/>
        <v>25.296122360325022</v>
      </c>
      <c r="AO59" s="280">
        <f t="shared" si="5"/>
        <v>25.785185976553858</v>
      </c>
      <c r="AP59" s="280">
        <f t="shared" si="5"/>
        <v>25.78972735925392</v>
      </c>
      <c r="AQ59" s="281">
        <f t="shared" si="5"/>
        <v>26.008863222948989</v>
      </c>
    </row>
    <row r="60" spans="3:43" s="156" customFormat="1" ht="15" customHeight="1">
      <c r="G60" s="190"/>
      <c r="I60" s="52"/>
      <c r="AJ60" s="141" t="s">
        <v>379</v>
      </c>
      <c r="AK60" s="52"/>
      <c r="AL60" s="52"/>
      <c r="AM60" s="52"/>
      <c r="AN60" s="52"/>
      <c r="AO60" s="52"/>
      <c r="AP60" s="52"/>
      <c r="AQ60" s="52"/>
    </row>
    <row r="61" spans="3:43" s="156" customFormat="1" ht="15" customHeight="1">
      <c r="C61" s="17" t="s">
        <v>381</v>
      </c>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row>
    <row r="62" spans="3:43" s="156" customFormat="1">
      <c r="C62" s="164" t="s">
        <v>480</v>
      </c>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row>
    <row r="63" spans="3:43" s="156" customFormat="1" ht="15" customHeight="1">
      <c r="G63" s="190"/>
      <c r="I63" s="52"/>
      <c r="AJ63" s="52"/>
      <c r="AK63" s="52"/>
      <c r="AL63" s="52"/>
      <c r="AM63" s="52"/>
      <c r="AN63" s="52"/>
      <c r="AO63" s="52"/>
      <c r="AP63" s="52"/>
      <c r="AQ63" s="52"/>
    </row>
    <row r="64" spans="3:43" s="156" customFormat="1" ht="15" customHeight="1" thickBot="1">
      <c r="G64" s="190"/>
      <c r="I64" s="200" t="s">
        <v>289</v>
      </c>
      <c r="AJ64" s="52"/>
      <c r="AK64" s="52"/>
      <c r="AL64" s="52"/>
      <c r="AM64" s="52"/>
      <c r="AN64" s="52"/>
      <c r="AO64" s="52"/>
      <c r="AP64" s="52"/>
      <c r="AQ64" s="52"/>
    </row>
    <row r="65" spans="2:43" ht="15" customHeight="1" thickBot="1">
      <c r="E65" s="11" t="s">
        <v>93</v>
      </c>
      <c r="G65" s="190" t="s">
        <v>657</v>
      </c>
      <c r="I65" s="151" t="str">
        <f>IF( m_tax_trigger_state = 1, "Paste cells --&gt;","-")</f>
        <v>Paste cells --&gt;</v>
      </c>
      <c r="AI65" s="62" t="s">
        <v>94</v>
      </c>
      <c r="AJ65" s="250"/>
      <c r="AK65" s="251"/>
      <c r="AL65" s="251"/>
      <c r="AM65" s="251"/>
      <c r="AN65" s="251"/>
      <c r="AO65" s="251"/>
      <c r="AP65" s="251"/>
      <c r="AQ65" s="252"/>
    </row>
    <row r="66" spans="2:43" s="156" customFormat="1" ht="15" customHeight="1">
      <c r="G66" s="190"/>
      <c r="I66" s="149"/>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1" t="s">
        <v>481</v>
      </c>
      <c r="AK66" s="141"/>
      <c r="AL66" s="141"/>
      <c r="AM66" s="147"/>
      <c r="AN66" s="141"/>
      <c r="AO66" s="147"/>
      <c r="AP66" s="147"/>
      <c r="AQ66" s="147"/>
    </row>
    <row r="67" spans="2:43" s="156" customFormat="1" ht="15" customHeight="1">
      <c r="E67" s="156" t="s">
        <v>478</v>
      </c>
      <c r="G67" s="190" t="s">
        <v>657</v>
      </c>
      <c r="I67" s="151"/>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52">
        <f>AJ59</f>
        <v>27.30912366042309</v>
      </c>
      <c r="AK67" s="152">
        <f t="shared" ref="AK67:AQ67" si="6">AK59</f>
        <v>27.184981486565491</v>
      </c>
      <c r="AL67" s="152">
        <f t="shared" si="6"/>
        <v>26.051651163146474</v>
      </c>
      <c r="AM67" s="152">
        <f t="shared" si="6"/>
        <v>25.382510778196359</v>
      </c>
      <c r="AN67" s="152">
        <f t="shared" si="6"/>
        <v>25.296122360325022</v>
      </c>
      <c r="AO67" s="152">
        <f t="shared" si="6"/>
        <v>25.785185976553858</v>
      </c>
      <c r="AP67" s="152">
        <f t="shared" si="6"/>
        <v>25.78972735925392</v>
      </c>
      <c r="AQ67" s="152">
        <f t="shared" si="6"/>
        <v>26.008863222948989</v>
      </c>
    </row>
    <row r="68" spans="2:43" ht="15" customHeight="1">
      <c r="I68" s="52"/>
    </row>
    <row r="69" spans="2:43" s="156" customFormat="1" ht="15" customHeight="1">
      <c r="C69" s="158" t="s">
        <v>283</v>
      </c>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158"/>
      <c r="AB69" s="158"/>
      <c r="AC69" s="158"/>
      <c r="AD69" s="158"/>
      <c r="AE69" s="158"/>
      <c r="AF69" s="158"/>
      <c r="AG69" s="158"/>
      <c r="AH69" s="158"/>
      <c r="AI69" s="158"/>
      <c r="AJ69" s="158"/>
      <c r="AK69" s="158"/>
      <c r="AL69" s="158"/>
      <c r="AM69" s="158"/>
      <c r="AN69" s="158"/>
      <c r="AO69" s="158"/>
      <c r="AP69" s="158"/>
      <c r="AQ69" s="158"/>
    </row>
    <row r="70" spans="2:43" s="156" customFormat="1" ht="15" customHeight="1">
      <c r="C70" s="164" t="s">
        <v>376</v>
      </c>
      <c r="D70" s="16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row>
    <row r="71" spans="2:43" s="156" customFormat="1" ht="15" customHeight="1">
      <c r="I71" s="52"/>
    </row>
    <row r="72" spans="2:43" s="156" customFormat="1">
      <c r="E72" s="156" t="s">
        <v>284</v>
      </c>
      <c r="G72" s="156" t="s">
        <v>657</v>
      </c>
      <c r="AJ72" s="51">
        <f t="shared" ref="AJ72:AQ72" si="7">IF(m_tax_trigger_state=2,IF(ABS((AJ56+AJ57)-AJ65)&gt; ABS(AJ86), AJ67 - AJ65, 0),0)</f>
        <v>0</v>
      </c>
      <c r="AK72" s="51">
        <f t="shared" si="7"/>
        <v>0</v>
      </c>
      <c r="AL72" s="51">
        <f t="shared" si="7"/>
        <v>0</v>
      </c>
      <c r="AM72" s="51">
        <f t="shared" si="7"/>
        <v>0</v>
      </c>
      <c r="AN72" s="51">
        <f t="shared" si="7"/>
        <v>0</v>
      </c>
      <c r="AO72" s="51">
        <f t="shared" si="7"/>
        <v>0</v>
      </c>
      <c r="AP72" s="51">
        <f t="shared" si="7"/>
        <v>0</v>
      </c>
      <c r="AQ72" s="51">
        <f t="shared" si="7"/>
        <v>0</v>
      </c>
    </row>
    <row r="73" spans="2:43" s="156" customFormat="1"/>
    <row r="74" spans="2:43">
      <c r="B74" s="15" t="s">
        <v>281</v>
      </c>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row>
    <row r="75" spans="2:43" s="156" customFormat="1">
      <c r="B75" s="164" t="s">
        <v>374</v>
      </c>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c r="AQ75" s="164"/>
    </row>
    <row r="76" spans="2:43" s="156" customFormat="1">
      <c r="B76" s="164" t="s">
        <v>375</v>
      </c>
      <c r="C76" s="164"/>
      <c r="D76" s="164"/>
      <c r="E76" s="164"/>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64"/>
      <c r="AO76" s="164"/>
      <c r="AP76" s="164"/>
      <c r="AQ76" s="164"/>
    </row>
    <row r="77" spans="2:43"/>
    <row r="78" spans="2:43" s="156" customFormat="1">
      <c r="C78" s="17" t="s">
        <v>285</v>
      </c>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row>
    <row r="79" spans="2:43" s="156" customFormat="1"/>
    <row r="80" spans="2:43">
      <c r="E80" s="156" t="s">
        <v>282</v>
      </c>
      <c r="G80" s="11" t="s">
        <v>45</v>
      </c>
      <c r="I80" s="52"/>
      <c r="AJ80" s="149" t="b">
        <f t="shared" ref="AJ80:AQ80" si="8">IF(AND(AJ$8 &lt;= $I8, m_tax_trigger_state = 2), TRUE, FALSE)</f>
        <v>0</v>
      </c>
      <c r="AK80" s="149" t="b">
        <f t="shared" si="8"/>
        <v>0</v>
      </c>
      <c r="AL80" s="149" t="b">
        <f t="shared" si="8"/>
        <v>0</v>
      </c>
      <c r="AM80" s="149" t="b">
        <f t="shared" si="8"/>
        <v>0</v>
      </c>
      <c r="AN80" s="149" t="b">
        <f t="shared" si="8"/>
        <v>0</v>
      </c>
      <c r="AO80" s="149" t="b">
        <f t="shared" si="8"/>
        <v>0</v>
      </c>
      <c r="AP80" s="149" t="b">
        <f t="shared" si="8"/>
        <v>0</v>
      </c>
      <c r="AQ80" s="149" t="b">
        <f t="shared" si="8"/>
        <v>0</v>
      </c>
    </row>
    <row r="81" spans="3:43" s="156" customFormat="1"/>
    <row r="82" spans="3:43" ht="15" customHeight="1">
      <c r="C82" s="17" t="s">
        <v>88</v>
      </c>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row>
    <row r="83" spans="3:43" ht="15" customHeight="1"/>
    <row r="84" spans="3:43">
      <c r="E84" s="156" t="s">
        <v>91</v>
      </c>
      <c r="G84" s="156" t="s">
        <v>657</v>
      </c>
      <c r="AJ84" s="155">
        <f t="shared" ref="AJ84:AQ84" si="9">CHOOSE(m_identity,AJ139,AJ140,AJ141,AJ142,AJ143,AJ144,AJ145,AJ146,AJ147,AJ148,AJ149,AJ150,AJ151,AJ152)</f>
        <v>1.5633743969242253</v>
      </c>
      <c r="AK84" s="155">
        <f t="shared" si="9"/>
        <v>1.5686707892221732</v>
      </c>
      <c r="AL84" s="155">
        <f t="shared" si="9"/>
        <v>1.5686136050136668</v>
      </c>
      <c r="AM84" s="155">
        <f t="shared" si="9"/>
        <v>1.568584577606454</v>
      </c>
      <c r="AN84" s="155">
        <f t="shared" si="9"/>
        <v>1.5685631013176282</v>
      </c>
      <c r="AO84" s="155">
        <f t="shared" si="9"/>
        <v>1.5685713376859443</v>
      </c>
      <c r="AP84" s="155">
        <f t="shared" si="9"/>
        <v>1.5685677095013983</v>
      </c>
      <c r="AQ84" s="155">
        <f t="shared" si="9"/>
        <v>1.5685952954262763</v>
      </c>
    </row>
    <row r="85" spans="3:43">
      <c r="AJ85" s="52"/>
      <c r="AK85" s="52"/>
      <c r="AL85" s="52"/>
      <c r="AM85" s="52"/>
      <c r="AN85" s="52"/>
      <c r="AO85" s="52"/>
      <c r="AP85" s="52"/>
      <c r="AQ85" s="52"/>
    </row>
    <row r="86" spans="3:43">
      <c r="E86" s="156" t="s">
        <v>479</v>
      </c>
      <c r="G86" s="156" t="s">
        <v>657</v>
      </c>
      <c r="T86" s="12"/>
      <c r="U86" s="12"/>
      <c r="V86" s="12"/>
      <c r="W86" s="12"/>
      <c r="X86" s="12"/>
      <c r="Y86" s="12"/>
      <c r="Z86" s="12"/>
      <c r="AA86" s="12"/>
      <c r="AJ86" s="51">
        <f>IF(OR((AJ56+AJ57) = AJ65, AJ65 = ""), 0, IF(AJ65 &lt; (AJ56+AJ57), -AJ84, +AJ84))</f>
        <v>0</v>
      </c>
      <c r="AK86" s="51">
        <f t="shared" ref="AK86:AQ86" si="10">IF(OR((AK56+AK57) = AK65, AK65 = ""), 0, IF(AK65 &lt; (AK56+AK57), -AK84, +AK84))</f>
        <v>0</v>
      </c>
      <c r="AL86" s="51">
        <f t="shared" si="10"/>
        <v>0</v>
      </c>
      <c r="AM86" s="51">
        <f t="shared" si="10"/>
        <v>0</v>
      </c>
      <c r="AN86" s="51">
        <f t="shared" si="10"/>
        <v>0</v>
      </c>
      <c r="AO86" s="51">
        <f t="shared" si="10"/>
        <v>0</v>
      </c>
      <c r="AP86" s="51">
        <f t="shared" si="10"/>
        <v>0</v>
      </c>
      <c r="AQ86" s="51">
        <f t="shared" si="10"/>
        <v>0</v>
      </c>
    </row>
    <row r="87" spans="3:43" ht="15" customHeight="1"/>
    <row r="88" spans="3:43" s="44" customFormat="1" ht="15" customHeight="1">
      <c r="C88" s="366" t="s">
        <v>82</v>
      </c>
      <c r="D88" s="366"/>
      <c r="E88" s="366"/>
      <c r="F88" s="366"/>
      <c r="G88" s="366"/>
      <c r="H88" s="366"/>
      <c r="I88" s="366"/>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row>
    <row r="89" spans="3:43" s="44" customFormat="1" ht="15" customHeight="1">
      <c r="C89" s="154"/>
      <c r="D89" s="154"/>
      <c r="E89" s="155"/>
      <c r="F89" s="155"/>
      <c r="G89" s="155"/>
      <c r="H89" s="155"/>
      <c r="I89" s="155"/>
      <c r="J89" s="33"/>
      <c r="K89" s="33"/>
      <c r="L89" s="33"/>
      <c r="M89" s="33"/>
      <c r="N89" s="33"/>
      <c r="O89" s="33"/>
      <c r="P89" s="33"/>
      <c r="Q89" s="33"/>
      <c r="R89" s="33"/>
      <c r="S89" s="33"/>
      <c r="T89" s="33"/>
      <c r="U89" s="33"/>
      <c r="V89" s="33"/>
      <c r="W89" s="33"/>
      <c r="X89" s="33"/>
      <c r="AD89" s="154"/>
      <c r="AE89" s="154"/>
      <c r="AL89" s="102"/>
      <c r="AM89" s="85"/>
      <c r="AN89" s="103"/>
      <c r="AO89" s="103"/>
      <c r="AP89" s="103"/>
      <c r="AQ89" s="103"/>
    </row>
    <row r="90" spans="3:43" s="44" customFormat="1" ht="15" customHeight="1">
      <c r="C90" s="154"/>
      <c r="D90" s="154"/>
      <c r="E90" s="155" t="s">
        <v>131</v>
      </c>
      <c r="F90" s="155"/>
      <c r="G90" s="155" t="s">
        <v>59</v>
      </c>
      <c r="H90" s="155"/>
      <c r="I90" s="155"/>
      <c r="J90" s="33"/>
      <c r="K90" s="33"/>
      <c r="L90" s="33"/>
      <c r="M90" s="33"/>
      <c r="N90" s="33"/>
      <c r="O90" s="33"/>
      <c r="P90" s="33"/>
      <c r="Q90" s="33"/>
      <c r="R90" s="33"/>
      <c r="S90" s="33"/>
      <c r="T90" s="33"/>
      <c r="U90" s="33"/>
      <c r="V90" s="33"/>
      <c r="W90" s="33"/>
      <c r="X90" s="33"/>
      <c r="AD90" s="154"/>
      <c r="AE90" s="154"/>
      <c r="AI90" s="49"/>
      <c r="AJ90" s="149" t="b">
        <f t="shared" ref="AJ90:AQ90" si="11">AJ$80 = FALSE()</f>
        <v>1</v>
      </c>
      <c r="AK90" s="149" t="b">
        <f t="shared" si="11"/>
        <v>1</v>
      </c>
      <c r="AL90" s="149" t="b">
        <f t="shared" si="11"/>
        <v>1</v>
      </c>
      <c r="AM90" s="149" t="b">
        <f t="shared" si="11"/>
        <v>1</v>
      </c>
      <c r="AN90" s="149" t="b">
        <f t="shared" si="11"/>
        <v>1</v>
      </c>
      <c r="AO90" s="149" t="b">
        <f t="shared" si="11"/>
        <v>1</v>
      </c>
      <c r="AP90" s="149" t="b">
        <f t="shared" si="11"/>
        <v>1</v>
      </c>
      <c r="AQ90" s="149" t="b">
        <f t="shared" si="11"/>
        <v>1</v>
      </c>
    </row>
    <row r="91" spans="3:43" s="44" customFormat="1" ht="15" customHeight="1">
      <c r="C91" s="154"/>
      <c r="D91" s="154"/>
      <c r="E91" s="155" t="s">
        <v>130</v>
      </c>
      <c r="F91" s="155"/>
      <c r="G91" s="155" t="s">
        <v>47</v>
      </c>
      <c r="H91" s="155"/>
      <c r="I91" s="155"/>
      <c r="J91" s="92" t="s">
        <v>54</v>
      </c>
      <c r="K91" s="33"/>
      <c r="L91" s="33"/>
      <c r="M91" s="33"/>
      <c r="N91" s="33"/>
      <c r="O91" s="33"/>
      <c r="P91" s="33"/>
      <c r="Q91" s="33"/>
      <c r="R91" s="33"/>
      <c r="S91" s="33"/>
      <c r="T91" s="33"/>
      <c r="U91" s="33"/>
      <c r="V91" s="33"/>
      <c r="W91" s="33"/>
      <c r="X91" s="33"/>
      <c r="Y91" s="154"/>
      <c r="Z91" s="154"/>
      <c r="AA91" s="154"/>
      <c r="AB91" s="154"/>
      <c r="AC91" s="154"/>
      <c r="AD91" s="154"/>
      <c r="AE91" s="154"/>
      <c r="AF91" s="154"/>
      <c r="AG91" s="154"/>
      <c r="AH91" s="154"/>
      <c r="AI91" s="154"/>
      <c r="AJ91" s="41">
        <f>Input!AJ377</f>
        <v>0.2</v>
      </c>
      <c r="AK91" s="41">
        <f>Input!AK377</f>
        <v>0.2</v>
      </c>
      <c r="AL91" s="41">
        <f>Input!AL377</f>
        <v>0.2</v>
      </c>
      <c r="AM91" s="41">
        <f>Input!AM377</f>
        <v>0.2</v>
      </c>
      <c r="AN91" s="41">
        <f>Input!AN377</f>
        <v>0.2</v>
      </c>
      <c r="AO91" s="41">
        <f>Input!AO377</f>
        <v>0.2</v>
      </c>
      <c r="AP91" s="41">
        <f>Input!AP377</f>
        <v>0.2</v>
      </c>
      <c r="AQ91" s="41">
        <f>Input!AQ377</f>
        <v>0.2</v>
      </c>
    </row>
    <row r="92" spans="3:43" s="44" customFormat="1" ht="15" customHeight="1">
      <c r="C92" s="154"/>
      <c r="D92" s="154"/>
      <c r="E92" s="155"/>
      <c r="F92" s="155"/>
      <c r="G92" s="155"/>
      <c r="H92" s="155"/>
      <c r="I92" s="155"/>
      <c r="J92" s="33"/>
      <c r="K92" s="33"/>
      <c r="L92" s="33"/>
      <c r="M92" s="33"/>
      <c r="N92" s="33"/>
      <c r="O92" s="33"/>
      <c r="P92" s="33"/>
      <c r="Q92" s="33"/>
      <c r="R92" s="33"/>
      <c r="S92" s="33"/>
      <c r="T92" s="33"/>
      <c r="U92" s="33"/>
      <c r="V92" s="33"/>
      <c r="W92" s="33"/>
      <c r="X92" s="33"/>
      <c r="Y92" s="154"/>
      <c r="Z92" s="154"/>
      <c r="AA92" s="154"/>
      <c r="AB92" s="154"/>
      <c r="AC92" s="154"/>
      <c r="AD92" s="154"/>
      <c r="AE92" s="154"/>
      <c r="AF92" s="154"/>
      <c r="AG92" s="154"/>
      <c r="AH92" s="154"/>
      <c r="AI92" s="154"/>
      <c r="AJ92" s="48"/>
      <c r="AK92" s="48"/>
      <c r="AL92" s="48"/>
      <c r="AM92" s="48"/>
      <c r="AN92" s="48"/>
      <c r="AO92" s="48"/>
      <c r="AP92" s="48"/>
      <c r="AQ92" s="48"/>
    </row>
    <row r="93" spans="3:43" s="44" customFormat="1" ht="15" customHeight="1">
      <c r="C93" s="154"/>
      <c r="D93" s="154"/>
      <c r="E93" s="155" t="s">
        <v>131</v>
      </c>
      <c r="F93" s="155"/>
      <c r="G93" s="155" t="s">
        <v>59</v>
      </c>
      <c r="H93" s="155"/>
      <c r="I93" s="155"/>
      <c r="J93" s="33"/>
      <c r="K93" s="33"/>
      <c r="L93" s="33"/>
      <c r="M93" s="33"/>
      <c r="N93" s="33"/>
      <c r="O93" s="33"/>
      <c r="P93" s="33"/>
      <c r="Q93" s="33"/>
      <c r="R93" s="33"/>
      <c r="S93" s="33"/>
      <c r="T93" s="33"/>
      <c r="U93" s="33"/>
      <c r="V93" s="33"/>
      <c r="W93" s="33"/>
      <c r="X93" s="33"/>
      <c r="Y93" s="154"/>
      <c r="Z93" s="154"/>
      <c r="AA93" s="154"/>
      <c r="AB93" s="154"/>
      <c r="AC93" s="154"/>
      <c r="AD93" s="154"/>
      <c r="AE93" s="154"/>
      <c r="AF93" s="154"/>
      <c r="AG93" s="154"/>
      <c r="AH93" s="154"/>
      <c r="AI93" s="154"/>
      <c r="AJ93" s="12" t="b">
        <f t="shared" ref="AJ93:AQ93" si="12">AJ$80</f>
        <v>0</v>
      </c>
      <c r="AK93" s="149" t="b">
        <f t="shared" si="12"/>
        <v>0</v>
      </c>
      <c r="AL93" s="149" t="b">
        <f t="shared" si="12"/>
        <v>0</v>
      </c>
      <c r="AM93" s="149" t="b">
        <f t="shared" si="12"/>
        <v>0</v>
      </c>
      <c r="AN93" s="149" t="b">
        <f t="shared" si="12"/>
        <v>0</v>
      </c>
      <c r="AO93" s="149" t="b">
        <f t="shared" si="12"/>
        <v>0</v>
      </c>
      <c r="AP93" s="149" t="b">
        <f t="shared" si="12"/>
        <v>0</v>
      </c>
      <c r="AQ93" s="149" t="b">
        <f t="shared" si="12"/>
        <v>0</v>
      </c>
    </row>
    <row r="94" spans="3:43" s="44" customFormat="1" ht="15" customHeight="1">
      <c r="C94" s="154"/>
      <c r="D94" s="154"/>
      <c r="E94" s="155" t="s">
        <v>62</v>
      </c>
      <c r="F94" s="155"/>
      <c r="G94" s="155" t="s">
        <v>47</v>
      </c>
      <c r="H94" s="155"/>
      <c r="I94" s="155"/>
      <c r="J94" s="33"/>
      <c r="K94" s="33"/>
      <c r="L94" s="33"/>
      <c r="M94" s="33"/>
      <c r="N94" s="33"/>
      <c r="O94" s="33"/>
      <c r="P94" s="33"/>
      <c r="Q94" s="33"/>
      <c r="R94" s="33"/>
      <c r="S94" s="33"/>
      <c r="T94" s="33"/>
      <c r="U94" s="33"/>
      <c r="V94" s="33"/>
      <c r="W94" s="33"/>
      <c r="X94" s="33"/>
      <c r="Y94" s="154"/>
      <c r="Z94" s="154"/>
      <c r="AA94" s="154"/>
      <c r="AB94" s="154"/>
      <c r="AC94" s="154"/>
      <c r="AD94" s="154"/>
      <c r="AE94" s="154"/>
      <c r="AF94" s="154"/>
      <c r="AG94" s="154"/>
      <c r="AH94" s="154"/>
      <c r="AI94" s="154"/>
      <c r="AJ94" s="73">
        <f t="shared" ref="AJ94:AQ94" si="13">AJ91</f>
        <v>0.2</v>
      </c>
      <c r="AK94" s="73">
        <f t="shared" si="13"/>
        <v>0.2</v>
      </c>
      <c r="AL94" s="73">
        <f t="shared" si="13"/>
        <v>0.2</v>
      </c>
      <c r="AM94" s="73">
        <f t="shared" si="13"/>
        <v>0.2</v>
      </c>
      <c r="AN94" s="73">
        <f t="shared" si="13"/>
        <v>0.2</v>
      </c>
      <c r="AO94" s="73">
        <f t="shared" si="13"/>
        <v>0.2</v>
      </c>
      <c r="AP94" s="73">
        <f t="shared" si="13"/>
        <v>0.2</v>
      </c>
      <c r="AQ94" s="73">
        <f t="shared" si="13"/>
        <v>0.2</v>
      </c>
    </row>
    <row r="95" spans="3:43" s="44" customFormat="1" ht="15" customHeight="1">
      <c r="C95" s="154"/>
      <c r="D95" s="154"/>
      <c r="E95" s="155"/>
      <c r="F95" s="155"/>
      <c r="G95" s="155"/>
      <c r="H95" s="155"/>
      <c r="I95" s="155"/>
      <c r="J95" s="33"/>
      <c r="K95" s="33"/>
      <c r="L95" s="33"/>
      <c r="M95" s="33"/>
      <c r="N95" s="33"/>
      <c r="O95" s="33"/>
      <c r="P95" s="33"/>
      <c r="Q95" s="33"/>
      <c r="R95" s="33"/>
      <c r="S95" s="33"/>
      <c r="T95" s="33"/>
      <c r="U95" s="33"/>
      <c r="V95" s="33"/>
      <c r="W95" s="33"/>
      <c r="X95" s="33"/>
      <c r="Y95" s="154"/>
      <c r="Z95" s="154"/>
      <c r="AA95" s="154"/>
      <c r="AB95" s="154"/>
      <c r="AC95" s="154"/>
      <c r="AD95" s="154"/>
      <c r="AE95" s="154"/>
      <c r="AF95" s="154"/>
      <c r="AG95" s="154"/>
      <c r="AH95" s="154"/>
      <c r="AI95" s="154"/>
      <c r="AL95" s="102"/>
      <c r="AM95" s="85"/>
      <c r="AN95" s="103"/>
      <c r="AO95" s="103"/>
      <c r="AP95" s="103"/>
      <c r="AQ95" s="103"/>
    </row>
    <row r="96" spans="3:43" s="44" customFormat="1" ht="15" customHeight="1">
      <c r="C96" s="154"/>
      <c r="D96" s="154"/>
      <c r="E96" s="155" t="s">
        <v>66</v>
      </c>
      <c r="F96" s="155"/>
      <c r="G96" s="155" t="s">
        <v>47</v>
      </c>
      <c r="H96" s="155"/>
      <c r="I96" s="155"/>
      <c r="J96" s="92" t="s">
        <v>54</v>
      </c>
      <c r="K96" s="92"/>
      <c r="L96" s="92"/>
      <c r="M96" s="92"/>
      <c r="N96" s="92"/>
      <c r="O96" s="92"/>
      <c r="P96" s="92"/>
      <c r="Q96" s="92"/>
      <c r="R96" s="92"/>
      <c r="S96" s="92"/>
      <c r="T96" s="92"/>
      <c r="U96" s="92"/>
      <c r="V96" s="33"/>
      <c r="W96" s="33"/>
      <c r="X96" s="33"/>
      <c r="Y96" s="154"/>
      <c r="Z96" s="154"/>
      <c r="AA96" s="154"/>
      <c r="AB96" s="154"/>
      <c r="AC96" s="154"/>
      <c r="AD96" s="154"/>
      <c r="AE96" s="154"/>
      <c r="AF96" s="154"/>
      <c r="AG96" s="154"/>
      <c r="AH96" s="154"/>
      <c r="AI96" s="154"/>
      <c r="AJ96" s="283">
        <f>(AJ90 * AJ91) + (AJ93 * AJ94)</f>
        <v>0.2</v>
      </c>
      <c r="AK96" s="283">
        <f t="shared" ref="AK96:AQ96" si="14">(AK90 * AK91) + (AK93 * AK94)</f>
        <v>0.2</v>
      </c>
      <c r="AL96" s="283">
        <f t="shared" si="14"/>
        <v>0.2</v>
      </c>
      <c r="AM96" s="283">
        <f t="shared" si="14"/>
        <v>0.2</v>
      </c>
      <c r="AN96" s="283">
        <f t="shared" si="14"/>
        <v>0.2</v>
      </c>
      <c r="AO96" s="283">
        <f t="shared" si="14"/>
        <v>0.2</v>
      </c>
      <c r="AP96" s="283">
        <f t="shared" si="14"/>
        <v>0.2</v>
      </c>
      <c r="AQ96" s="283">
        <f t="shared" si="14"/>
        <v>0.2</v>
      </c>
    </row>
    <row r="97" spans="3:43" s="44" customFormat="1" ht="15" customHeight="1">
      <c r="C97" s="154"/>
      <c r="D97" s="154"/>
      <c r="E97" s="155"/>
      <c r="F97" s="155"/>
      <c r="G97" s="155"/>
      <c r="H97" s="155"/>
      <c r="I97" s="155"/>
      <c r="J97" s="33"/>
      <c r="K97" s="33"/>
      <c r="L97" s="33"/>
      <c r="M97" s="33"/>
      <c r="N97" s="33"/>
      <c r="O97" s="33"/>
      <c r="P97" s="33"/>
      <c r="Q97" s="33"/>
      <c r="R97" s="33"/>
      <c r="S97" s="33"/>
      <c r="T97" s="33"/>
      <c r="U97" s="33"/>
      <c r="V97" s="33"/>
      <c r="W97" s="33"/>
      <c r="X97" s="33"/>
      <c r="Y97" s="154"/>
      <c r="Z97" s="154"/>
      <c r="AA97" s="154"/>
      <c r="AB97" s="154"/>
      <c r="AC97" s="154"/>
      <c r="AD97" s="154"/>
      <c r="AE97" s="154"/>
      <c r="AF97" s="154"/>
      <c r="AG97" s="154"/>
      <c r="AH97" s="154"/>
      <c r="AI97" s="154"/>
      <c r="AL97" s="102"/>
      <c r="AM97" s="85"/>
      <c r="AN97" s="103"/>
      <c r="AO97" s="103"/>
      <c r="AP97" s="103"/>
      <c r="AQ97" s="103"/>
    </row>
    <row r="98" spans="3:43" s="44" customFormat="1" ht="15" customHeight="1">
      <c r="C98" s="366" t="s">
        <v>24</v>
      </c>
      <c r="D98" s="366"/>
      <c r="E98" s="366"/>
      <c r="F98" s="366"/>
      <c r="G98" s="366"/>
      <c r="H98" s="366"/>
      <c r="I98" s="366"/>
      <c r="J98" s="17"/>
      <c r="K98" s="17"/>
      <c r="L98" s="17"/>
      <c r="M98" s="17"/>
      <c r="N98" s="17"/>
      <c r="O98" s="17"/>
      <c r="P98" s="17"/>
      <c r="Q98" s="17"/>
      <c r="R98" s="17"/>
      <c r="S98" s="17"/>
      <c r="T98" s="17"/>
      <c r="U98" s="17"/>
      <c r="V98" s="33"/>
      <c r="W98" s="33"/>
      <c r="X98" s="33"/>
      <c r="Y98" s="154"/>
      <c r="Z98" s="154"/>
      <c r="AA98" s="154"/>
      <c r="AB98" s="154"/>
      <c r="AC98" s="154"/>
      <c r="AD98" s="154"/>
      <c r="AE98" s="154"/>
      <c r="AF98" s="154"/>
      <c r="AG98" s="154"/>
      <c r="AH98" s="154"/>
      <c r="AI98" s="154"/>
      <c r="AJ98" s="17"/>
      <c r="AK98" s="17"/>
      <c r="AL98" s="17"/>
      <c r="AM98" s="17"/>
      <c r="AN98" s="17"/>
      <c r="AO98" s="17"/>
      <c r="AP98" s="17"/>
      <c r="AQ98" s="17"/>
    </row>
    <row r="99" spans="3:43" s="44" customFormat="1" ht="15" customHeight="1">
      <c r="C99" s="154"/>
      <c r="D99" s="154"/>
      <c r="E99" s="155"/>
      <c r="F99" s="155"/>
      <c r="G99" s="155"/>
      <c r="H99" s="155"/>
      <c r="I99" s="155"/>
      <c r="J99" s="33"/>
      <c r="K99" s="33"/>
      <c r="L99" s="33"/>
      <c r="M99" s="33"/>
      <c r="N99" s="33"/>
      <c r="O99" s="33"/>
      <c r="P99" s="33"/>
      <c r="Q99" s="33"/>
      <c r="R99" s="33"/>
      <c r="S99" s="33"/>
      <c r="T99" s="33"/>
      <c r="U99" s="33"/>
      <c r="V99" s="33"/>
      <c r="W99" s="33"/>
      <c r="X99" s="33"/>
      <c r="Y99" s="154"/>
      <c r="Z99" s="154"/>
      <c r="AA99" s="154"/>
      <c r="AB99" s="154"/>
      <c r="AC99" s="154"/>
      <c r="AD99" s="154"/>
      <c r="AE99" s="154"/>
      <c r="AF99" s="154"/>
      <c r="AG99" s="154"/>
      <c r="AH99" s="154"/>
      <c r="AI99" s="154"/>
      <c r="AL99" s="102"/>
      <c r="AM99" s="85"/>
      <c r="AN99" s="103"/>
      <c r="AO99" s="103"/>
      <c r="AP99" s="103"/>
      <c r="AQ99" s="103"/>
    </row>
    <row r="100" spans="3:43" s="44" customFormat="1" ht="15" customHeight="1">
      <c r="C100" s="154"/>
      <c r="D100" s="261" t="s">
        <v>28</v>
      </c>
      <c r="E100" s="261"/>
      <c r="F100" s="261"/>
      <c r="G100" s="261"/>
      <c r="H100" s="261"/>
      <c r="I100" s="261"/>
      <c r="J100" s="36"/>
      <c r="K100" s="36"/>
      <c r="L100" s="36"/>
      <c r="M100" s="36"/>
      <c r="N100" s="36"/>
      <c r="O100" s="36"/>
      <c r="P100" s="36"/>
      <c r="Q100" s="36"/>
      <c r="R100" s="36"/>
      <c r="S100" s="36"/>
      <c r="T100" s="36"/>
      <c r="U100" s="36"/>
      <c r="V100" s="33"/>
      <c r="W100" s="33"/>
      <c r="X100" s="33"/>
      <c r="Y100" s="154"/>
      <c r="Z100" s="154"/>
      <c r="AA100" s="154"/>
      <c r="AB100" s="154"/>
      <c r="AC100" s="154"/>
      <c r="AD100" s="154"/>
      <c r="AE100" s="154"/>
      <c r="AF100" s="154"/>
      <c r="AG100" s="154"/>
      <c r="AH100" s="154"/>
      <c r="AI100" s="154"/>
      <c r="AJ100" s="36"/>
      <c r="AK100" s="36"/>
      <c r="AL100" s="36"/>
      <c r="AM100" s="36"/>
      <c r="AN100" s="36"/>
      <c r="AO100" s="36"/>
      <c r="AP100" s="36"/>
      <c r="AQ100" s="36"/>
    </row>
    <row r="101" spans="3:43" s="44" customFormat="1" ht="15" customHeight="1">
      <c r="C101" s="154"/>
      <c r="D101" s="154"/>
      <c r="E101" s="155"/>
      <c r="F101" s="155"/>
      <c r="G101" s="155"/>
      <c r="H101" s="155"/>
      <c r="I101" s="155"/>
      <c r="J101" s="33"/>
      <c r="K101" s="33"/>
      <c r="L101" s="33"/>
      <c r="M101" s="33"/>
      <c r="N101" s="33"/>
      <c r="O101" s="33"/>
      <c r="P101" s="33"/>
      <c r="Q101" s="33"/>
      <c r="R101" s="33"/>
      <c r="S101" s="33"/>
      <c r="T101" s="33"/>
      <c r="U101" s="33"/>
      <c r="V101" s="33"/>
      <c r="W101" s="33"/>
      <c r="X101" s="33"/>
      <c r="Y101" s="154"/>
      <c r="Z101" s="154"/>
      <c r="AA101" s="154"/>
      <c r="AB101" s="154"/>
      <c r="AC101" s="154"/>
      <c r="AD101" s="154"/>
      <c r="AE101" s="154"/>
      <c r="AF101" s="154"/>
      <c r="AG101" s="154"/>
      <c r="AH101" s="154"/>
      <c r="AI101" s="154"/>
      <c r="AL101" s="102"/>
      <c r="AM101" s="85"/>
      <c r="AN101" s="103"/>
      <c r="AO101" s="103"/>
      <c r="AP101" s="103"/>
      <c r="AQ101" s="103"/>
    </row>
    <row r="102" spans="3:43" s="44" customFormat="1" ht="15" customHeight="1">
      <c r="C102" s="154"/>
      <c r="D102" s="154"/>
      <c r="E102" s="155" t="s">
        <v>131</v>
      </c>
      <c r="F102" s="155"/>
      <c r="G102" s="155" t="s">
        <v>59</v>
      </c>
      <c r="H102" s="155"/>
      <c r="I102" s="155"/>
      <c r="J102" s="33"/>
      <c r="K102" s="33"/>
      <c r="L102" s="33"/>
      <c r="M102" s="33"/>
      <c r="N102" s="33"/>
      <c r="O102" s="33"/>
      <c r="P102" s="33"/>
      <c r="Q102" s="33"/>
      <c r="R102" s="33"/>
      <c r="S102" s="33"/>
      <c r="T102" s="33"/>
      <c r="U102" s="33"/>
      <c r="V102" s="33"/>
      <c r="W102" s="33"/>
      <c r="X102" s="33"/>
      <c r="Y102" s="154"/>
      <c r="Z102" s="154"/>
      <c r="AA102" s="154"/>
      <c r="AB102" s="154"/>
      <c r="AC102" s="154"/>
      <c r="AD102" s="154"/>
      <c r="AE102" s="154"/>
      <c r="AF102" s="154"/>
      <c r="AG102" s="154"/>
      <c r="AH102" s="154"/>
      <c r="AI102" s="154"/>
      <c r="AJ102" s="149" t="b">
        <f t="shared" ref="AJ102:AQ102" si="15">AJ$80 = FALSE()</f>
        <v>1</v>
      </c>
      <c r="AK102" s="149" t="b">
        <f t="shared" si="15"/>
        <v>1</v>
      </c>
      <c r="AL102" s="149" t="b">
        <f t="shared" si="15"/>
        <v>1</v>
      </c>
      <c r="AM102" s="149" t="b">
        <f t="shared" si="15"/>
        <v>1</v>
      </c>
      <c r="AN102" s="149" t="b">
        <f t="shared" si="15"/>
        <v>1</v>
      </c>
      <c r="AO102" s="149" t="b">
        <f t="shared" si="15"/>
        <v>1</v>
      </c>
      <c r="AP102" s="149" t="b">
        <f t="shared" si="15"/>
        <v>1</v>
      </c>
      <c r="AQ102" s="149" t="b">
        <f t="shared" si="15"/>
        <v>1</v>
      </c>
    </row>
    <row r="103" spans="3:43" s="44" customFormat="1" ht="15" customHeight="1">
      <c r="C103" s="154"/>
      <c r="D103" s="154"/>
      <c r="E103" s="155" t="s">
        <v>130</v>
      </c>
      <c r="F103" s="155"/>
      <c r="G103" s="155" t="s">
        <v>47</v>
      </c>
      <c r="H103" s="155"/>
      <c r="I103" s="155"/>
      <c r="J103" s="92"/>
      <c r="K103" s="33"/>
      <c r="L103" s="33"/>
      <c r="M103" s="33"/>
      <c r="N103" s="33"/>
      <c r="O103" s="33"/>
      <c r="P103" s="33"/>
      <c r="Q103" s="33"/>
      <c r="R103" s="33"/>
      <c r="S103" s="33"/>
      <c r="T103" s="33"/>
      <c r="U103" s="33"/>
      <c r="V103" s="33"/>
      <c r="W103" s="33"/>
      <c r="X103" s="33"/>
      <c r="Y103" s="154"/>
      <c r="Z103" s="154"/>
      <c r="AA103" s="154"/>
      <c r="AB103" s="154"/>
      <c r="AC103" s="154"/>
      <c r="AD103" s="154"/>
      <c r="AE103" s="154"/>
      <c r="AF103" s="154"/>
      <c r="AG103" s="154"/>
      <c r="AH103" s="154"/>
      <c r="AI103" s="154"/>
      <c r="AJ103" s="41">
        <f>Input!AJ379</f>
        <v>0.18000000000000002</v>
      </c>
      <c r="AK103" s="41">
        <f>Input!AK379</f>
        <v>0.18000000000000002</v>
      </c>
      <c r="AL103" s="41">
        <f>Input!AL379</f>
        <v>0.18000000000000002</v>
      </c>
      <c r="AM103" s="41">
        <f>Input!AM379</f>
        <v>0.18000000000000002</v>
      </c>
      <c r="AN103" s="41">
        <f>Input!AN379</f>
        <v>0.18000000000000002</v>
      </c>
      <c r="AO103" s="41">
        <f>Input!AO379</f>
        <v>0.18000000000000002</v>
      </c>
      <c r="AP103" s="41">
        <f>Input!AP379</f>
        <v>0.18000000000000002</v>
      </c>
      <c r="AQ103" s="41">
        <f>Input!AQ379</f>
        <v>0.18000000000000002</v>
      </c>
    </row>
    <row r="104" spans="3:43" s="44" customFormat="1" ht="15" customHeight="1">
      <c r="C104" s="154"/>
      <c r="D104" s="154"/>
      <c r="E104" s="155"/>
      <c r="F104" s="155"/>
      <c r="G104" s="155"/>
      <c r="H104" s="155"/>
      <c r="I104" s="155"/>
      <c r="J104" s="33"/>
      <c r="K104" s="33"/>
      <c r="L104" s="33"/>
      <c r="M104" s="33"/>
      <c r="N104" s="33"/>
      <c r="O104" s="33"/>
      <c r="P104" s="33"/>
      <c r="Q104" s="33"/>
      <c r="R104" s="33"/>
      <c r="S104" s="33"/>
      <c r="T104" s="33"/>
      <c r="U104" s="33"/>
      <c r="V104" s="33"/>
      <c r="W104" s="33"/>
      <c r="X104" s="33"/>
      <c r="Y104" s="154"/>
      <c r="Z104" s="154"/>
      <c r="AA104" s="154"/>
      <c r="AB104" s="154"/>
      <c r="AC104" s="154"/>
      <c r="AD104" s="154"/>
      <c r="AE104" s="154"/>
      <c r="AF104" s="154"/>
      <c r="AG104" s="154"/>
      <c r="AH104" s="154"/>
      <c r="AI104" s="154"/>
      <c r="AJ104" s="48"/>
      <c r="AK104" s="48"/>
      <c r="AL104" s="48"/>
      <c r="AM104" s="48"/>
      <c r="AN104" s="48"/>
      <c r="AO104" s="48"/>
      <c r="AP104" s="48"/>
      <c r="AQ104" s="48"/>
    </row>
    <row r="105" spans="3:43" s="44" customFormat="1" ht="15" customHeight="1">
      <c r="C105" s="154"/>
      <c r="D105" s="154"/>
      <c r="E105" s="155" t="s">
        <v>131</v>
      </c>
      <c r="F105" s="155"/>
      <c r="G105" s="155" t="s">
        <v>59</v>
      </c>
      <c r="H105" s="155"/>
      <c r="I105" s="155"/>
      <c r="J105" s="33"/>
      <c r="K105" s="33"/>
      <c r="L105" s="33"/>
      <c r="M105" s="33"/>
      <c r="N105" s="33"/>
      <c r="O105" s="33"/>
      <c r="P105" s="33"/>
      <c r="Q105" s="33"/>
      <c r="R105" s="33"/>
      <c r="S105" s="33"/>
      <c r="T105" s="33"/>
      <c r="U105" s="33"/>
      <c r="V105" s="33"/>
      <c r="W105" s="33"/>
      <c r="X105" s="33"/>
      <c r="Y105" s="154"/>
      <c r="Z105" s="154"/>
      <c r="AA105" s="154"/>
      <c r="AB105" s="154"/>
      <c r="AC105" s="154"/>
      <c r="AD105" s="154"/>
      <c r="AE105" s="154"/>
      <c r="AF105" s="154"/>
      <c r="AG105" s="154"/>
      <c r="AH105" s="154"/>
      <c r="AI105" s="154"/>
      <c r="AJ105" s="149" t="b">
        <f t="shared" ref="AJ105:AQ105" si="16">AJ$80</f>
        <v>0</v>
      </c>
      <c r="AK105" s="149" t="b">
        <f t="shared" si="16"/>
        <v>0</v>
      </c>
      <c r="AL105" s="149" t="b">
        <f t="shared" si="16"/>
        <v>0</v>
      </c>
      <c r="AM105" s="149" t="b">
        <f t="shared" si="16"/>
        <v>0</v>
      </c>
      <c r="AN105" s="149" t="b">
        <f t="shared" si="16"/>
        <v>0</v>
      </c>
      <c r="AO105" s="149" t="b">
        <f t="shared" si="16"/>
        <v>0</v>
      </c>
      <c r="AP105" s="149" t="b">
        <f t="shared" si="16"/>
        <v>0</v>
      </c>
      <c r="AQ105" s="149" t="b">
        <f t="shared" si="16"/>
        <v>0</v>
      </c>
    </row>
    <row r="106" spans="3:43" s="44" customFormat="1" ht="15" customHeight="1">
      <c r="C106" s="154"/>
      <c r="D106" s="154"/>
      <c r="E106" s="155" t="s">
        <v>62</v>
      </c>
      <c r="F106" s="155"/>
      <c r="G106" s="155" t="s">
        <v>47</v>
      </c>
      <c r="H106" s="155"/>
      <c r="I106" s="155"/>
      <c r="J106" s="33"/>
      <c r="K106" s="33"/>
      <c r="L106" s="33"/>
      <c r="M106" s="33"/>
      <c r="N106" s="33"/>
      <c r="O106" s="33"/>
      <c r="P106" s="33"/>
      <c r="Q106" s="33"/>
      <c r="R106" s="33"/>
      <c r="S106" s="33"/>
      <c r="T106" s="33"/>
      <c r="U106" s="33"/>
      <c r="V106" s="33"/>
      <c r="W106" s="33"/>
      <c r="X106" s="33"/>
      <c r="Y106" s="154"/>
      <c r="Z106" s="154"/>
      <c r="AA106" s="154"/>
      <c r="AB106" s="154"/>
      <c r="AC106" s="154"/>
      <c r="AD106" s="154"/>
      <c r="AE106" s="154"/>
      <c r="AF106" s="154"/>
      <c r="AG106" s="154"/>
      <c r="AH106" s="154"/>
      <c r="AI106" s="154"/>
      <c r="AJ106" s="73">
        <f>AJ103</f>
        <v>0.18000000000000002</v>
      </c>
      <c r="AK106" s="73">
        <f t="shared" ref="AK106:AQ106" si="17">AK103</f>
        <v>0.18000000000000002</v>
      </c>
      <c r="AL106" s="73">
        <f t="shared" si="17"/>
        <v>0.18000000000000002</v>
      </c>
      <c r="AM106" s="73">
        <f t="shared" si="17"/>
        <v>0.18000000000000002</v>
      </c>
      <c r="AN106" s="73">
        <f t="shared" si="17"/>
        <v>0.18000000000000002</v>
      </c>
      <c r="AO106" s="73">
        <f t="shared" si="17"/>
        <v>0.18000000000000002</v>
      </c>
      <c r="AP106" s="73">
        <f t="shared" si="17"/>
        <v>0.18000000000000002</v>
      </c>
      <c r="AQ106" s="73">
        <f t="shared" si="17"/>
        <v>0.18000000000000002</v>
      </c>
    </row>
    <row r="107" spans="3:43" s="44" customFormat="1" ht="15" customHeight="1">
      <c r="C107" s="154"/>
      <c r="D107" s="154"/>
      <c r="E107" s="155"/>
      <c r="F107" s="155"/>
      <c r="G107" s="155"/>
      <c r="H107" s="155"/>
      <c r="I107" s="155"/>
      <c r="J107" s="33"/>
      <c r="K107" s="33"/>
      <c r="L107" s="33"/>
      <c r="M107" s="33"/>
      <c r="N107" s="33"/>
      <c r="O107" s="33"/>
      <c r="P107" s="33"/>
      <c r="Q107" s="33"/>
      <c r="R107" s="33"/>
      <c r="S107" s="33"/>
      <c r="T107" s="33"/>
      <c r="U107" s="33"/>
      <c r="V107" s="33"/>
      <c r="W107" s="33"/>
      <c r="X107" s="33"/>
      <c r="Y107" s="154"/>
      <c r="Z107" s="154"/>
      <c r="AA107" s="154"/>
      <c r="AB107" s="154"/>
      <c r="AC107" s="154"/>
      <c r="AD107" s="154"/>
      <c r="AE107" s="154"/>
      <c r="AF107" s="154"/>
      <c r="AG107" s="154"/>
      <c r="AH107" s="154"/>
      <c r="AI107" s="154"/>
      <c r="AL107" s="102"/>
      <c r="AM107" s="85"/>
      <c r="AN107" s="103"/>
      <c r="AO107" s="103"/>
      <c r="AP107" s="103"/>
      <c r="AQ107" s="103"/>
    </row>
    <row r="108" spans="3:43" s="44" customFormat="1" ht="15" customHeight="1">
      <c r="C108" s="154"/>
      <c r="D108" s="154"/>
      <c r="E108" s="155" t="s">
        <v>66</v>
      </c>
      <c r="F108" s="155"/>
      <c r="G108" s="155" t="s">
        <v>47</v>
      </c>
      <c r="H108" s="155"/>
      <c r="I108" s="155"/>
      <c r="J108" s="3"/>
      <c r="K108" s="3"/>
      <c r="L108" s="3"/>
      <c r="M108" s="3"/>
      <c r="N108" s="3"/>
      <c r="O108" s="3"/>
      <c r="P108" s="3"/>
      <c r="Q108" s="3"/>
      <c r="R108" s="3"/>
      <c r="S108" s="3"/>
      <c r="T108" s="3"/>
      <c r="U108" s="3"/>
      <c r="V108" s="33"/>
      <c r="W108" s="33"/>
      <c r="X108" s="33"/>
      <c r="Y108" s="154"/>
      <c r="Z108" s="154"/>
      <c r="AA108" s="154"/>
      <c r="AB108" s="154"/>
      <c r="AC108" s="154"/>
      <c r="AD108" s="154"/>
      <c r="AE108" s="154"/>
      <c r="AF108" s="154"/>
      <c r="AG108" s="154"/>
      <c r="AH108" s="154"/>
      <c r="AI108" s="154"/>
      <c r="AJ108" s="284">
        <f t="shared" ref="AJ108:AQ108" si="18">(AJ102 * AJ103) + (AJ105 * AJ106)</f>
        <v>0.18000000000000002</v>
      </c>
      <c r="AK108" s="283">
        <f t="shared" si="18"/>
        <v>0.18000000000000002</v>
      </c>
      <c r="AL108" s="283">
        <f t="shared" si="18"/>
        <v>0.18000000000000002</v>
      </c>
      <c r="AM108" s="283">
        <f t="shared" si="18"/>
        <v>0.18000000000000002</v>
      </c>
      <c r="AN108" s="283">
        <f t="shared" si="18"/>
        <v>0.18000000000000002</v>
      </c>
      <c r="AO108" s="283">
        <f t="shared" si="18"/>
        <v>0.18000000000000002</v>
      </c>
      <c r="AP108" s="283">
        <f t="shared" si="18"/>
        <v>0.18000000000000002</v>
      </c>
      <c r="AQ108" s="283">
        <f t="shared" si="18"/>
        <v>0.18000000000000002</v>
      </c>
    </row>
    <row r="109" spans="3:43" s="44" customFormat="1" ht="15" customHeight="1">
      <c r="C109" s="154"/>
      <c r="D109" s="154"/>
      <c r="E109" s="155"/>
      <c r="F109" s="155"/>
      <c r="G109" s="155"/>
      <c r="H109" s="155"/>
      <c r="I109" s="155"/>
      <c r="J109" s="33"/>
      <c r="K109" s="33"/>
      <c r="L109" s="33"/>
      <c r="M109" s="33"/>
      <c r="N109" s="33"/>
      <c r="O109" s="33"/>
      <c r="P109" s="33"/>
      <c r="Q109" s="33"/>
      <c r="R109" s="33"/>
      <c r="S109" s="33"/>
      <c r="T109" s="33"/>
      <c r="U109" s="33"/>
      <c r="V109" s="33"/>
      <c r="W109" s="33"/>
      <c r="X109" s="33"/>
      <c r="Y109" s="154"/>
      <c r="Z109" s="154"/>
      <c r="AA109" s="154"/>
      <c r="AB109" s="154"/>
      <c r="AC109" s="154"/>
      <c r="AD109" s="154"/>
      <c r="AE109" s="154"/>
      <c r="AF109" s="154"/>
      <c r="AG109" s="154"/>
      <c r="AH109" s="154"/>
      <c r="AI109" s="154"/>
      <c r="AL109" s="102"/>
      <c r="AM109" s="85"/>
      <c r="AN109" s="103"/>
      <c r="AO109" s="103"/>
      <c r="AP109" s="103"/>
      <c r="AQ109" s="103"/>
    </row>
    <row r="110" spans="3:43" s="44" customFormat="1" ht="15" customHeight="1">
      <c r="C110" s="154"/>
      <c r="D110" s="261" t="s">
        <v>435</v>
      </c>
      <c r="E110" s="261"/>
      <c r="F110" s="261"/>
      <c r="G110" s="261"/>
      <c r="H110" s="261"/>
      <c r="I110" s="261"/>
      <c r="J110" s="36"/>
      <c r="K110" s="36"/>
      <c r="L110" s="36"/>
      <c r="M110" s="36"/>
      <c r="N110" s="36"/>
      <c r="O110" s="36"/>
      <c r="P110" s="36"/>
      <c r="Q110" s="36"/>
      <c r="R110" s="36"/>
      <c r="S110" s="36"/>
      <c r="T110" s="36"/>
      <c r="U110" s="36"/>
      <c r="V110" s="33"/>
      <c r="W110" s="33"/>
      <c r="X110" s="33"/>
      <c r="Y110" s="154"/>
      <c r="Z110" s="154"/>
      <c r="AA110" s="154"/>
      <c r="AB110" s="154"/>
      <c r="AC110" s="154"/>
      <c r="AD110" s="154"/>
      <c r="AE110" s="154"/>
      <c r="AF110" s="154"/>
      <c r="AG110" s="154"/>
      <c r="AH110" s="154"/>
      <c r="AI110" s="154"/>
      <c r="AJ110" s="36"/>
      <c r="AK110" s="36"/>
      <c r="AL110" s="36"/>
      <c r="AM110" s="36"/>
      <c r="AN110" s="36"/>
      <c r="AO110" s="36"/>
      <c r="AP110" s="36"/>
      <c r="AQ110" s="36"/>
    </row>
    <row r="111" spans="3:43" s="44" customFormat="1" ht="15" customHeight="1">
      <c r="C111" s="154"/>
      <c r="D111" s="154"/>
      <c r="E111" s="155"/>
      <c r="F111" s="155"/>
      <c r="G111" s="155"/>
      <c r="H111" s="155"/>
      <c r="I111" s="155"/>
      <c r="J111" s="33"/>
      <c r="K111" s="33"/>
      <c r="L111" s="33"/>
      <c r="M111" s="33"/>
      <c r="N111" s="33"/>
      <c r="O111" s="33"/>
      <c r="P111" s="33"/>
      <c r="Q111" s="33"/>
      <c r="R111" s="33"/>
      <c r="S111" s="33"/>
      <c r="T111" s="33"/>
      <c r="U111" s="33"/>
      <c r="V111" s="33"/>
      <c r="W111" s="33"/>
      <c r="X111" s="33"/>
      <c r="Y111" s="154"/>
      <c r="Z111" s="154"/>
      <c r="AA111" s="154"/>
      <c r="AB111" s="154"/>
      <c r="AC111" s="154"/>
      <c r="AD111" s="154"/>
      <c r="AE111" s="154"/>
      <c r="AF111" s="154"/>
      <c r="AG111" s="154"/>
      <c r="AH111" s="154"/>
      <c r="AI111" s="154"/>
      <c r="AL111" s="102"/>
      <c r="AM111" s="85"/>
      <c r="AN111" s="103"/>
      <c r="AO111" s="103"/>
      <c r="AP111" s="103"/>
      <c r="AQ111" s="103"/>
    </row>
    <row r="112" spans="3:43" s="44" customFormat="1" ht="15" customHeight="1">
      <c r="C112" s="154"/>
      <c r="D112" s="154"/>
      <c r="E112" s="155" t="s">
        <v>131</v>
      </c>
      <c r="F112" s="155"/>
      <c r="G112" s="155" t="s">
        <v>59</v>
      </c>
      <c r="H112" s="155"/>
      <c r="I112" s="155"/>
      <c r="J112" s="33"/>
      <c r="K112" s="33"/>
      <c r="L112" s="33"/>
      <c r="M112" s="33"/>
      <c r="N112" s="33"/>
      <c r="O112" s="33"/>
      <c r="P112" s="33"/>
      <c r="Q112" s="33"/>
      <c r="R112" s="33"/>
      <c r="S112" s="33"/>
      <c r="T112" s="33"/>
      <c r="U112" s="33"/>
      <c r="V112" s="33"/>
      <c r="W112" s="33"/>
      <c r="X112" s="33"/>
      <c r="Y112" s="154"/>
      <c r="Z112" s="154"/>
      <c r="AA112" s="154"/>
      <c r="AB112" s="154"/>
      <c r="AC112" s="154"/>
      <c r="AD112" s="154"/>
      <c r="AE112" s="154"/>
      <c r="AF112" s="154"/>
      <c r="AG112" s="154"/>
      <c r="AH112" s="154"/>
      <c r="AI112" s="154"/>
      <c r="AJ112" s="149" t="b">
        <f t="shared" ref="AJ112:AQ112" si="19">AJ$80 = FALSE()</f>
        <v>1</v>
      </c>
      <c r="AK112" s="149" t="b">
        <f t="shared" si="19"/>
        <v>1</v>
      </c>
      <c r="AL112" s="149" t="b">
        <f t="shared" si="19"/>
        <v>1</v>
      </c>
      <c r="AM112" s="149" t="b">
        <f t="shared" si="19"/>
        <v>1</v>
      </c>
      <c r="AN112" s="149" t="b">
        <f t="shared" si="19"/>
        <v>1</v>
      </c>
      <c r="AO112" s="149" t="b">
        <f t="shared" si="19"/>
        <v>1</v>
      </c>
      <c r="AP112" s="149" t="b">
        <f t="shared" si="19"/>
        <v>1</v>
      </c>
      <c r="AQ112" s="149" t="b">
        <f t="shared" si="19"/>
        <v>1</v>
      </c>
    </row>
    <row r="113" spans="3:43" s="44" customFormat="1" ht="15" customHeight="1">
      <c r="C113" s="154"/>
      <c r="D113" s="154"/>
      <c r="E113" s="155" t="s">
        <v>130</v>
      </c>
      <c r="F113" s="155"/>
      <c r="G113" s="155" t="s">
        <v>47</v>
      </c>
      <c r="H113" s="155"/>
      <c r="I113" s="155"/>
      <c r="J113" s="92" t="s">
        <v>54</v>
      </c>
      <c r="K113" s="33"/>
      <c r="L113" s="33"/>
      <c r="M113" s="33"/>
      <c r="N113" s="33"/>
      <c r="O113" s="33"/>
      <c r="P113" s="33"/>
      <c r="Q113" s="33"/>
      <c r="R113" s="33"/>
      <c r="S113" s="33"/>
      <c r="T113" s="33"/>
      <c r="U113" s="33"/>
      <c r="V113" s="33"/>
      <c r="W113" s="33"/>
      <c r="X113" s="33"/>
      <c r="Y113" s="154"/>
      <c r="Z113" s="154"/>
      <c r="AA113" s="154"/>
      <c r="AB113" s="154"/>
      <c r="AC113" s="154"/>
      <c r="AD113" s="154"/>
      <c r="AE113" s="154"/>
      <c r="AF113" s="154"/>
      <c r="AG113" s="154"/>
      <c r="AH113" s="154"/>
      <c r="AI113" s="154"/>
      <c r="AJ113" s="41">
        <f>Input!AJ380</f>
        <v>0.08</v>
      </c>
      <c r="AK113" s="41">
        <f>Input!AK380</f>
        <v>0.08</v>
      </c>
      <c r="AL113" s="41">
        <f>Input!AL380</f>
        <v>0.08</v>
      </c>
      <c r="AM113" s="41">
        <f>Input!AM380</f>
        <v>0.08</v>
      </c>
      <c r="AN113" s="41">
        <f>Input!AN380</f>
        <v>0.08</v>
      </c>
      <c r="AO113" s="41">
        <f>Input!AO380</f>
        <v>0.08</v>
      </c>
      <c r="AP113" s="41">
        <f>Input!AP380</f>
        <v>0.08</v>
      </c>
      <c r="AQ113" s="41">
        <f>Input!AQ380</f>
        <v>0.08</v>
      </c>
    </row>
    <row r="114" spans="3:43" s="44" customFormat="1" ht="15" customHeight="1">
      <c r="C114" s="154"/>
      <c r="D114" s="154"/>
      <c r="E114" s="155"/>
      <c r="F114" s="155"/>
      <c r="G114" s="155"/>
      <c r="H114" s="155"/>
      <c r="I114" s="155"/>
      <c r="J114" s="33"/>
      <c r="K114" s="33"/>
      <c r="L114" s="33"/>
      <c r="M114" s="33"/>
      <c r="N114" s="33"/>
      <c r="O114" s="33"/>
      <c r="P114" s="33"/>
      <c r="Q114" s="33"/>
      <c r="R114" s="33"/>
      <c r="S114" s="33"/>
      <c r="T114" s="33"/>
      <c r="U114" s="33"/>
      <c r="V114" s="33"/>
      <c r="W114" s="33"/>
      <c r="X114" s="33"/>
      <c r="Y114" s="154"/>
      <c r="Z114" s="154"/>
      <c r="AA114" s="154"/>
      <c r="AB114" s="154"/>
      <c r="AC114" s="154"/>
      <c r="AD114" s="154"/>
      <c r="AE114" s="154"/>
      <c r="AF114" s="154"/>
      <c r="AG114" s="154"/>
      <c r="AH114" s="154"/>
      <c r="AI114" s="154"/>
      <c r="AJ114" s="48"/>
      <c r="AK114" s="48"/>
      <c r="AL114" s="48"/>
      <c r="AM114" s="48"/>
      <c r="AN114" s="48"/>
      <c r="AO114" s="48"/>
      <c r="AP114" s="48"/>
      <c r="AQ114" s="48"/>
    </row>
    <row r="115" spans="3:43" s="44" customFormat="1" ht="15" customHeight="1">
      <c r="C115" s="154"/>
      <c r="D115" s="154"/>
      <c r="E115" s="155" t="s">
        <v>131</v>
      </c>
      <c r="F115" s="155"/>
      <c r="G115" s="155" t="s">
        <v>59</v>
      </c>
      <c r="H115" s="155"/>
      <c r="I115" s="155"/>
      <c r="J115" s="33"/>
      <c r="K115" s="33"/>
      <c r="L115" s="33"/>
      <c r="M115" s="33"/>
      <c r="N115" s="33"/>
      <c r="O115" s="33"/>
      <c r="P115" s="33"/>
      <c r="Q115" s="33"/>
      <c r="R115" s="33"/>
      <c r="S115" s="33"/>
      <c r="T115" s="33"/>
      <c r="U115" s="33"/>
      <c r="V115" s="33"/>
      <c r="W115" s="33"/>
      <c r="X115" s="33"/>
      <c r="Y115" s="154"/>
      <c r="Z115" s="154"/>
      <c r="AA115" s="154"/>
      <c r="AB115" s="154"/>
      <c r="AC115" s="154"/>
      <c r="AD115" s="154"/>
      <c r="AE115" s="154"/>
      <c r="AF115" s="154"/>
      <c r="AG115" s="154"/>
      <c r="AH115" s="154"/>
      <c r="AI115" s="154"/>
      <c r="AJ115" s="149" t="b">
        <f t="shared" ref="AJ115:AQ115" si="20">AJ$80</f>
        <v>0</v>
      </c>
      <c r="AK115" s="149" t="b">
        <f t="shared" si="20"/>
        <v>0</v>
      </c>
      <c r="AL115" s="149" t="b">
        <f t="shared" si="20"/>
        <v>0</v>
      </c>
      <c r="AM115" s="149" t="b">
        <f t="shared" si="20"/>
        <v>0</v>
      </c>
      <c r="AN115" s="149" t="b">
        <f t="shared" si="20"/>
        <v>0</v>
      </c>
      <c r="AO115" s="149" t="b">
        <f t="shared" si="20"/>
        <v>0</v>
      </c>
      <c r="AP115" s="149" t="b">
        <f t="shared" si="20"/>
        <v>0</v>
      </c>
      <c r="AQ115" s="149" t="b">
        <f t="shared" si="20"/>
        <v>0</v>
      </c>
    </row>
    <row r="116" spans="3:43" s="44" customFormat="1" ht="15" customHeight="1">
      <c r="C116" s="154"/>
      <c r="D116" s="154"/>
      <c r="E116" s="155" t="s">
        <v>62</v>
      </c>
      <c r="F116" s="155"/>
      <c r="G116" s="155" t="s">
        <v>47</v>
      </c>
      <c r="H116" s="155"/>
      <c r="I116" s="155"/>
      <c r="J116" s="33"/>
      <c r="K116" s="33"/>
      <c r="L116" s="33"/>
      <c r="M116" s="33"/>
      <c r="N116" s="33"/>
      <c r="O116" s="33"/>
      <c r="P116" s="33"/>
      <c r="Q116" s="33"/>
      <c r="R116" s="33"/>
      <c r="S116" s="33"/>
      <c r="T116" s="33"/>
      <c r="U116" s="33"/>
      <c r="V116" s="33"/>
      <c r="W116" s="33"/>
      <c r="X116" s="33"/>
      <c r="Y116" s="154"/>
      <c r="Z116" s="154"/>
      <c r="AA116" s="154"/>
      <c r="AB116" s="154"/>
      <c r="AC116" s="154"/>
      <c r="AD116" s="154"/>
      <c r="AE116" s="154"/>
      <c r="AF116" s="154"/>
      <c r="AG116" s="154"/>
      <c r="AH116" s="154"/>
      <c r="AI116" s="154"/>
      <c r="AJ116" s="73">
        <f>AJ113</f>
        <v>0.08</v>
      </c>
      <c r="AK116" s="73">
        <f t="shared" ref="AK116:AQ116" si="21">AK113</f>
        <v>0.08</v>
      </c>
      <c r="AL116" s="73">
        <f t="shared" si="21"/>
        <v>0.08</v>
      </c>
      <c r="AM116" s="73">
        <f t="shared" si="21"/>
        <v>0.08</v>
      </c>
      <c r="AN116" s="73">
        <f t="shared" si="21"/>
        <v>0.08</v>
      </c>
      <c r="AO116" s="73">
        <f t="shared" si="21"/>
        <v>0.08</v>
      </c>
      <c r="AP116" s="73">
        <f t="shared" si="21"/>
        <v>0.08</v>
      </c>
      <c r="AQ116" s="73">
        <f t="shared" si="21"/>
        <v>0.08</v>
      </c>
    </row>
    <row r="117" spans="3:43" s="44" customFormat="1" ht="15" customHeight="1">
      <c r="C117" s="154"/>
      <c r="D117" s="154"/>
      <c r="E117" s="155"/>
      <c r="F117" s="155"/>
      <c r="G117" s="155"/>
      <c r="H117" s="155"/>
      <c r="I117" s="155"/>
      <c r="J117" s="33"/>
      <c r="K117" s="33"/>
      <c r="L117" s="33"/>
      <c r="M117" s="33"/>
      <c r="N117" s="33"/>
      <c r="O117" s="33"/>
      <c r="P117" s="33"/>
      <c r="Q117" s="33"/>
      <c r="R117" s="33"/>
      <c r="S117" s="33"/>
      <c r="T117" s="33"/>
      <c r="U117" s="33"/>
      <c r="V117" s="33"/>
      <c r="W117" s="33"/>
      <c r="X117" s="33"/>
      <c r="Y117" s="154"/>
      <c r="Z117" s="154"/>
      <c r="AA117" s="154"/>
      <c r="AB117" s="154"/>
      <c r="AC117" s="154"/>
      <c r="AD117" s="154"/>
      <c r="AE117" s="154"/>
      <c r="AF117" s="154"/>
      <c r="AG117" s="154"/>
      <c r="AH117" s="154"/>
      <c r="AI117" s="154"/>
      <c r="AL117" s="102"/>
      <c r="AM117" s="85"/>
      <c r="AN117" s="103"/>
      <c r="AO117" s="103"/>
      <c r="AP117" s="103"/>
      <c r="AQ117" s="103"/>
    </row>
    <row r="118" spans="3:43" s="44" customFormat="1" ht="15" customHeight="1">
      <c r="C118" s="154"/>
      <c r="D118" s="154"/>
      <c r="E118" s="155" t="s">
        <v>66</v>
      </c>
      <c r="F118" s="155"/>
      <c r="G118" s="155" t="s">
        <v>47</v>
      </c>
      <c r="H118" s="155"/>
      <c r="I118" s="155"/>
      <c r="J118" s="92" t="s">
        <v>54</v>
      </c>
      <c r="K118" s="45"/>
      <c r="L118" s="45"/>
      <c r="M118" s="45"/>
      <c r="N118" s="45"/>
      <c r="O118" s="45"/>
      <c r="P118" s="45"/>
      <c r="Q118" s="45"/>
      <c r="R118" s="45"/>
      <c r="S118" s="45"/>
      <c r="T118" s="45"/>
      <c r="U118" s="45"/>
      <c r="V118" s="33"/>
      <c r="W118" s="33"/>
      <c r="X118" s="33"/>
      <c r="Y118" s="154"/>
      <c r="Z118" s="154"/>
      <c r="AA118" s="154"/>
      <c r="AB118" s="154"/>
      <c r="AC118" s="154"/>
      <c r="AD118" s="154"/>
      <c r="AE118" s="154"/>
      <c r="AF118" s="154"/>
      <c r="AG118" s="154"/>
      <c r="AH118" s="154"/>
      <c r="AI118" s="154"/>
      <c r="AJ118" s="283">
        <f t="shared" ref="AJ118:AQ118" si="22">(AJ112 * AJ113) + (AJ115 * AJ116)</f>
        <v>0.08</v>
      </c>
      <c r="AK118" s="283">
        <f t="shared" si="22"/>
        <v>0.08</v>
      </c>
      <c r="AL118" s="283">
        <f t="shared" si="22"/>
        <v>0.08</v>
      </c>
      <c r="AM118" s="283">
        <f t="shared" si="22"/>
        <v>0.08</v>
      </c>
      <c r="AN118" s="283">
        <f t="shared" si="22"/>
        <v>0.08</v>
      </c>
      <c r="AO118" s="283">
        <f t="shared" si="22"/>
        <v>0.08</v>
      </c>
      <c r="AP118" s="283">
        <f t="shared" si="22"/>
        <v>0.08</v>
      </c>
      <c r="AQ118" s="283">
        <f t="shared" si="22"/>
        <v>0.08</v>
      </c>
    </row>
    <row r="119" spans="3:43" s="44" customFormat="1" ht="15" customHeight="1">
      <c r="C119" s="154"/>
      <c r="D119" s="154"/>
      <c r="E119" s="155"/>
      <c r="F119" s="155"/>
      <c r="G119" s="155"/>
      <c r="H119" s="155"/>
      <c r="I119" s="155"/>
      <c r="J119" s="33"/>
      <c r="K119" s="33"/>
      <c r="L119" s="33"/>
      <c r="M119" s="33"/>
      <c r="N119" s="33"/>
      <c r="O119" s="33"/>
      <c r="P119" s="33"/>
      <c r="Q119" s="33"/>
      <c r="R119" s="33"/>
      <c r="S119" s="33"/>
      <c r="T119" s="33"/>
      <c r="U119" s="33"/>
      <c r="V119" s="33"/>
      <c r="W119" s="33"/>
      <c r="X119" s="33"/>
      <c r="Y119" s="154"/>
      <c r="Z119" s="154"/>
      <c r="AA119" s="154"/>
      <c r="AB119" s="154"/>
      <c r="AC119" s="154"/>
      <c r="AD119" s="154"/>
      <c r="AE119" s="154"/>
      <c r="AF119" s="154"/>
      <c r="AG119" s="154"/>
      <c r="AH119" s="154"/>
      <c r="AI119" s="154"/>
      <c r="AL119" s="102"/>
      <c r="AM119" s="85"/>
      <c r="AN119" s="103"/>
      <c r="AO119" s="103"/>
      <c r="AP119" s="103"/>
      <c r="AQ119" s="103"/>
    </row>
    <row r="120" spans="3:43" s="44" customFormat="1" ht="15" customHeight="1">
      <c r="C120" s="154"/>
      <c r="D120" s="261" t="s">
        <v>132</v>
      </c>
      <c r="E120" s="261"/>
      <c r="F120" s="261"/>
      <c r="G120" s="261"/>
      <c r="H120" s="261"/>
      <c r="I120" s="261"/>
      <c r="J120" s="36"/>
      <c r="K120" s="36"/>
      <c r="L120" s="36"/>
      <c r="M120" s="36"/>
      <c r="N120" s="36"/>
      <c r="O120" s="36"/>
      <c r="P120" s="36"/>
      <c r="Q120" s="36"/>
      <c r="R120" s="36"/>
      <c r="S120" s="36"/>
      <c r="T120" s="36"/>
      <c r="U120" s="36"/>
      <c r="V120" s="33"/>
      <c r="W120" s="33"/>
      <c r="X120" s="33"/>
      <c r="Y120" s="154"/>
      <c r="Z120" s="154"/>
      <c r="AA120" s="154"/>
      <c r="AB120" s="154"/>
      <c r="AC120" s="154"/>
      <c r="AD120" s="154"/>
      <c r="AE120" s="154"/>
      <c r="AF120" s="154"/>
      <c r="AG120" s="154"/>
      <c r="AH120" s="154"/>
      <c r="AI120" s="154"/>
      <c r="AJ120" s="36"/>
      <c r="AK120" s="36"/>
      <c r="AL120" s="36"/>
      <c r="AM120" s="36"/>
      <c r="AN120" s="36"/>
      <c r="AO120" s="36"/>
      <c r="AP120" s="36"/>
      <c r="AQ120" s="36"/>
    </row>
    <row r="121" spans="3:43" s="44" customFormat="1" ht="15" customHeight="1">
      <c r="C121" s="154"/>
      <c r="D121" s="154"/>
      <c r="E121" s="155"/>
      <c r="F121" s="155"/>
      <c r="G121" s="155"/>
      <c r="H121" s="155"/>
      <c r="I121" s="155"/>
      <c r="J121" s="33"/>
      <c r="K121" s="33"/>
      <c r="L121" s="33"/>
      <c r="M121" s="33"/>
      <c r="N121" s="33"/>
      <c r="O121" s="33"/>
      <c r="P121" s="33"/>
      <c r="Q121" s="33"/>
      <c r="R121" s="33"/>
      <c r="S121" s="33"/>
      <c r="T121" s="33"/>
      <c r="U121" s="33"/>
      <c r="V121" s="33"/>
      <c r="W121" s="33"/>
      <c r="X121" s="33"/>
      <c r="Y121" s="154"/>
      <c r="Z121" s="154"/>
      <c r="AA121" s="154"/>
      <c r="AB121" s="154"/>
      <c r="AC121" s="154"/>
      <c r="AD121" s="154"/>
      <c r="AE121" s="154"/>
      <c r="AF121" s="154"/>
      <c r="AG121" s="154"/>
      <c r="AH121" s="154"/>
      <c r="AI121" s="154"/>
      <c r="AL121" s="102"/>
      <c r="AM121" s="85"/>
      <c r="AN121" s="103"/>
      <c r="AO121" s="103"/>
      <c r="AP121" s="103"/>
      <c r="AQ121" s="103"/>
    </row>
    <row r="122" spans="3:43" s="44" customFormat="1" ht="15" customHeight="1">
      <c r="C122" s="154"/>
      <c r="D122" s="154"/>
      <c r="E122" s="155" t="s">
        <v>131</v>
      </c>
      <c r="F122" s="155"/>
      <c r="G122" s="155" t="s">
        <v>59</v>
      </c>
      <c r="H122" s="155"/>
      <c r="I122" s="155"/>
      <c r="J122" s="33"/>
      <c r="K122" s="33"/>
      <c r="L122" s="33"/>
      <c r="M122" s="33"/>
      <c r="N122" s="33"/>
      <c r="O122" s="33"/>
      <c r="P122" s="33"/>
      <c r="Q122" s="33"/>
      <c r="R122" s="33"/>
      <c r="S122" s="33"/>
      <c r="T122" s="33"/>
      <c r="U122" s="33"/>
      <c r="V122" s="33"/>
      <c r="W122" s="33"/>
      <c r="X122" s="33"/>
      <c r="Y122" s="154"/>
      <c r="Z122" s="154"/>
      <c r="AA122" s="154"/>
      <c r="AB122" s="154"/>
      <c r="AC122" s="154"/>
      <c r="AD122" s="154"/>
      <c r="AE122" s="154"/>
      <c r="AF122" s="154"/>
      <c r="AG122" s="154"/>
      <c r="AH122" s="154"/>
      <c r="AI122" s="154"/>
      <c r="AJ122" s="149" t="b">
        <f t="shared" ref="AJ122:AQ122" si="23">AJ$80 = FALSE()</f>
        <v>1</v>
      </c>
      <c r="AK122" s="149" t="b">
        <f t="shared" si="23"/>
        <v>1</v>
      </c>
      <c r="AL122" s="149" t="b">
        <f t="shared" si="23"/>
        <v>1</v>
      </c>
      <c r="AM122" s="149" t="b">
        <f t="shared" si="23"/>
        <v>1</v>
      </c>
      <c r="AN122" s="149" t="b">
        <f t="shared" si="23"/>
        <v>1</v>
      </c>
      <c r="AO122" s="149" t="b">
        <f t="shared" si="23"/>
        <v>1</v>
      </c>
      <c r="AP122" s="149" t="b">
        <f t="shared" si="23"/>
        <v>1</v>
      </c>
      <c r="AQ122" s="149" t="b">
        <f t="shared" si="23"/>
        <v>1</v>
      </c>
    </row>
    <row r="123" spans="3:43" s="44" customFormat="1" ht="15" customHeight="1">
      <c r="C123" s="154"/>
      <c r="D123" s="154"/>
      <c r="E123" s="155" t="s">
        <v>130</v>
      </c>
      <c r="F123" s="155"/>
      <c r="G123" s="155" t="s">
        <v>47</v>
      </c>
      <c r="H123" s="155"/>
      <c r="I123" s="155"/>
      <c r="J123" s="175" t="s">
        <v>54</v>
      </c>
      <c r="K123" s="33"/>
      <c r="L123" s="33"/>
      <c r="M123" s="33"/>
      <c r="N123" s="33"/>
      <c r="O123" s="33"/>
      <c r="P123" s="33"/>
      <c r="Q123" s="33"/>
      <c r="R123" s="33"/>
      <c r="S123" s="33"/>
      <c r="T123" s="33"/>
      <c r="U123" s="33"/>
      <c r="V123" s="33"/>
      <c r="W123" s="33"/>
      <c r="X123" s="33"/>
      <c r="Y123" s="154"/>
      <c r="Z123" s="154"/>
      <c r="AA123" s="154"/>
      <c r="AB123" s="154"/>
      <c r="AC123" s="154"/>
      <c r="AD123" s="154"/>
      <c r="AE123" s="154"/>
      <c r="AF123" s="154"/>
      <c r="AG123" s="154"/>
      <c r="AH123" s="154"/>
      <c r="AI123" s="154"/>
      <c r="AJ123" s="41">
        <f>Input!AJ381</f>
        <v>2.2200000000000001E-2</v>
      </c>
      <c r="AK123" s="41">
        <f>Input!AK381</f>
        <v>2.2200000000000001E-2</v>
      </c>
      <c r="AL123" s="41">
        <f>Input!AL381</f>
        <v>2.2200000000000001E-2</v>
      </c>
      <c r="AM123" s="41">
        <f>Input!AM381</f>
        <v>2.2200000000000001E-2</v>
      </c>
      <c r="AN123" s="41">
        <f>Input!AN381</f>
        <v>2.2200000000000001E-2</v>
      </c>
      <c r="AO123" s="41">
        <f>Input!AO381</f>
        <v>2.2200000000000001E-2</v>
      </c>
      <c r="AP123" s="41">
        <f>Input!AP381</f>
        <v>2.2200000000000001E-2</v>
      </c>
      <c r="AQ123" s="41">
        <f>Input!AQ381</f>
        <v>2.2200000000000001E-2</v>
      </c>
    </row>
    <row r="124" spans="3:43" s="44" customFormat="1" ht="15" customHeight="1">
      <c r="C124" s="154"/>
      <c r="D124" s="154"/>
      <c r="E124" s="155"/>
      <c r="F124" s="155"/>
      <c r="G124" s="155"/>
      <c r="H124" s="155"/>
      <c r="I124" s="155"/>
      <c r="J124" s="33"/>
      <c r="K124" s="33"/>
      <c r="L124" s="33"/>
      <c r="M124" s="33"/>
      <c r="N124" s="33"/>
      <c r="O124" s="33"/>
      <c r="P124" s="33"/>
      <c r="Q124" s="33"/>
      <c r="R124" s="33"/>
      <c r="S124" s="33"/>
      <c r="T124" s="33"/>
      <c r="U124" s="33"/>
      <c r="V124" s="33"/>
      <c r="W124" s="33"/>
      <c r="X124" s="33"/>
      <c r="Y124" s="154"/>
      <c r="Z124" s="154"/>
      <c r="AA124" s="154"/>
      <c r="AB124" s="154"/>
      <c r="AC124" s="154"/>
      <c r="AD124" s="154"/>
      <c r="AE124" s="154"/>
      <c r="AF124" s="154"/>
      <c r="AG124" s="154"/>
      <c r="AH124" s="154"/>
      <c r="AI124" s="154"/>
      <c r="AJ124" s="48"/>
      <c r="AK124" s="48"/>
      <c r="AL124" s="48"/>
      <c r="AM124" s="48"/>
      <c r="AN124" s="48"/>
      <c r="AO124" s="48"/>
      <c r="AP124" s="48"/>
      <c r="AQ124" s="48"/>
    </row>
    <row r="125" spans="3:43" s="44" customFormat="1" ht="15" customHeight="1">
      <c r="C125" s="154"/>
      <c r="D125" s="154"/>
      <c r="E125" s="155" t="s">
        <v>131</v>
      </c>
      <c r="F125" s="155"/>
      <c r="G125" s="155" t="s">
        <v>59</v>
      </c>
      <c r="H125" s="155"/>
      <c r="I125" s="155"/>
      <c r="J125" s="33"/>
      <c r="K125" s="33"/>
      <c r="L125" s="33"/>
      <c r="M125" s="33"/>
      <c r="N125" s="33"/>
      <c r="O125" s="33"/>
      <c r="P125" s="33"/>
      <c r="Q125" s="33"/>
      <c r="R125" s="33"/>
      <c r="S125" s="33"/>
      <c r="T125" s="33"/>
      <c r="U125" s="33"/>
      <c r="V125" s="33"/>
      <c r="W125" s="33"/>
      <c r="X125" s="33"/>
      <c r="Y125" s="154"/>
      <c r="Z125" s="154"/>
      <c r="AA125" s="154"/>
      <c r="AB125" s="154"/>
      <c r="AC125" s="154"/>
      <c r="AD125" s="154"/>
      <c r="AE125" s="154"/>
      <c r="AF125" s="154"/>
      <c r="AG125" s="154"/>
      <c r="AH125" s="154"/>
      <c r="AI125" s="154"/>
      <c r="AJ125" s="149" t="b">
        <f t="shared" ref="AJ125:AQ125" si="24">AJ$80</f>
        <v>0</v>
      </c>
      <c r="AK125" s="149" t="b">
        <f t="shared" si="24"/>
        <v>0</v>
      </c>
      <c r="AL125" s="149" t="b">
        <f t="shared" si="24"/>
        <v>0</v>
      </c>
      <c r="AM125" s="149" t="b">
        <f t="shared" si="24"/>
        <v>0</v>
      </c>
      <c r="AN125" s="149" t="b">
        <f t="shared" si="24"/>
        <v>0</v>
      </c>
      <c r="AO125" s="149" t="b">
        <f t="shared" si="24"/>
        <v>0</v>
      </c>
      <c r="AP125" s="149" t="b">
        <f t="shared" si="24"/>
        <v>0</v>
      </c>
      <c r="AQ125" s="149" t="b">
        <f t="shared" si="24"/>
        <v>0</v>
      </c>
    </row>
    <row r="126" spans="3:43" s="44" customFormat="1" ht="15" customHeight="1">
      <c r="C126" s="154"/>
      <c r="D126" s="154"/>
      <c r="E126" s="155" t="s">
        <v>62</v>
      </c>
      <c r="F126" s="155"/>
      <c r="G126" s="155" t="s">
        <v>47</v>
      </c>
      <c r="H126" s="155"/>
      <c r="I126" s="155"/>
      <c r="J126" s="33"/>
      <c r="K126" s="33"/>
      <c r="L126" s="33"/>
      <c r="M126" s="33"/>
      <c r="N126" s="33"/>
      <c r="O126" s="33"/>
      <c r="P126" s="33"/>
      <c r="Q126" s="33"/>
      <c r="R126" s="33"/>
      <c r="S126" s="33"/>
      <c r="T126" s="33"/>
      <c r="U126" s="33"/>
      <c r="V126" s="33"/>
      <c r="W126" s="33"/>
      <c r="X126" s="33"/>
      <c r="Y126" s="154"/>
      <c r="Z126" s="154"/>
      <c r="AA126" s="154"/>
      <c r="AB126" s="154"/>
      <c r="AC126" s="154"/>
      <c r="AD126" s="154"/>
      <c r="AE126" s="154"/>
      <c r="AF126" s="154"/>
      <c r="AG126" s="154"/>
      <c r="AH126" s="154"/>
      <c r="AI126" s="154"/>
      <c r="AJ126" s="73">
        <f>AJ123</f>
        <v>2.2200000000000001E-2</v>
      </c>
      <c r="AK126" s="73">
        <f t="shared" ref="AK126:AQ126" si="25">AK123</f>
        <v>2.2200000000000001E-2</v>
      </c>
      <c r="AL126" s="73">
        <f t="shared" si="25"/>
        <v>2.2200000000000001E-2</v>
      </c>
      <c r="AM126" s="73">
        <f t="shared" si="25"/>
        <v>2.2200000000000001E-2</v>
      </c>
      <c r="AN126" s="73">
        <f t="shared" si="25"/>
        <v>2.2200000000000001E-2</v>
      </c>
      <c r="AO126" s="73">
        <f t="shared" si="25"/>
        <v>2.2200000000000001E-2</v>
      </c>
      <c r="AP126" s="73">
        <f t="shared" si="25"/>
        <v>2.2200000000000001E-2</v>
      </c>
      <c r="AQ126" s="73">
        <f t="shared" si="25"/>
        <v>2.2200000000000001E-2</v>
      </c>
    </row>
    <row r="127" spans="3:43" s="44" customFormat="1" ht="15" customHeight="1">
      <c r="C127" s="154"/>
      <c r="D127" s="154"/>
      <c r="E127" s="155"/>
      <c r="F127" s="155"/>
      <c r="G127" s="155"/>
      <c r="H127" s="155"/>
      <c r="I127" s="155"/>
      <c r="J127" s="33"/>
      <c r="K127" s="33"/>
      <c r="L127" s="33"/>
      <c r="M127" s="33"/>
      <c r="N127" s="33"/>
      <c r="O127" s="33"/>
      <c r="P127" s="33"/>
      <c r="Q127" s="33"/>
      <c r="R127" s="33"/>
      <c r="S127" s="33"/>
      <c r="T127" s="33"/>
      <c r="U127" s="33"/>
      <c r="V127" s="33"/>
      <c r="W127" s="33"/>
      <c r="X127" s="33"/>
      <c r="Y127" s="154"/>
      <c r="Z127" s="154"/>
      <c r="AA127" s="154"/>
      <c r="AB127" s="154"/>
      <c r="AC127" s="154"/>
      <c r="AD127" s="154"/>
      <c r="AE127" s="154"/>
      <c r="AF127" s="154"/>
      <c r="AG127" s="154"/>
      <c r="AH127" s="154"/>
      <c r="AI127" s="154"/>
      <c r="AL127" s="102"/>
      <c r="AM127" s="85"/>
      <c r="AN127" s="103"/>
      <c r="AO127" s="103"/>
      <c r="AP127" s="103"/>
      <c r="AQ127" s="103"/>
    </row>
    <row r="128" spans="3:43" s="44" customFormat="1" ht="15" customHeight="1">
      <c r="C128" s="154"/>
      <c r="D128" s="154"/>
      <c r="E128" s="155" t="s">
        <v>66</v>
      </c>
      <c r="F128" s="155"/>
      <c r="G128" s="155" t="s">
        <v>47</v>
      </c>
      <c r="H128" s="155"/>
      <c r="I128" s="155"/>
      <c r="J128" s="155" t="s">
        <v>54</v>
      </c>
      <c r="K128" s="3"/>
      <c r="L128" s="3"/>
      <c r="M128" s="3"/>
      <c r="N128" s="3"/>
      <c r="O128" s="3"/>
      <c r="P128" s="3"/>
      <c r="Q128" s="3"/>
      <c r="R128" s="3"/>
      <c r="S128" s="3"/>
      <c r="T128" s="3"/>
      <c r="U128" s="3"/>
      <c r="V128" s="33"/>
      <c r="W128" s="33"/>
      <c r="X128" s="33"/>
      <c r="Y128" s="154"/>
      <c r="Z128" s="154"/>
      <c r="AA128" s="154"/>
      <c r="AB128" s="154"/>
      <c r="AC128" s="154"/>
      <c r="AD128" s="154"/>
      <c r="AE128" s="154"/>
      <c r="AF128" s="154"/>
      <c r="AG128" s="154"/>
      <c r="AH128" s="154"/>
      <c r="AI128" s="154"/>
      <c r="AJ128" s="284">
        <f t="shared" ref="AJ128:AQ128" si="26">(AJ122 * AJ123) + (AJ125 * AJ126)</f>
        <v>2.2200000000000001E-2</v>
      </c>
      <c r="AK128" s="283">
        <f t="shared" si="26"/>
        <v>2.2200000000000001E-2</v>
      </c>
      <c r="AL128" s="283">
        <f t="shared" si="26"/>
        <v>2.2200000000000001E-2</v>
      </c>
      <c r="AM128" s="283">
        <f t="shared" si="26"/>
        <v>2.2200000000000001E-2</v>
      </c>
      <c r="AN128" s="283">
        <f t="shared" si="26"/>
        <v>2.2200000000000001E-2</v>
      </c>
      <c r="AO128" s="283">
        <f t="shared" si="26"/>
        <v>2.2200000000000001E-2</v>
      </c>
      <c r="AP128" s="283">
        <f t="shared" si="26"/>
        <v>2.2200000000000001E-2</v>
      </c>
      <c r="AQ128" s="283">
        <f t="shared" si="26"/>
        <v>2.2200000000000001E-2</v>
      </c>
    </row>
    <row r="129" spans="2:44" s="44" customFormat="1" ht="15" customHeight="1">
      <c r="E129" s="3"/>
      <c r="F129" s="3"/>
      <c r="G129" s="3"/>
      <c r="H129" s="3"/>
      <c r="I129" s="3"/>
      <c r="J129" s="33"/>
      <c r="K129" s="33"/>
      <c r="L129" s="33"/>
      <c r="M129" s="33"/>
      <c r="N129" s="33"/>
      <c r="O129" s="33"/>
      <c r="P129" s="33"/>
      <c r="Q129" s="33"/>
      <c r="R129" s="33"/>
      <c r="S129" s="33"/>
      <c r="T129" s="33"/>
      <c r="U129" s="33"/>
      <c r="V129" s="33"/>
      <c r="W129" s="33"/>
      <c r="X129" s="33"/>
      <c r="AD129" s="154"/>
      <c r="AE129" s="154"/>
      <c r="AL129" s="102"/>
      <c r="AM129" s="85"/>
      <c r="AN129" s="103"/>
      <c r="AO129" s="103"/>
      <c r="AP129" s="103"/>
      <c r="AQ129" s="103"/>
    </row>
    <row r="130" spans="2:44" s="44" customFormat="1" ht="15" customHeight="1">
      <c r="C130" s="17" t="s">
        <v>482</v>
      </c>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row>
    <row r="131" spans="2:44" s="44" customFormat="1" ht="15" customHeight="1">
      <c r="E131" s="3"/>
      <c r="F131" s="3"/>
      <c r="G131" s="3"/>
      <c r="H131" s="3"/>
      <c r="I131" s="3"/>
      <c r="J131" s="33"/>
      <c r="K131" s="33"/>
      <c r="L131" s="33"/>
      <c r="M131" s="33"/>
      <c r="N131" s="33"/>
      <c r="O131" s="33"/>
      <c r="P131" s="33"/>
      <c r="Q131" s="33"/>
      <c r="R131" s="33"/>
      <c r="S131" s="33"/>
      <c r="T131" s="33"/>
      <c r="U131" s="33"/>
      <c r="V131" s="33"/>
      <c r="W131" s="33"/>
      <c r="X131" s="33"/>
      <c r="AD131" s="154"/>
      <c r="AE131" s="154"/>
      <c r="AL131" s="102"/>
      <c r="AM131" s="85"/>
      <c r="AN131" s="103"/>
      <c r="AO131" s="103"/>
      <c r="AP131" s="103"/>
      <c r="AQ131" s="103"/>
    </row>
    <row r="132" spans="2:44" s="44" customFormat="1" ht="15" customHeight="1">
      <c r="E132" s="3" t="s">
        <v>131</v>
      </c>
      <c r="F132" s="3"/>
      <c r="G132" s="3" t="s">
        <v>59</v>
      </c>
      <c r="H132" s="3"/>
      <c r="I132" s="3"/>
      <c r="J132" s="33"/>
      <c r="K132" s="33"/>
      <c r="L132" s="33"/>
      <c r="M132" s="33"/>
      <c r="N132" s="33"/>
      <c r="O132" s="33"/>
      <c r="P132" s="33"/>
      <c r="Q132" s="33"/>
      <c r="R132" s="33"/>
      <c r="S132" s="33"/>
      <c r="T132" s="33"/>
      <c r="U132" s="33"/>
      <c r="V132" s="33"/>
      <c r="W132" s="33"/>
      <c r="X132" s="33"/>
      <c r="AD132" s="154"/>
      <c r="AE132" s="154"/>
      <c r="AJ132" s="149" t="b">
        <f t="shared" ref="AJ132:AQ132" si="27">AJ$80</f>
        <v>0</v>
      </c>
      <c r="AK132" s="149" t="b">
        <f t="shared" si="27"/>
        <v>0</v>
      </c>
      <c r="AL132" s="149" t="b">
        <f t="shared" si="27"/>
        <v>0</v>
      </c>
      <c r="AM132" s="149" t="b">
        <f t="shared" si="27"/>
        <v>0</v>
      </c>
      <c r="AN132" s="149" t="b">
        <f t="shared" si="27"/>
        <v>0</v>
      </c>
      <c r="AO132" s="149" t="b">
        <f t="shared" si="27"/>
        <v>0</v>
      </c>
      <c r="AP132" s="149" t="b">
        <f t="shared" si="27"/>
        <v>0</v>
      </c>
      <c r="AQ132" s="149" t="b">
        <f t="shared" si="27"/>
        <v>0</v>
      </c>
    </row>
    <row r="133" spans="2:44" s="44" customFormat="1" ht="15" customHeight="1">
      <c r="E133" s="3" t="s">
        <v>62</v>
      </c>
      <c r="F133" s="3"/>
      <c r="G133" s="155" t="s">
        <v>657</v>
      </c>
      <c r="H133" s="3"/>
      <c r="I133" s="3"/>
      <c r="J133" s="33"/>
      <c r="K133" s="33"/>
      <c r="L133" s="33"/>
      <c r="M133" s="33"/>
      <c r="N133" s="33"/>
      <c r="O133" s="33"/>
      <c r="P133" s="33"/>
      <c r="Q133" s="33"/>
      <c r="R133" s="33"/>
      <c r="S133" s="33"/>
      <c r="T133" s="33"/>
      <c r="U133" s="33"/>
      <c r="V133" s="33"/>
      <c r="W133" s="33"/>
      <c r="X133" s="33"/>
      <c r="AD133" s="154"/>
      <c r="AE133" s="154"/>
      <c r="AJ133" s="227">
        <v>0</v>
      </c>
      <c r="AK133" s="227">
        <v>0</v>
      </c>
      <c r="AL133" s="227">
        <v>0</v>
      </c>
      <c r="AM133" s="227">
        <v>0</v>
      </c>
      <c r="AN133" s="227">
        <v>0</v>
      </c>
      <c r="AO133" s="227">
        <v>0</v>
      </c>
      <c r="AP133" s="227">
        <v>0</v>
      </c>
      <c r="AQ133" s="227">
        <v>0</v>
      </c>
    </row>
    <row r="134" spans="2:44" s="44" customFormat="1" ht="15" customHeight="1">
      <c r="E134" s="3"/>
      <c r="F134" s="3"/>
      <c r="G134" s="3"/>
      <c r="H134" s="3"/>
      <c r="I134" s="3"/>
      <c r="J134" s="33"/>
      <c r="K134" s="33"/>
      <c r="L134" s="33"/>
      <c r="M134" s="33"/>
      <c r="N134" s="33"/>
      <c r="O134" s="33"/>
      <c r="P134" s="33"/>
      <c r="Q134" s="33"/>
      <c r="R134" s="33"/>
      <c r="S134" s="33"/>
      <c r="T134" s="33"/>
      <c r="U134" s="33"/>
      <c r="V134" s="33"/>
      <c r="W134" s="33"/>
      <c r="X134" s="33"/>
      <c r="AD134" s="154"/>
      <c r="AE134" s="154"/>
      <c r="AL134" s="102"/>
      <c r="AM134" s="85"/>
      <c r="AN134" s="103"/>
      <c r="AO134" s="103"/>
      <c r="AP134" s="103"/>
      <c r="AQ134" s="103"/>
    </row>
    <row r="135" spans="2:44">
      <c r="E135" s="3" t="s">
        <v>66</v>
      </c>
      <c r="F135" s="3"/>
      <c r="G135" s="155" t="s">
        <v>657</v>
      </c>
      <c r="AJ135" s="32">
        <f>AJ132 * AJ133</f>
        <v>0</v>
      </c>
      <c r="AK135" s="32">
        <f t="shared" ref="AK135:AQ135" si="28">AK132 * AK133</f>
        <v>0</v>
      </c>
      <c r="AL135" s="32">
        <f t="shared" si="28"/>
        <v>0</v>
      </c>
      <c r="AM135" s="32">
        <f t="shared" si="28"/>
        <v>0</v>
      </c>
      <c r="AN135" s="32">
        <f t="shared" si="28"/>
        <v>0</v>
      </c>
      <c r="AO135" s="32">
        <f t="shared" si="28"/>
        <v>0</v>
      </c>
      <c r="AP135" s="32">
        <f t="shared" si="28"/>
        <v>0</v>
      </c>
      <c r="AQ135" s="32">
        <f t="shared" si="28"/>
        <v>0</v>
      </c>
      <c r="AR135" s="147"/>
    </row>
    <row r="136" spans="2:44" s="44" customFormat="1" ht="15" customHeight="1">
      <c r="E136" s="3"/>
      <c r="F136" s="3"/>
      <c r="G136" s="3"/>
      <c r="H136" s="3"/>
      <c r="I136" s="3"/>
      <c r="J136" s="33"/>
      <c r="K136" s="33"/>
      <c r="L136" s="33"/>
      <c r="M136" s="33"/>
      <c r="N136" s="33"/>
      <c r="O136" s="33"/>
      <c r="P136" s="33"/>
      <c r="Q136" s="33"/>
      <c r="R136" s="33"/>
      <c r="S136" s="33"/>
      <c r="T136" s="33"/>
      <c r="U136" s="33"/>
      <c r="V136" s="33"/>
      <c r="W136" s="33"/>
      <c r="X136" s="33"/>
      <c r="AD136" s="154"/>
      <c r="AE136" s="154"/>
      <c r="AL136" s="102"/>
      <c r="AM136" s="85"/>
      <c r="AN136" s="103"/>
      <c r="AO136" s="103"/>
      <c r="AP136" s="103"/>
      <c r="AQ136" s="103"/>
    </row>
    <row r="137" spans="2:44" s="154" customFormat="1" ht="15" customHeight="1">
      <c r="B137" s="17"/>
      <c r="C137" s="17" t="s">
        <v>505</v>
      </c>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row>
    <row r="138" spans="2:44"/>
    <row r="139" spans="2:44">
      <c r="E139" s="11" t="s">
        <v>507</v>
      </c>
      <c r="AJ139" s="156">
        <f>ENWL!AJ$468</f>
        <v>1.2309000000000019</v>
      </c>
      <c r="AK139" s="156">
        <f>ENWL!AK$468</f>
        <v>1.2593036919414249</v>
      </c>
      <c r="AL139" s="156">
        <f>ENWL!AL$468</f>
        <v>1.1963250131451619</v>
      </c>
      <c r="AM139" s="156">
        <f>ENWL!AM$468</f>
        <v>1.1843587949799872</v>
      </c>
      <c r="AN139" s="156">
        <f>ENWL!AN$468</f>
        <v>1.1725180720528301</v>
      </c>
      <c r="AO139" s="156">
        <f>ENWL!AO$468</f>
        <v>1.1607995725395301</v>
      </c>
      <c r="AP139" s="156">
        <f>ENWL!AP$468</f>
        <v>1.1607939065151049</v>
      </c>
      <c r="AQ139" s="156">
        <f>ENWL!AQ$468</f>
        <v>1.1608039019694698</v>
      </c>
    </row>
    <row r="140" spans="2:44" ht="17.25" customHeight="1">
      <c r="E140" s="11" t="s">
        <v>508</v>
      </c>
      <c r="AJ140" s="156">
        <f>NPgN!AJ$468</f>
        <v>0.82201054329966705</v>
      </c>
      <c r="AK140" s="156">
        <f>NPgN!AK$468</f>
        <v>0.81446922035064895</v>
      </c>
      <c r="AL140" s="156">
        <f>NPgN!AL$468</f>
        <v>0.81445500215061495</v>
      </c>
      <c r="AM140" s="156">
        <f>NPgN!AM$468</f>
        <v>0.81444370649823983</v>
      </c>
      <c r="AN140" s="156">
        <f>NPgN!AN$468</f>
        <v>0.81443553933739965</v>
      </c>
      <c r="AO140" s="156">
        <f>NPgN!AO$468</f>
        <v>0.81442248732207645</v>
      </c>
      <c r="AP140" s="156">
        <f>NPgN!AP$468</f>
        <v>0.81443341213275933</v>
      </c>
      <c r="AQ140" s="156">
        <f>NPgN!AQ$468</f>
        <v>0.81444320611766596</v>
      </c>
    </row>
    <row r="141" spans="2:44">
      <c r="E141" s="11" t="s">
        <v>509</v>
      </c>
      <c r="AJ141" s="156">
        <f>NPgY!AJ$468</f>
        <v>1.0680205607862145</v>
      </c>
      <c r="AK141" s="156">
        <f>NPgY!AK$468</f>
        <v>1.0648340425295351</v>
      </c>
      <c r="AL141" s="156">
        <f>NPgY!AL$468</f>
        <v>1.0648539285350493</v>
      </c>
      <c r="AM141" s="156">
        <f>NPgY!AM$468</f>
        <v>1.0648988266525232</v>
      </c>
      <c r="AN141" s="156">
        <f>NPgY!AN$468</f>
        <v>1.0649474896695976</v>
      </c>
      <c r="AO141" s="156">
        <f>NPgY!AO$468</f>
        <v>1.0649580334678026</v>
      </c>
      <c r="AP141" s="156">
        <f>NPgY!AP$468</f>
        <v>1.0649906465813672</v>
      </c>
      <c r="AQ141" s="156">
        <f>NPgY!AQ$468</f>
        <v>1.064938207839397</v>
      </c>
    </row>
    <row r="142" spans="2:44">
      <c r="E142" s="11" t="s">
        <v>510</v>
      </c>
      <c r="AJ142" s="156">
        <f>WMID!AJ$468</f>
        <v>0</v>
      </c>
      <c r="AK142" s="156">
        <f>WMID!AK$468</f>
        <v>0</v>
      </c>
      <c r="AL142" s="156">
        <f>WMID!AL$468</f>
        <v>0</v>
      </c>
      <c r="AM142" s="156">
        <f>WMID!AM$468</f>
        <v>0</v>
      </c>
      <c r="AN142" s="156">
        <f>WMID!AN$468</f>
        <v>0</v>
      </c>
      <c r="AO142" s="156">
        <f>WMID!AO$468</f>
        <v>0</v>
      </c>
      <c r="AP142" s="156">
        <f>WMID!AP$468</f>
        <v>0</v>
      </c>
      <c r="AQ142" s="156">
        <f>WMID!AQ$468</f>
        <v>0</v>
      </c>
    </row>
    <row r="143" spans="2:44">
      <c r="E143" s="11" t="s">
        <v>511</v>
      </c>
      <c r="AJ143" s="156">
        <f>EMID!AJ$468</f>
        <v>0</v>
      </c>
      <c r="AK143" s="156">
        <f>EMID!AK$468</f>
        <v>0</v>
      </c>
      <c r="AL143" s="156">
        <f>EMID!AL$468</f>
        <v>0</v>
      </c>
      <c r="AM143" s="156">
        <f>EMID!AM$468</f>
        <v>0</v>
      </c>
      <c r="AN143" s="156">
        <f>EMID!AN$468</f>
        <v>0</v>
      </c>
      <c r="AO143" s="156">
        <f>EMID!AO$468</f>
        <v>0</v>
      </c>
      <c r="AP143" s="156">
        <f>EMID!AP$468</f>
        <v>0</v>
      </c>
      <c r="AQ143" s="156">
        <f>EMID!AQ$468</f>
        <v>0</v>
      </c>
    </row>
    <row r="144" spans="2:44">
      <c r="E144" s="11" t="s">
        <v>512</v>
      </c>
      <c r="AJ144" s="156">
        <f>SWALES!AJ$468</f>
        <v>0</v>
      </c>
      <c r="AK144" s="156">
        <f>SWALES!AK$468</f>
        <v>0</v>
      </c>
      <c r="AL144" s="156">
        <f>SWALES!AL$468</f>
        <v>0</v>
      </c>
      <c r="AM144" s="156">
        <f>SWALES!AM$468</f>
        <v>0</v>
      </c>
      <c r="AN144" s="156">
        <f>SWALES!AN$468</f>
        <v>0</v>
      </c>
      <c r="AO144" s="156">
        <f>SWALES!AO$468</f>
        <v>0</v>
      </c>
      <c r="AP144" s="156">
        <f>SWALES!AP$468</f>
        <v>0</v>
      </c>
      <c r="AQ144" s="156">
        <f>SWALES!AQ$468</f>
        <v>0</v>
      </c>
    </row>
    <row r="145" spans="2:43">
      <c r="E145" s="11" t="s">
        <v>513</v>
      </c>
      <c r="AJ145" s="156">
        <f>SWEST!AJ$468</f>
        <v>0</v>
      </c>
      <c r="AK145" s="156">
        <f>SWEST!AK$468</f>
        <v>0</v>
      </c>
      <c r="AL145" s="156">
        <f>SWEST!AL$468</f>
        <v>0</v>
      </c>
      <c r="AM145" s="156">
        <f>SWEST!AM$468</f>
        <v>0</v>
      </c>
      <c r="AN145" s="156">
        <f>SWEST!AN$468</f>
        <v>0</v>
      </c>
      <c r="AO145" s="156">
        <f>SWEST!AO$468</f>
        <v>0</v>
      </c>
      <c r="AP145" s="156">
        <f>SWEST!AP$468</f>
        <v>0</v>
      </c>
      <c r="AQ145" s="156">
        <f>SWEST!AQ$468</f>
        <v>0</v>
      </c>
    </row>
    <row r="146" spans="2:43">
      <c r="E146" s="11" t="s">
        <v>514</v>
      </c>
      <c r="AJ146" s="156">
        <f>LPN!AJ$468</f>
        <v>1.2106330933615761</v>
      </c>
      <c r="AK146" s="156">
        <f>LPN!AK$468</f>
        <v>1.2832292951440218</v>
      </c>
      <c r="AL146" s="156">
        <f>LPN!AL$468</f>
        <v>1.2690573203803779</v>
      </c>
      <c r="AM146" s="156">
        <f>LPN!AM$468</f>
        <v>1.2919462245737294</v>
      </c>
      <c r="AN146" s="156">
        <f>LPN!AN$468</f>
        <v>1.3156663879177908</v>
      </c>
      <c r="AO146" s="156">
        <f>LPN!AO$468</f>
        <v>1.3398067488045347</v>
      </c>
      <c r="AP146" s="156">
        <f>LPN!AP$468</f>
        <v>1.3643012320145333</v>
      </c>
      <c r="AQ146" s="156">
        <f>LPN!AQ$468</f>
        <v>1.3894984544933946</v>
      </c>
    </row>
    <row r="147" spans="2:43">
      <c r="E147" s="11" t="s">
        <v>515</v>
      </c>
      <c r="AJ147" s="156">
        <f>SPN!AJ$468</f>
        <v>1.0627651284548028</v>
      </c>
      <c r="AK147" s="156">
        <f>SPN!AK$468</f>
        <v>1.0784001419430702</v>
      </c>
      <c r="AL147" s="156">
        <f>SPN!AL$468</f>
        <v>1.1008560198096147</v>
      </c>
      <c r="AM147" s="156">
        <f>SPN!AM$468</f>
        <v>1.1277551456325965</v>
      </c>
      <c r="AN147" s="156">
        <f>SPN!AN$468</f>
        <v>1.1555768051721751</v>
      </c>
      <c r="AO147" s="156">
        <f>SPN!AO$468</f>
        <v>1.183903851714319</v>
      </c>
      <c r="AP147" s="156">
        <f>SPN!AP$468</f>
        <v>1.2129271575557958</v>
      </c>
      <c r="AQ147" s="156">
        <f>SPN!AQ$468</f>
        <v>1.2430412507447137</v>
      </c>
    </row>
    <row r="148" spans="2:43">
      <c r="E148" s="11" t="s">
        <v>516</v>
      </c>
      <c r="AJ148" s="156">
        <f>EPN!AJ$468</f>
        <v>1.6387598001215946</v>
      </c>
      <c r="AK148" s="156">
        <f>EPN!AK$468</f>
        <v>1.6828570004569157</v>
      </c>
      <c r="AL148" s="156">
        <f>EPN!AL$468</f>
        <v>1.6711776163547793</v>
      </c>
      <c r="AM148" s="156">
        <f>EPN!AM$468</f>
        <v>1.6828069106607584</v>
      </c>
      <c r="AN148" s="156">
        <f>EPN!AN$468</f>
        <v>1.7094452038186907</v>
      </c>
      <c r="AO148" s="156">
        <f>EPN!AO$468</f>
        <v>1.7366455436772708</v>
      </c>
      <c r="AP148" s="156">
        <f>EPN!AP$468</f>
        <v>1.7644117919669153</v>
      </c>
      <c r="AQ148" s="156">
        <f>EPN!AQ$468</f>
        <v>1.7920259421365903</v>
      </c>
    </row>
    <row r="149" spans="2:43">
      <c r="E149" s="11" t="s">
        <v>517</v>
      </c>
      <c r="AJ149" s="156">
        <f>SPD!AJ$468</f>
        <v>1.1164757945665671</v>
      </c>
      <c r="AK149" s="156">
        <f>SPD!AK$468</f>
        <v>1.1460653653933126</v>
      </c>
      <c r="AL149" s="156">
        <f>SPD!AL$468</f>
        <v>1.1460616818608289</v>
      </c>
      <c r="AM149" s="156">
        <f>SPD!AM$468</f>
        <v>1.1460331049268258</v>
      </c>
      <c r="AN149" s="156">
        <f>SPD!AN$468</f>
        <v>1.14600712871749</v>
      </c>
      <c r="AO149" s="156">
        <f>SPD!AO$468</f>
        <v>1.1459931092446223</v>
      </c>
      <c r="AP149" s="156">
        <f>SPD!AP$468</f>
        <v>1.1459743801589992</v>
      </c>
      <c r="AQ149" s="156">
        <f>SPD!AQ$468</f>
        <v>1.1459665827975871</v>
      </c>
    </row>
    <row r="150" spans="2:43">
      <c r="E150" s="11" t="s">
        <v>518</v>
      </c>
      <c r="AJ150" s="156">
        <f>SPMW!AJ$468</f>
        <v>1.0053260461331757</v>
      </c>
      <c r="AK150" s="156">
        <f>SPMW!AK$468</f>
        <v>1.0305140995308679</v>
      </c>
      <c r="AL150" s="156">
        <f>SPMW!AL$468</f>
        <v>1.0305272549998934</v>
      </c>
      <c r="AM150" s="156">
        <f>SPMW!AM$468</f>
        <v>1.0305388804833169</v>
      </c>
      <c r="AN150" s="156">
        <f>SPMW!AN$468</f>
        <v>1.0305470389805687</v>
      </c>
      <c r="AO150" s="156">
        <f>SPMW!AO$468</f>
        <v>1.0305475581010417</v>
      </c>
      <c r="AP150" s="156">
        <f>SPMW!AP$468</f>
        <v>1.0305734050213535</v>
      </c>
      <c r="AQ150" s="156">
        <f>SPMW!AQ$468</f>
        <v>1.0305561667042529</v>
      </c>
    </row>
    <row r="151" spans="2:43">
      <c r="E151" s="11" t="s">
        <v>519</v>
      </c>
      <c r="AJ151" s="156">
        <f>SSEH!AJ$468</f>
        <v>0.81315845343093007</v>
      </c>
      <c r="AK151" s="156">
        <f>SSEH!AK$468</f>
        <v>0.84974572393068459</v>
      </c>
      <c r="AL151" s="156">
        <f>SSEH!AL$468</f>
        <v>0.84972071232300561</v>
      </c>
      <c r="AM151" s="156">
        <f>SSEH!AM$468</f>
        <v>0.84970279705486418</v>
      </c>
      <c r="AN151" s="156">
        <f>SSEH!AN$468</f>
        <v>0.84966807012257139</v>
      </c>
      <c r="AO151" s="156">
        <f>SSEH!AO$468</f>
        <v>0.84968608978720139</v>
      </c>
      <c r="AP151" s="156">
        <f>SSEH!AP$468</f>
        <v>0.84969863637118592</v>
      </c>
      <c r="AQ151" s="156">
        <f>SSEH!AQ$468</f>
        <v>0.84970613611736678</v>
      </c>
    </row>
    <row r="152" spans="2:43">
      <c r="E152" s="11" t="s">
        <v>520</v>
      </c>
      <c r="AJ152" s="156">
        <f>SSES!AJ$468</f>
        <v>1.5633743969242253</v>
      </c>
      <c r="AK152" s="156">
        <f>SSES!AK$468</f>
        <v>1.5686707892221732</v>
      </c>
      <c r="AL152" s="156">
        <f>SSES!AL$468</f>
        <v>1.5686136050136668</v>
      </c>
      <c r="AM152" s="156">
        <f>SSES!AM$468</f>
        <v>1.568584577606454</v>
      </c>
      <c r="AN152" s="156">
        <f>SSES!AN$468</f>
        <v>1.5685631013176282</v>
      </c>
      <c r="AO152" s="156">
        <f>SSES!AO$468</f>
        <v>1.5685713376859443</v>
      </c>
      <c r="AP152" s="156">
        <f>SSES!AP$468</f>
        <v>1.5685677095013983</v>
      </c>
      <c r="AQ152" s="156">
        <f>SSES!AQ$468</f>
        <v>1.5685952954262763</v>
      </c>
    </row>
    <row r="153" spans="2:43"/>
    <row r="154" spans="2:43" s="156" customFormat="1" ht="15" customHeight="1">
      <c r="B154" s="84" t="s">
        <v>51</v>
      </c>
      <c r="C154" s="84"/>
      <c r="D154" s="84"/>
      <c r="E154" s="84"/>
      <c r="F154" s="84"/>
      <c r="G154" s="84"/>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row>
    <row r="155" spans="2:43"/>
    <row r="156" spans="2:43" hidden="1"/>
    <row r="157" spans="2:43" hidden="1"/>
    <row r="158" spans="2:43" hidden="1"/>
    <row r="159" spans="2:43" hidden="1"/>
    <row r="160" spans="2:43"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sheetData>
  <conditionalFormatting sqref="AJ132:AQ132 AJ105:AQ105 AJ102:AQ102 AJ93:AQ93 AJ115:AQ115 AJ125:AQ125 AJ90:AQ90 AJ112:AQ112 AJ122:AQ122 I66 AJ80:AQ80">
    <cfRule type="cellIs" dxfId="86" priority="34" operator="equal">
      <formula>FALSE()</formula>
    </cfRule>
  </conditionalFormatting>
  <pageMargins left="0.23622047244094491" right="0.23622047244094491" top="0.74803149606299213" bottom="0.74803149606299213" header="0.31496062992125984" footer="0.31496062992125984"/>
  <pageSetup paperSize="8" scale="70"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003" r:id="rId4" name="Drop Down 43">
              <controlPr defaultSize="0" autoLine="0" autoPict="0">
                <anchor moveWithCells="1">
                  <from>
                    <xdr:col>4</xdr:col>
                    <xdr:colOff>0</xdr:colOff>
                    <xdr:row>26</xdr:row>
                    <xdr:rowOff>9525</xdr:rowOff>
                  </from>
                  <to>
                    <xdr:col>5</xdr:col>
                    <xdr:colOff>9525</xdr:colOff>
                    <xdr:row>27</xdr:row>
                    <xdr:rowOff>133350</xdr:rowOff>
                  </to>
                </anchor>
              </controlPr>
            </control>
          </mc:Choice>
        </mc:AlternateContent>
        <mc:AlternateContent xmlns:mc="http://schemas.openxmlformats.org/markup-compatibility/2006">
          <mc:Choice Requires="x14">
            <control shapeId="169024" r:id="rId5" name="Button 64">
              <controlPr defaultSize="0" autoFill="0" autoPict="0" macro="[0]!TaxTrigger">
                <anchor moveWithCells="1" sizeWithCells="1">
                  <from>
                    <xdr:col>4</xdr:col>
                    <xdr:colOff>9525</xdr:colOff>
                    <xdr:row>38</xdr:row>
                    <xdr:rowOff>0</xdr:rowOff>
                  </from>
                  <to>
                    <xdr:col>5</xdr:col>
                    <xdr:colOff>0</xdr:colOff>
                    <xdr:row>42</xdr:row>
                    <xdr:rowOff>0</xdr:rowOff>
                  </to>
                </anchor>
              </controlPr>
            </control>
          </mc:Choice>
        </mc:AlternateContent>
        <mc:AlternateContent xmlns:mc="http://schemas.openxmlformats.org/markup-compatibility/2006">
          <mc:Choice Requires="x14">
            <control shapeId="169025" r:id="rId6" name="Drop Down 65">
              <controlPr defaultSize="0" autoLine="0" autoPict="0">
                <anchor moveWithCells="1">
                  <from>
                    <xdr:col>4</xdr:col>
                    <xdr:colOff>1114425</xdr:colOff>
                    <xdr:row>1</xdr:row>
                    <xdr:rowOff>0</xdr:rowOff>
                  </from>
                  <to>
                    <xdr:col>4</xdr:col>
                    <xdr:colOff>3552825</xdr:colOff>
                    <xdr:row>1</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59999389629810485"/>
    <pageSetUpPr autoPageBreaks="0" fitToPage="1"/>
  </sheetPr>
  <dimension ref="A1:XEQ642"/>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56" customWidth="1"/>
    <col min="5" max="5" width="50.625" style="156" customWidth="1"/>
    <col min="6" max="6" width="1.625" style="156" customWidth="1"/>
    <col min="7" max="7" width="12.625" style="156" customWidth="1"/>
    <col min="8" max="8" width="1.625" style="156" customWidth="1"/>
    <col min="9" max="9" width="10.625" style="156" customWidth="1"/>
    <col min="10" max="10" width="1.625" style="156" customWidth="1"/>
    <col min="11" max="35" width="10.625" style="156" hidden="1" customWidth="1" outlineLevel="1"/>
    <col min="36" max="36" width="10.625" style="156" customWidth="1" collapsed="1"/>
    <col min="37" max="43" width="10.625" style="156" customWidth="1"/>
    <col min="44" max="44" width="1.625" style="156" customWidth="1"/>
    <col min="45" max="49" width="0" style="156" hidden="1"/>
    <col min="50" max="16371" width="9" style="156" hidden="1"/>
    <col min="16372" max="16384" width="0" style="156" hidden="1"/>
  </cols>
  <sheetData>
    <row r="1" spans="1:44" s="140" customFormat="1" ht="19.5">
      <c r="A1" s="5" t="s">
        <v>58</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M1" s="6"/>
      <c r="AN1" s="6"/>
      <c r="AO1" s="6"/>
      <c r="AP1" s="6"/>
      <c r="AQ1" s="6"/>
    </row>
    <row r="2" spans="1:44" s="140" customFormat="1" ht="15" customHeigh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140" customFormat="1" ht="15" customHeigh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140" customFormat="1" ht="15" customHeigh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ht="15" customHeight="1"/>
    <row r="9" spans="1:44" ht="15" customHeight="1">
      <c r="E9" s="156" t="str">
        <f>UserInterface!E10</f>
        <v>Year t selected:</v>
      </c>
      <c r="G9" s="272">
        <f>UserInterface!G10</f>
        <v>42460</v>
      </c>
    </row>
    <row r="10" spans="1:44" ht="15" customHeight="1"/>
    <row r="11" spans="1:44" ht="15" customHeight="1">
      <c r="E11" s="156" t="str">
        <f>Revenue!E67</f>
        <v>Final Proposals base revenue</v>
      </c>
      <c r="AJ11" s="155">
        <f ca="1">Revenue!AJ67</f>
        <v>473.74910068752729</v>
      </c>
      <c r="AK11" s="155">
        <f ca="1">Revenue!AK67</f>
        <v>473.72857212416716</v>
      </c>
      <c r="AL11" s="155">
        <f ca="1">Revenue!AL67</f>
        <v>473.71106979381284</v>
      </c>
      <c r="AM11" s="155">
        <f ca="1">Revenue!AM67</f>
        <v>473.70216055354757</v>
      </c>
      <c r="AN11" s="155">
        <f ca="1">Revenue!AN67</f>
        <v>473.69561593160125</v>
      </c>
      <c r="AO11" s="155">
        <f ca="1">Revenue!AO67</f>
        <v>473.6980856895749</v>
      </c>
      <c r="AP11" s="155">
        <f ca="1">Revenue!AP67</f>
        <v>473.69693360654423</v>
      </c>
      <c r="AQ11" s="155">
        <f ca="1">Revenue!AQ67</f>
        <v>473.70539564400872</v>
      </c>
    </row>
    <row r="12" spans="1:44" ht="15" customHeight="1">
      <c r="E12" s="156" t="str">
        <f>Revenue!E68</f>
        <v>MOD</v>
      </c>
      <c r="AJ12" s="42"/>
      <c r="AK12" s="155">
        <f ca="1">Revenue!AK68</f>
        <v>0</v>
      </c>
      <c r="AL12" s="155">
        <f ca="1">Revenue!AL68</f>
        <v>0</v>
      </c>
      <c r="AM12" s="155">
        <f ca="1">Revenue!AM68</f>
        <v>0</v>
      </c>
      <c r="AN12" s="155">
        <f ca="1">Revenue!AN68</f>
        <v>0</v>
      </c>
      <c r="AO12" s="155">
        <f ca="1">Revenue!AO68</f>
        <v>0</v>
      </c>
      <c r="AP12" s="155">
        <f ca="1">Revenue!AP68</f>
        <v>0</v>
      </c>
      <c r="AQ12" s="155">
        <f ca="1">Revenue!AQ68</f>
        <v>0</v>
      </c>
    </row>
    <row r="13" spans="1:44" ht="15" customHeight="1">
      <c r="E13" s="156" t="str">
        <f>Revenue!E69</f>
        <v>Base revenue</v>
      </c>
      <c r="AJ13" s="165">
        <f ca="1">Revenue!AJ69</f>
        <v>473.74910068752729</v>
      </c>
      <c r="AK13" s="165">
        <f ca="1">Revenue!AK69</f>
        <v>473.72857212416716</v>
      </c>
      <c r="AL13" s="165">
        <f ca="1">Revenue!AL69</f>
        <v>473.71106979381284</v>
      </c>
      <c r="AM13" s="165">
        <f ca="1">Revenue!AM69</f>
        <v>473.70216055354757</v>
      </c>
      <c r="AN13" s="165">
        <f ca="1">Revenue!AN69</f>
        <v>473.69561593160125</v>
      </c>
      <c r="AO13" s="165">
        <f ca="1">Revenue!AO69</f>
        <v>473.6980856895749</v>
      </c>
      <c r="AP13" s="165">
        <f ca="1">Revenue!AP69</f>
        <v>473.69693360654423</v>
      </c>
      <c r="AQ13" s="165">
        <f ca="1">Revenue!AQ69</f>
        <v>473.70539564400872</v>
      </c>
    </row>
    <row r="14" spans="1:44" ht="15" customHeight="1"/>
    <row r="15" spans="1:44" ht="15" customHeight="1">
      <c r="B15" s="84" t="s">
        <v>51</v>
      </c>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row>
    <row r="16" spans="1:44" ht="15" customHeight="1"/>
    <row r="17" ht="15" hidden="1" customHeight="1"/>
    <row r="18" ht="15" hidden="1" customHeight="1"/>
    <row r="19" ht="15" hidden="1" customHeight="1"/>
    <row r="20" ht="15" hidden="1" customHeight="1"/>
    <row r="21" ht="15" hidden="1" customHeight="1"/>
    <row r="22" ht="15" hidden="1" customHeight="1"/>
    <row r="23" ht="15" hidden="1" customHeight="1"/>
    <row r="24" ht="15" hidden="1" customHeight="1"/>
    <row r="25" ht="15" hidden="1" customHeight="1"/>
    <row r="26" ht="15" hidden="1" customHeight="1"/>
    <row r="27" ht="15" hidden="1" customHeight="1"/>
    <row r="28" ht="15" hidden="1" customHeight="1"/>
    <row r="29" ht="15" hidden="1" customHeight="1"/>
    <row r="30" ht="15" hidden="1" customHeight="1"/>
    <row r="31" ht="15" hidden="1" customHeight="1"/>
    <row r="32" ht="15" hidden="1" customHeight="1"/>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3377" r:id="rId4" name="Drop Down 1">
              <controlPr defaultSize="0" autoLine="0" autoPict="0">
                <anchor moveWithCells="1">
                  <from>
                    <xdr:col>4</xdr:col>
                    <xdr:colOff>1114425</xdr:colOff>
                    <xdr:row>1</xdr:row>
                    <xdr:rowOff>0</xdr:rowOff>
                  </from>
                  <to>
                    <xdr:col>4</xdr:col>
                    <xdr:colOff>3552825</xdr:colOff>
                    <xdr:row>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CC"/>
    <pageSetUpPr autoPageBreaks="0"/>
  </sheetPr>
  <dimension ref="A1:XDH495"/>
  <sheetViews>
    <sheetView zoomScale="70" zoomScaleNormal="70" workbookViewId="0">
      <pane xSplit="10" ySplit="7" topLeftCell="AJ14" activePane="bottomRight" state="frozen"/>
      <selection activeCell="N881" sqref="N881"/>
      <selection pane="topRight" activeCell="N881" sqref="N881"/>
      <selection pane="bottomLeft" activeCell="N881" sqref="N881"/>
      <selection pane="bottomRight" activeCell="AJ18" sqref="AJ18"/>
    </sheetView>
  </sheetViews>
  <sheetFormatPr defaultColWidth="0" defaultRowHeight="15" customHeight="1" zeroHeight="1" outlineLevelCol="1"/>
  <cols>
    <col min="1" max="3" width="1.625" style="11" customWidth="1"/>
    <col min="4" max="4" width="2.75" style="11" customWidth="1"/>
    <col min="5" max="5" width="70.5" style="11" customWidth="1"/>
    <col min="6" max="6" width="10.875" style="11" customWidth="1"/>
    <col min="7" max="7" width="12.625" style="11" customWidth="1"/>
    <col min="8" max="8" width="8.375" style="11" customWidth="1"/>
    <col min="9" max="9" width="10.625" style="11" customWidth="1"/>
    <col min="10" max="10" width="1.625" style="11" customWidth="1"/>
    <col min="11" max="12" width="10.625" style="11" hidden="1" customWidth="1" outlineLevel="1"/>
    <col min="13" max="14" width="10.625" style="156" hidden="1" customWidth="1" outlineLevel="1"/>
    <col min="15" max="35" width="10.625" style="11" hidden="1" customWidth="1" outlineLevel="1"/>
    <col min="36" max="36" width="10.625" style="11" customWidth="1" collapsed="1"/>
    <col min="37" max="43" width="10.625" style="11" customWidth="1"/>
    <col min="44" max="44" width="9.875" style="11" customWidth="1"/>
    <col min="45" max="83" width="0" style="11" hidden="1"/>
    <col min="84" max="16336" width="9" style="11" hidden="1"/>
    <col min="16337" max="16384" width="0" style="11" hidden="1"/>
  </cols>
  <sheetData>
    <row r="1" spans="1:44" s="47" customFormat="1" ht="19.5">
      <c r="A1" s="5" t="s">
        <v>76</v>
      </c>
      <c r="B1" s="6"/>
      <c r="C1" s="6"/>
      <c r="D1" s="6"/>
      <c r="E1" s="6"/>
      <c r="F1" s="6"/>
      <c r="G1" s="6"/>
      <c r="H1" s="6"/>
      <c r="I1" s="6"/>
      <c r="J1" s="46"/>
      <c r="K1" s="46"/>
      <c r="L1" s="46"/>
      <c r="M1" s="46"/>
      <c r="N1" s="46"/>
      <c r="O1" s="46"/>
      <c r="P1" s="46"/>
      <c r="Q1" s="46"/>
      <c r="R1" s="46"/>
      <c r="S1" s="46"/>
      <c r="T1" s="46"/>
      <c r="U1" s="46"/>
      <c r="V1" s="46"/>
      <c r="W1" s="46"/>
      <c r="X1" s="46"/>
      <c r="Y1" s="46"/>
      <c r="Z1" s="46"/>
      <c r="AA1" s="6"/>
      <c r="AB1" s="6"/>
      <c r="AC1" s="6"/>
      <c r="AD1" s="6"/>
      <c r="AE1" s="6"/>
      <c r="AF1" s="6"/>
      <c r="AG1" s="6"/>
      <c r="AH1" s="6"/>
      <c r="AI1" s="6"/>
      <c r="AJ1" s="6"/>
      <c r="AM1" s="6"/>
      <c r="AN1" s="6"/>
      <c r="AO1" s="6"/>
      <c r="AP1" s="6"/>
      <c r="AQ1" s="6"/>
    </row>
    <row r="2" spans="1:44" s="47" customFormat="1" ht="15" customHeigh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47" customFormat="1" ht="15" customHeight="1">
      <c r="A6" s="6"/>
      <c r="B6" s="6"/>
      <c r="C6" s="6"/>
      <c r="D6" s="6"/>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47" customFormat="1" ht="15" customHeight="1">
      <c r="A7" s="6"/>
      <c r="B7" s="6"/>
      <c r="C7" s="6"/>
      <c r="D7" s="6"/>
      <c r="E7" s="6" t="s">
        <v>231</v>
      </c>
      <c r="F7" s="6" t="str">
        <f ca="1">Cover!C3</f>
        <v>Annex to Order of the CMA - CMA substitute ED1 Price Control Financial Model.xlsm</v>
      </c>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ht="15" customHeight="1"/>
    <row r="9" spans="1:44" ht="15" customHeight="1">
      <c r="B9" s="15" t="s">
        <v>417</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ht="15" customHeight="1"/>
    <row r="11" spans="1:44" ht="15" customHeight="1">
      <c r="E11" s="155" t="s">
        <v>684</v>
      </c>
      <c r="F11" s="256" t="s">
        <v>777</v>
      </c>
      <c r="G11" s="155" t="s">
        <v>824</v>
      </c>
      <c r="H11" s="382" t="s">
        <v>685</v>
      </c>
      <c r="I11" s="156"/>
      <c r="AJ11" s="247">
        <f>CHOOSE(m_identity,ENWL!AJ11, NPgN!AJ11, NPgY!AJ11, WMID!AJ11, EMID!AJ11, SWALES!AJ11, SWEST!AJ11, LPN!AJ11,SPN!AJ11,EPN!AJ11,SPD!AJ11,SPMW!AJ11,SSEH!AJ11,SSES!AJ11)</f>
        <v>2.5499999999999998E-2</v>
      </c>
      <c r="AK11" s="247">
        <f>CHOOSE(m_identity,ENWL!AK11, NPgN!AK11, NPgY!AK11, WMID!AK11, EMID!AK11, SWALES!AK11, SWEST!AK11, LPN!AK11,SPN!AK11,EPN!AK11,SPD!AK11,SPMW!AK11,SSEH!AK11,SSES!AK11)</f>
        <v>2.5499999999999998E-2</v>
      </c>
      <c r="AL11" s="247">
        <f>CHOOSE(m_identity,ENWL!AL11, NPgN!AL11, NPgY!AL11, WMID!AL11, EMID!AL11, SWALES!AL11, SWEST!AL11, LPN!AL11,SPN!AL11,EPN!AL11,SPD!AL11,SPMW!AL11,SSEH!AL11,SSES!AL11)</f>
        <v>2.5499999999999998E-2</v>
      </c>
      <c r="AM11" s="247">
        <f>CHOOSE(m_identity,ENWL!AM11, NPgN!AM11, NPgY!AM11, WMID!AM11, EMID!AM11, SWALES!AM11, SWEST!AM11, LPN!AM11,SPN!AM11,EPN!AM11,SPD!AM11,SPMW!AM11,SSEH!AM11,SSES!AM11)</f>
        <v>2.5499999999999998E-2</v>
      </c>
      <c r="AN11" s="247">
        <f>CHOOSE(m_identity,ENWL!AN11, NPgN!AN11, NPgY!AN11, WMID!AN11, EMID!AN11, SWALES!AN11, SWEST!AN11, LPN!AN11,SPN!AN11,EPN!AN11,SPD!AN11,SPMW!AN11,SSEH!AN11,SSES!AN11)</f>
        <v>2.5499999999999998E-2</v>
      </c>
      <c r="AO11" s="247">
        <f>CHOOSE(m_identity,ENWL!AO11, NPgN!AO11, NPgY!AO11, WMID!AO11, EMID!AO11, SWALES!AO11, SWEST!AO11, LPN!AO11,SPN!AO11,EPN!AO11,SPD!AO11,SPMW!AO11,SSEH!AO11,SSES!AO11)</f>
        <v>2.5499999999999998E-2</v>
      </c>
      <c r="AP11" s="247">
        <f>CHOOSE(m_identity,ENWL!AP11, NPgN!AP11, NPgY!AP11, WMID!AP11, EMID!AP11, SWALES!AP11, SWEST!AP11, LPN!AP11,SPN!AP11,EPN!AP11,SPD!AP11,SPMW!AP11,SSEH!AP11,SSES!AP11)</f>
        <v>2.5499999999999998E-2</v>
      </c>
      <c r="AQ11" s="247">
        <f>CHOOSE(m_identity,ENWL!AQ11, NPgN!AQ11, NPgY!AQ11, WMID!AQ11, EMID!AQ11, SWALES!AQ11, SWEST!AQ11, LPN!AQ11,SPN!AQ11,EPN!AQ11,SPD!AQ11,SPMW!AQ11,SSEH!AQ11,SSES!AQ11)</f>
        <v>2.5499999999999998E-2</v>
      </c>
    </row>
    <row r="12" spans="1:44" ht="15" customHeight="1">
      <c r="E12" s="50" t="s">
        <v>835</v>
      </c>
      <c r="F12" s="382" t="s">
        <v>778</v>
      </c>
      <c r="G12" s="98" t="s">
        <v>657</v>
      </c>
      <c r="H12" s="256" t="s">
        <v>492</v>
      </c>
      <c r="I12" s="156"/>
      <c r="AJ12" s="216">
        <f>CHOOSE(m_identity,ENWL!AJ12, NPgN!AJ12, NPgY!AJ12, WMID!AJ12, EMID!AJ12, SWALES!AJ12, SWEST!AJ12, LPN!AJ12,SPN!AJ12,EPN!AJ12,SPD!AJ12,SPMW!AJ12,SSEH!AJ12,SSES!AJ12)</f>
        <v>0</v>
      </c>
      <c r="AK12" s="216">
        <f>CHOOSE(m_identity,ENWL!AK12, NPgN!AK12, NPgY!AK12, WMID!AK12, EMID!AK12, SWALES!AK12, SWEST!AK12, LPN!AK12,SPN!AK12,EPN!AK12,SPD!AK12,SPMW!AK12,SSEH!AK12,SSES!AK12)</f>
        <v>0</v>
      </c>
      <c r="AL12" s="216">
        <f>CHOOSE(m_identity,ENWL!AL12, NPgN!AL12, NPgY!AL12, WMID!AL12, EMID!AL12, SWALES!AL12, SWEST!AL12, LPN!AL12,SPN!AL12,EPN!AL12,SPD!AL12,SPMW!AL12,SSEH!AL12,SSES!AL12)</f>
        <v>0</v>
      </c>
      <c r="AM12" s="216">
        <f>CHOOSE(m_identity,ENWL!AM12, NPgN!AM12, NPgY!AM12, WMID!AM12, EMID!AM12, SWALES!AM12, SWEST!AM12, LPN!AM12,SPN!AM12,EPN!AM12,SPD!AM12,SPMW!AM12,SSEH!AM12,SSES!AM12)</f>
        <v>0</v>
      </c>
      <c r="AN12" s="216">
        <f>CHOOSE(m_identity,ENWL!AN12, NPgN!AN12, NPgY!AN12, WMID!AN12, EMID!AN12, SWALES!AN12, SWEST!AN12, LPN!AN12,SPN!AN12,EPN!AN12,SPD!AN12,SPMW!AN12,SSEH!AN12,SSES!AN12)</f>
        <v>0</v>
      </c>
      <c r="AO12" s="216">
        <f>CHOOSE(m_identity,ENWL!AO12, NPgN!AO12, NPgY!AO12, WMID!AO12, EMID!AO12, SWALES!AO12, SWEST!AO12, LPN!AO12,SPN!AO12,EPN!AO12,SPD!AO12,SPMW!AO12,SSEH!AO12,SSES!AO12)</f>
        <v>0</v>
      </c>
      <c r="AP12" s="216">
        <f>CHOOSE(m_identity,ENWL!AP12, NPgN!AP12, NPgY!AP12, WMID!AP12, EMID!AP12, SWALES!AP12, SWEST!AP12, LPN!AP12,SPN!AP12,EPN!AP12,SPD!AP12,SPMW!AP12,SSEH!AP12,SSES!AP12)</f>
        <v>0</v>
      </c>
      <c r="AQ12" s="216">
        <f>CHOOSE(m_identity,ENWL!AQ12, NPgN!AQ12, NPgY!AQ12, WMID!AQ12, EMID!AQ12, SWALES!AQ12, SWEST!AQ12, LPN!AQ12,SPN!AQ12,EPN!AQ12,SPD!AQ12,SPMW!AQ12,SSEH!AQ12,SSES!AQ12)</f>
        <v>0</v>
      </c>
    </row>
    <row r="13" spans="1:44" ht="15" customHeight="1">
      <c r="D13" s="156"/>
      <c r="E13" s="152" t="s">
        <v>836</v>
      </c>
      <c r="F13" s="382" t="s">
        <v>778</v>
      </c>
      <c r="G13" s="98" t="s">
        <v>657</v>
      </c>
      <c r="H13" s="257" t="s">
        <v>729</v>
      </c>
      <c r="I13" s="156"/>
      <c r="AJ13" s="216">
        <f>CHOOSE(m_identity,ENWL!AJ13, NPgN!AJ13, NPgY!AJ13, WMID!AJ13, EMID!AJ13, SWALES!AJ13, SWEST!AJ13, LPN!AJ13,SPN!AJ13,EPN!AJ13,SPD!AJ13,SPMW!AJ13,SSEH!AJ13,SSES!AJ13)</f>
        <v>0</v>
      </c>
      <c r="AK13" s="216">
        <f>CHOOSE(m_identity,ENWL!AK13, NPgN!AK13, NPgY!AK13, WMID!AK13, EMID!AK13, SWALES!AK13, SWEST!AK13, LPN!AK13,SPN!AK13,EPN!AK13,SPD!AK13,SPMW!AK13,SSEH!AK13,SSES!AK13)</f>
        <v>0</v>
      </c>
      <c r="AL13" s="216">
        <f>CHOOSE(m_identity,ENWL!AL13, NPgN!AL13, NPgY!AL13, WMID!AL13, EMID!AL13, SWALES!AL13, SWEST!AL13, LPN!AL13,SPN!AL13,EPN!AL13,SPD!AL13,SPMW!AL13,SSEH!AL13,SSES!AL13)</f>
        <v>0</v>
      </c>
      <c r="AM13" s="216">
        <f>CHOOSE(m_identity,ENWL!AM13, NPgN!AM13, NPgY!AM13, WMID!AM13, EMID!AM13, SWALES!AM13, SWEST!AM13, LPN!AM13,SPN!AM13,EPN!AM13,SPD!AM13,SPMW!AM13,SSEH!AM13,SSES!AM13)</f>
        <v>0</v>
      </c>
      <c r="AN13" s="216">
        <f>CHOOSE(m_identity,ENWL!AN13, NPgN!AN13, NPgY!AN13, WMID!AN13, EMID!AN13, SWALES!AN13, SWEST!AN13, LPN!AN13,SPN!AN13,EPN!AN13,SPD!AN13,SPMW!AN13,SSEH!AN13,SSES!AN13)</f>
        <v>0</v>
      </c>
      <c r="AO13" s="216">
        <f>CHOOSE(m_identity,ENWL!AO13, NPgN!AO13, NPgY!AO13, WMID!AO13, EMID!AO13, SWALES!AO13, SWEST!AO13, LPN!AO13,SPN!AO13,EPN!AO13,SPD!AO13,SPMW!AO13,SSEH!AO13,SSES!AO13)</f>
        <v>0</v>
      </c>
      <c r="AP13" s="216">
        <f>CHOOSE(m_identity,ENWL!AP13, NPgN!AP13, NPgY!AP13, WMID!AP13, EMID!AP13, SWALES!AP13, SWEST!AP13, LPN!AP13,SPN!AP13,EPN!AP13,SPD!AP13,SPMW!AP13,SSEH!AP13,SSES!AP13)</f>
        <v>0</v>
      </c>
      <c r="AQ13" s="216">
        <f>CHOOSE(m_identity,ENWL!AQ13, NPgN!AQ13, NPgY!AQ13, WMID!AQ13, EMID!AQ13, SWALES!AQ13, SWEST!AQ13, LPN!AQ13,SPN!AQ13,EPN!AQ13,SPD!AQ13,SPMW!AQ13,SSEH!AQ13,SSES!AQ13)</f>
        <v>0</v>
      </c>
    </row>
    <row r="14" spans="1:44" ht="15" customHeight="1">
      <c r="D14" s="98"/>
      <c r="E14" s="50" t="s">
        <v>154</v>
      </c>
      <c r="F14" s="382" t="s">
        <v>778</v>
      </c>
      <c r="G14" s="98" t="s">
        <v>657</v>
      </c>
      <c r="H14" s="256" t="s">
        <v>730</v>
      </c>
      <c r="I14" s="156"/>
      <c r="AJ14" s="216">
        <f>CHOOSE(m_identity,ENWL!AJ14, NPgN!AJ14, NPgY!AJ14, WMID!AJ14, EMID!AJ14, SWALES!AJ14, SWEST!AJ14, LPN!AJ14,SPN!AJ14,EPN!AJ14,SPD!AJ14,SPMW!AJ14,SSEH!AJ14,SSES!AJ14)</f>
        <v>0</v>
      </c>
      <c r="AK14" s="216">
        <f>CHOOSE(m_identity,ENWL!AK14, NPgN!AK14, NPgY!AK14, WMID!AK14, EMID!AK14, SWALES!AK14, SWEST!AK14, LPN!AK14,SPN!AK14,EPN!AK14,SPD!AK14,SPMW!AK14,SSEH!AK14,SSES!AK14)</f>
        <v>0</v>
      </c>
      <c r="AL14" s="216">
        <f>CHOOSE(m_identity,ENWL!AL14, NPgN!AL14, NPgY!AL14, WMID!AL14, EMID!AL14, SWALES!AL14, SWEST!AL14, LPN!AL14,SPN!AL14,EPN!AL14,SPD!AL14,SPMW!AL14,SSEH!AL14,SSES!AL14)</f>
        <v>0</v>
      </c>
      <c r="AM14" s="216">
        <f>CHOOSE(m_identity,ENWL!AM14, NPgN!AM14, NPgY!AM14, WMID!AM14, EMID!AM14, SWALES!AM14, SWEST!AM14, LPN!AM14,SPN!AM14,EPN!AM14,SPD!AM14,SPMW!AM14,SSEH!AM14,SSES!AM14)</f>
        <v>0</v>
      </c>
      <c r="AN14" s="216">
        <f>CHOOSE(m_identity,ENWL!AN14, NPgN!AN14, NPgY!AN14, WMID!AN14, EMID!AN14, SWALES!AN14, SWEST!AN14, LPN!AN14,SPN!AN14,EPN!AN14,SPD!AN14,SPMW!AN14,SSEH!AN14,SSES!AN14)</f>
        <v>0</v>
      </c>
      <c r="AO14" s="216">
        <f>CHOOSE(m_identity,ENWL!AO14, NPgN!AO14, NPgY!AO14, WMID!AO14, EMID!AO14, SWALES!AO14, SWEST!AO14, LPN!AO14,SPN!AO14,EPN!AO14,SPD!AO14,SPMW!AO14,SSEH!AO14,SSES!AO14)</f>
        <v>0</v>
      </c>
      <c r="AP14" s="216">
        <f>CHOOSE(m_identity,ENWL!AP14, NPgN!AP14, NPgY!AP14, WMID!AP14, EMID!AP14, SWALES!AP14, SWEST!AP14, LPN!AP14,SPN!AP14,EPN!AP14,SPD!AP14,SPMW!AP14,SSEH!AP14,SSES!AP14)</f>
        <v>0</v>
      </c>
      <c r="AQ14" s="216">
        <f>CHOOSE(m_identity,ENWL!AQ14, NPgN!AQ14, NPgY!AQ14, WMID!AQ14, EMID!AQ14, SWALES!AQ14, SWEST!AQ14, LPN!AQ14,SPN!AQ14,EPN!AQ14,SPD!AQ14,SPMW!AQ14,SSEH!AQ14,SSES!AQ14)</f>
        <v>0</v>
      </c>
    </row>
    <row r="15" spans="1:44" s="156" customFormat="1" ht="15" customHeight="1">
      <c r="D15" s="98"/>
      <c r="E15" s="50" t="s">
        <v>837</v>
      </c>
      <c r="F15" s="382" t="s">
        <v>778</v>
      </c>
      <c r="G15" s="98" t="s">
        <v>657</v>
      </c>
      <c r="H15" s="256" t="s">
        <v>708</v>
      </c>
      <c r="AJ15" s="216">
        <f>CHOOSE(m_identity,ENWL!AJ15, NPgN!AJ15, NPgY!AJ15, WMID!AJ15, EMID!AJ15, SWALES!AJ15, SWEST!AJ15, LPN!AJ15,SPN!AJ15,EPN!AJ15,SPD!AJ15,SPMW!AJ15,SSEH!AJ15,SSES!AJ15)</f>
        <v>0</v>
      </c>
      <c r="AK15" s="216">
        <f>CHOOSE(m_identity,ENWL!AK15, NPgN!AK15, NPgY!AK15, WMID!AK15, EMID!AK15, SWALES!AK15, SWEST!AK15, LPN!AK15,SPN!AK15,EPN!AK15,SPD!AK15,SPMW!AK15,SSEH!AK15,SSES!AK15)</f>
        <v>0</v>
      </c>
      <c r="AL15" s="216">
        <f>CHOOSE(m_identity,ENWL!AL15, NPgN!AL15, NPgY!AL15, WMID!AL15, EMID!AL15, SWALES!AL15, SWEST!AL15, LPN!AL15,SPN!AL15,EPN!AL15,SPD!AL15,SPMW!AL15,SSEH!AL15,SSES!AL15)</f>
        <v>0</v>
      </c>
      <c r="AM15" s="216">
        <f>CHOOSE(m_identity,ENWL!AM15, NPgN!AM15, NPgY!AM15, WMID!AM15, EMID!AM15, SWALES!AM15, SWEST!AM15, LPN!AM15,SPN!AM15,EPN!AM15,SPD!AM15,SPMW!AM15,SSEH!AM15,SSES!AM15)</f>
        <v>0</v>
      </c>
      <c r="AN15" s="216">
        <f>CHOOSE(m_identity,ENWL!AN15, NPgN!AN15, NPgY!AN15, WMID!AN15, EMID!AN15, SWALES!AN15, SWEST!AN15, LPN!AN15,SPN!AN15,EPN!AN15,SPD!AN15,SPMW!AN15,SSEH!AN15,SSES!AN15)</f>
        <v>0</v>
      </c>
      <c r="AO15" s="216">
        <f>CHOOSE(m_identity,ENWL!AO15, NPgN!AO15, NPgY!AO15, WMID!AO15, EMID!AO15, SWALES!AO15, SWEST!AO15, LPN!AO15,SPN!AO15,EPN!AO15,SPD!AO15,SPMW!AO15,SSEH!AO15,SSES!AO15)</f>
        <v>0</v>
      </c>
      <c r="AP15" s="216">
        <f>CHOOSE(m_identity,ENWL!AP15, NPgN!AP15, NPgY!AP15, WMID!AP15, EMID!AP15, SWALES!AP15, SWEST!AP15, LPN!AP15,SPN!AP15,EPN!AP15,SPD!AP15,SPMW!AP15,SSEH!AP15,SSES!AP15)</f>
        <v>0</v>
      </c>
      <c r="AQ15" s="216">
        <f>CHOOSE(m_identity,ENWL!AQ15, NPgN!AQ15, NPgY!AQ15, WMID!AQ15, EMID!AQ15, SWALES!AQ15, SWEST!AQ15, LPN!AQ15,SPN!AQ15,EPN!AQ15,SPD!AQ15,SPMW!AQ15,SSEH!AQ15,SSES!AQ15)</f>
        <v>0</v>
      </c>
    </row>
    <row r="16" spans="1:44" s="156" customFormat="1" ht="15" customHeight="1">
      <c r="D16" s="98"/>
      <c r="E16" s="50" t="s">
        <v>839</v>
      </c>
      <c r="F16" s="382" t="s">
        <v>778</v>
      </c>
      <c r="G16" s="98" t="s">
        <v>657</v>
      </c>
      <c r="H16" s="256" t="s">
        <v>731</v>
      </c>
      <c r="AJ16" s="216">
        <f>CHOOSE(m_identity,ENWL!AJ16, NPgN!AJ16, NPgY!AJ16, WMID!AJ16, EMID!AJ16, SWALES!AJ16, SWEST!AJ16, LPN!AJ16,SPN!AJ16,EPN!AJ16,SPD!AJ16,SPMW!AJ16,SSEH!AJ16,SSES!AJ16)</f>
        <v>0</v>
      </c>
      <c r="AK16" s="216">
        <f>CHOOSE(m_identity,ENWL!AK16, NPgN!AK16, NPgY!AK16, WMID!AK16, EMID!AK16, SWALES!AK16, SWEST!AK16, LPN!AK16,SPN!AK16,EPN!AK16,SPD!AK16,SPMW!AK16,SSEH!AK16,SSES!AK16)</f>
        <v>0</v>
      </c>
      <c r="AL16" s="216">
        <f>CHOOSE(m_identity,ENWL!AL16, NPgN!AL16, NPgY!AL16, WMID!AL16, EMID!AL16, SWALES!AL16, SWEST!AL16, LPN!AL16,SPN!AL16,EPN!AL16,SPD!AL16,SPMW!AL16,SSEH!AL16,SSES!AL16)</f>
        <v>0</v>
      </c>
      <c r="AM16" s="216">
        <f>CHOOSE(m_identity,ENWL!AM16, NPgN!AM16, NPgY!AM16, WMID!AM16, EMID!AM16, SWALES!AM16, SWEST!AM16, LPN!AM16,SPN!AM16,EPN!AM16,SPD!AM16,SPMW!AM16,SSEH!AM16,SSES!AM16)</f>
        <v>0</v>
      </c>
      <c r="AN16" s="216">
        <f>CHOOSE(m_identity,ENWL!AN16, NPgN!AN16, NPgY!AN16, WMID!AN16, EMID!AN16, SWALES!AN16, SWEST!AN16, LPN!AN16,SPN!AN16,EPN!AN16,SPD!AN16,SPMW!AN16,SSEH!AN16,SSES!AN16)</f>
        <v>0</v>
      </c>
      <c r="AO16" s="216">
        <f>CHOOSE(m_identity,ENWL!AO16, NPgN!AO16, NPgY!AO16, WMID!AO16, EMID!AO16, SWALES!AO16, SWEST!AO16, LPN!AO16,SPN!AO16,EPN!AO16,SPD!AO16,SPMW!AO16,SSEH!AO16,SSES!AO16)</f>
        <v>0</v>
      </c>
      <c r="AP16" s="216">
        <f>CHOOSE(m_identity,ENWL!AP16, NPgN!AP16, NPgY!AP16, WMID!AP16, EMID!AP16, SWALES!AP16, SWEST!AP16, LPN!AP16,SPN!AP16,EPN!AP16,SPD!AP16,SPMW!AP16,SSEH!AP16,SSES!AP16)</f>
        <v>0</v>
      </c>
      <c r="AQ16" s="216">
        <f>CHOOSE(m_identity,ENWL!AQ16, NPgN!AQ16, NPgY!AQ16, WMID!AQ16, EMID!AQ16, SWALES!AQ16, SWEST!AQ16, LPN!AQ16,SPN!AQ16,EPN!AQ16,SPD!AQ16,SPMW!AQ16,SSEH!AQ16,SSES!AQ16)</f>
        <v>0</v>
      </c>
    </row>
    <row r="17" spans="4:43" s="156" customFormat="1" ht="15" customHeight="1">
      <c r="D17" s="98"/>
      <c r="E17" s="50" t="s">
        <v>701</v>
      </c>
      <c r="F17" s="382" t="s">
        <v>778</v>
      </c>
      <c r="G17" s="98" t="s">
        <v>657</v>
      </c>
      <c r="H17" s="256" t="s">
        <v>732</v>
      </c>
      <c r="AJ17" s="216">
        <f>CHOOSE(m_identity,ENWL!AJ17, NPgN!AJ17, NPgY!AJ17, WMID!AJ17, EMID!AJ17, SWALES!AJ17, SWEST!AJ17, LPN!AJ17,SPN!AJ17,EPN!AJ17,SPD!AJ17,SPMW!AJ17,SSEH!AJ17,SSES!AJ17)</f>
        <v>0</v>
      </c>
      <c r="AK17" s="216">
        <f>CHOOSE(m_identity,ENWL!AK17, NPgN!AK17, NPgY!AK17, WMID!AK17, EMID!AK17, SWALES!AK17, SWEST!AK17, LPN!AK17,SPN!AK17,EPN!AK17,SPD!AK17,SPMW!AK17,SSEH!AK17,SSES!AK17)</f>
        <v>0</v>
      </c>
      <c r="AL17" s="216">
        <f>CHOOSE(m_identity,ENWL!AL17, NPgN!AL17, NPgY!AL17, WMID!AL17, EMID!AL17, SWALES!AL17, SWEST!AL17, LPN!AL17,SPN!AL17,EPN!AL17,SPD!AL17,SPMW!AL17,SSEH!AL17,SSES!AL17)</f>
        <v>0</v>
      </c>
      <c r="AM17" s="216">
        <f>CHOOSE(m_identity,ENWL!AM17, NPgN!AM17, NPgY!AM17, WMID!AM17, EMID!AM17, SWALES!AM17, SWEST!AM17, LPN!AM17,SPN!AM17,EPN!AM17,SPD!AM17,SPMW!AM17,SSEH!AM17,SSES!AM17)</f>
        <v>0</v>
      </c>
      <c r="AN17" s="216">
        <f>CHOOSE(m_identity,ENWL!AN17, NPgN!AN17, NPgY!AN17, WMID!AN17, EMID!AN17, SWALES!AN17, SWEST!AN17, LPN!AN17,SPN!AN17,EPN!AN17,SPD!AN17,SPMW!AN17,SSEH!AN17,SSES!AN17)</f>
        <v>0</v>
      </c>
      <c r="AO17" s="216">
        <f>CHOOSE(m_identity,ENWL!AO17, NPgN!AO17, NPgY!AO17, WMID!AO17, EMID!AO17, SWALES!AO17, SWEST!AO17, LPN!AO17,SPN!AO17,EPN!AO17,SPD!AO17,SPMW!AO17,SSEH!AO17,SSES!AO17)</f>
        <v>0</v>
      </c>
      <c r="AP17" s="216">
        <f>CHOOSE(m_identity,ENWL!AP17, NPgN!AP17, NPgY!AP17, WMID!AP17, EMID!AP17, SWALES!AP17, SWEST!AP17, LPN!AP17,SPN!AP17,EPN!AP17,SPD!AP17,SPMW!AP17,SSEH!AP17,SSES!AP17)</f>
        <v>0</v>
      </c>
      <c r="AQ17" s="216">
        <f>CHOOSE(m_identity,ENWL!AQ17, NPgN!AQ17, NPgY!AQ17, WMID!AQ17, EMID!AQ17, SWALES!AQ17, SWEST!AQ17, LPN!AQ17,SPN!AQ17,EPN!AQ17,SPD!AQ17,SPMW!AQ17,SSEH!AQ17,SSES!AQ17)</f>
        <v>0</v>
      </c>
    </row>
    <row r="18" spans="4:43" ht="15" customHeight="1">
      <c r="E18" s="4" t="s">
        <v>838</v>
      </c>
      <c r="F18" s="382" t="s">
        <v>778</v>
      </c>
      <c r="G18" s="98" t="s">
        <v>657</v>
      </c>
      <c r="H18" s="256" t="s">
        <v>733</v>
      </c>
      <c r="I18" s="156"/>
      <c r="AJ18" s="216">
        <f>CHOOSE(m_identity,ENWL!AJ18, NPgN!AJ18, NPgY!AJ18, WMID!AJ18, EMID!AJ18, SWALES!AJ18, SWEST!AJ18, LPN!AJ18,SPN!AJ18,EPN!AJ18,SPD!AJ18,SPMW!AJ18,SSEH!AJ18,SSES!AJ18)</f>
        <v>0</v>
      </c>
      <c r="AK18" s="216">
        <f>CHOOSE(m_identity,ENWL!AK18, NPgN!AK18, NPgY!AK18, WMID!AK18, EMID!AK18, SWALES!AK18, SWEST!AK18, LPN!AK18,SPN!AK18,EPN!AK18,SPD!AK18,SPMW!AK18,SSEH!AK18,SSES!AK18)</f>
        <v>0</v>
      </c>
      <c r="AL18" s="216">
        <f>CHOOSE(m_identity,ENWL!AL18, NPgN!AL18, NPgY!AL18, WMID!AL18, EMID!AL18, SWALES!AL18, SWEST!AL18, LPN!AL18,SPN!AL18,EPN!AL18,SPD!AL18,SPMW!AL18,SSEH!AL18,SSES!AL18)</f>
        <v>0</v>
      </c>
      <c r="AM18" s="216">
        <f>CHOOSE(m_identity,ENWL!AM18, NPgN!AM18, NPgY!AM18, WMID!AM18, EMID!AM18, SWALES!AM18, SWEST!AM18, LPN!AM18,SPN!AM18,EPN!AM18,SPD!AM18,SPMW!AM18,SSEH!AM18,SSES!AM18)</f>
        <v>0</v>
      </c>
      <c r="AN18" s="216">
        <f>CHOOSE(m_identity,ENWL!AN18, NPgN!AN18, NPgY!AN18, WMID!AN18, EMID!AN18, SWALES!AN18, SWEST!AN18, LPN!AN18,SPN!AN18,EPN!AN18,SPD!AN18,SPMW!AN18,SSEH!AN18,SSES!AN18)</f>
        <v>0</v>
      </c>
      <c r="AO18" s="216">
        <f>CHOOSE(m_identity,ENWL!AO18, NPgN!AO18, NPgY!AO18, WMID!AO18, EMID!AO18, SWALES!AO18, SWEST!AO18, LPN!AO18,SPN!AO18,EPN!AO18,SPD!AO18,SPMW!AO18,SSEH!AO18,SSES!AO18)</f>
        <v>0</v>
      </c>
      <c r="AP18" s="216">
        <f>CHOOSE(m_identity,ENWL!AP18, NPgN!AP18, NPgY!AP18, WMID!AP18, EMID!AP18, SWALES!AP18, SWEST!AP18, LPN!AP18,SPN!AP18,EPN!AP18,SPD!AP18,SPMW!AP18,SSEH!AP18,SSES!AP18)</f>
        <v>0</v>
      </c>
      <c r="AQ18" s="216">
        <f>CHOOSE(m_identity,ENWL!AQ18, NPgN!AQ18, NPgY!AQ18, WMID!AQ18, EMID!AQ18, SWALES!AQ18, SWEST!AQ18, LPN!AQ18,SPN!AQ18,EPN!AQ18,SPD!AQ18,SPMW!AQ18,SSEH!AQ18,SSES!AQ18)</f>
        <v>0</v>
      </c>
    </row>
    <row r="19" spans="4:43" s="156" customFormat="1" ht="15" customHeight="1">
      <c r="D19" s="98"/>
      <c r="E19" s="50" t="s">
        <v>688</v>
      </c>
      <c r="F19" s="257" t="s">
        <v>779</v>
      </c>
      <c r="G19" s="98" t="s">
        <v>657</v>
      </c>
      <c r="H19" s="256" t="s">
        <v>734</v>
      </c>
      <c r="AJ19" s="216">
        <f>CHOOSE(m_identity,ENWL!AJ19, NPgN!AJ19, NPgY!AJ19, WMID!AJ19, EMID!AJ19, SWALES!AJ19, SWEST!AJ19, LPN!AJ19,SPN!AJ19,EPN!AJ19,SPD!AJ19,SPMW!AJ19,SSEH!AJ19,SSES!AJ19)</f>
        <v>0</v>
      </c>
      <c r="AK19" s="216">
        <f>CHOOSE(m_identity,ENWL!AK19, NPgN!AK19, NPgY!AK19, WMID!AK19, EMID!AK19, SWALES!AK19, SWEST!AK19, LPN!AK19,SPN!AK19,EPN!AK19,SPD!AK19,SPMW!AK19,SSEH!AK19,SSES!AK19)</f>
        <v>0</v>
      </c>
      <c r="AL19" s="216">
        <f>CHOOSE(m_identity,ENWL!AL19, NPgN!AL19, NPgY!AL19, WMID!AL19, EMID!AL19, SWALES!AL19, SWEST!AL19, LPN!AL19,SPN!AL19,EPN!AL19,SPD!AL19,SPMW!AL19,SSEH!AL19,SSES!AL19)</f>
        <v>0</v>
      </c>
      <c r="AM19" s="216">
        <f>CHOOSE(m_identity,ENWL!AM19, NPgN!AM19, NPgY!AM19, WMID!AM19, EMID!AM19, SWALES!AM19, SWEST!AM19, LPN!AM19,SPN!AM19,EPN!AM19,SPD!AM19,SPMW!AM19,SSEH!AM19,SSES!AM19)</f>
        <v>0</v>
      </c>
      <c r="AN19" s="216">
        <f>CHOOSE(m_identity,ENWL!AN19, NPgN!AN19, NPgY!AN19, WMID!AN19, EMID!AN19, SWALES!AN19, SWEST!AN19, LPN!AN19,SPN!AN19,EPN!AN19,SPD!AN19,SPMW!AN19,SSEH!AN19,SSES!AN19)</f>
        <v>0</v>
      </c>
      <c r="AO19" s="216">
        <f>CHOOSE(m_identity,ENWL!AO19, NPgN!AO19, NPgY!AO19, WMID!AO19, EMID!AO19, SWALES!AO19, SWEST!AO19, LPN!AO19,SPN!AO19,EPN!AO19,SPD!AO19,SPMW!AO19,SSEH!AO19,SSES!AO19)</f>
        <v>0</v>
      </c>
      <c r="AP19" s="216">
        <f>CHOOSE(m_identity,ENWL!AP19, NPgN!AP19, NPgY!AP19, WMID!AP19, EMID!AP19, SWALES!AP19, SWEST!AP19, LPN!AP19,SPN!AP19,EPN!AP19,SPD!AP19,SPMW!AP19,SSEH!AP19,SSES!AP19)</f>
        <v>0</v>
      </c>
      <c r="AQ19" s="216">
        <f>CHOOSE(m_identity,ENWL!AQ19, NPgN!AQ19, NPgY!AQ19, WMID!AQ19, EMID!AQ19, SWALES!AQ19, SWEST!AQ19, LPN!AQ19,SPN!AQ19,EPN!AQ19,SPD!AQ19,SPMW!AQ19,SSEH!AQ19,SSES!AQ19)</f>
        <v>0</v>
      </c>
    </row>
    <row r="20" spans="4:43" s="156" customFormat="1" ht="15" customHeight="1">
      <c r="D20" s="98"/>
      <c r="E20" s="50" t="s">
        <v>686</v>
      </c>
      <c r="F20" s="256" t="s">
        <v>779</v>
      </c>
      <c r="G20" s="98" t="s">
        <v>657</v>
      </c>
      <c r="H20" s="256" t="s">
        <v>687</v>
      </c>
      <c r="AJ20" s="216">
        <f>CHOOSE(m_identity,ENWL!AJ20, NPgN!AJ20, NPgY!AJ20, WMID!AJ20, EMID!AJ20, SWALES!AJ20, SWEST!AJ20, LPN!AJ20,SPN!AJ20,EPN!AJ20,SPD!AJ20,SPMW!AJ20,SSEH!AJ20,SSES!AJ20)</f>
        <v>4.4331989648722203</v>
      </c>
      <c r="AK20" s="216">
        <f>CHOOSE(m_identity,ENWL!AK20, NPgN!AK20, NPgY!AK20, WMID!AK20, EMID!AK20, SWALES!AK20, SWEST!AK20, LPN!AK20,SPN!AK20,EPN!AK20,SPD!AK20,SPMW!AK20,SSEH!AK20,SSES!AK20)</f>
        <v>4.4218476063663132</v>
      </c>
      <c r="AL20" s="216">
        <f>CHOOSE(m_identity,ENWL!AL20, NPgN!AL20, NPgY!AL20, WMID!AL20, EMID!AL20, SWALES!AL20, SWEST!AL20, LPN!AL20,SPN!AL20,EPN!AL20,SPD!AL20,SPMW!AL20,SSEH!AL20,SSES!AL20)</f>
        <v>8.8267849169105244</v>
      </c>
      <c r="AM20" s="216">
        <f>CHOOSE(m_identity,ENWL!AM20, NPgN!AM20, NPgY!AM20, WMID!AM20, EMID!AM20, SWALES!AM20, SWEST!AM20, LPN!AM20,SPN!AM20,EPN!AM20,SPD!AM20,SPMW!AM20,SSEH!AM20,SSES!AM20)</f>
        <v>8.7584621512741183</v>
      </c>
      <c r="AN20" s="216">
        <f>CHOOSE(m_identity,ENWL!AN20, NPgN!AN20, NPgY!AN20, WMID!AN20, EMID!AN20, SWALES!AN20, SWEST!AN20, LPN!AN20,SPN!AN20,EPN!AN20,SPD!AN20,SPMW!AN20,SSEH!AN20,SSES!AN20)</f>
        <v>0</v>
      </c>
      <c r="AO20" s="216">
        <f>CHOOSE(m_identity,ENWL!AO20, NPgN!AO20, NPgY!AO20, WMID!AO20, EMID!AO20, SWALES!AO20, SWEST!AO20, LPN!AO20,SPN!AO20,EPN!AO20,SPD!AO20,SPMW!AO20,SSEH!AO20,SSES!AO20)</f>
        <v>0</v>
      </c>
      <c r="AP20" s="216">
        <f>CHOOSE(m_identity,ENWL!AP20, NPgN!AP20, NPgY!AP20, WMID!AP20, EMID!AP20, SWALES!AP20, SWEST!AP20, LPN!AP20,SPN!AP20,EPN!AP20,SPD!AP20,SPMW!AP20,SSEH!AP20,SSES!AP20)</f>
        <v>0</v>
      </c>
      <c r="AQ20" s="216">
        <f>CHOOSE(m_identity,ENWL!AQ20, NPgN!AQ20, NPgY!AQ20, WMID!AQ20, EMID!AQ20, SWALES!AQ20, SWEST!AQ20, LPN!AQ20,SPN!AQ20,EPN!AQ20,SPD!AQ20,SPMW!AQ20,SSEH!AQ20,SSES!AQ20)</f>
        <v>0</v>
      </c>
    </row>
    <row r="21" spans="4:43" s="156" customFormat="1" ht="15" customHeight="1">
      <c r="D21" s="98"/>
      <c r="E21" s="50" t="s">
        <v>846</v>
      </c>
      <c r="F21" s="257" t="s">
        <v>780</v>
      </c>
      <c r="G21" s="98" t="s">
        <v>657</v>
      </c>
      <c r="H21" s="256" t="s">
        <v>693</v>
      </c>
      <c r="AJ21" s="216">
        <f>CHOOSE(m_identity,ENWL!AJ21, NPgN!AJ21, NPgY!AJ21, WMID!AJ21, EMID!AJ21, SWALES!AJ21, SWEST!AJ21, LPN!AJ21,SPN!AJ21,EPN!AJ21,SPD!AJ21,SPMW!AJ21,SSEH!AJ21,SSES!AJ21)</f>
        <v>0</v>
      </c>
      <c r="AK21" s="216">
        <f>CHOOSE(m_identity,ENWL!AK21, NPgN!AK21, NPgY!AK21, WMID!AK21, EMID!AK21, SWALES!AK21, SWEST!AK21, LPN!AK21,SPN!AK21,EPN!AK21,SPD!AK21,SPMW!AK21,SSEH!AK21,SSES!AK21)</f>
        <v>0</v>
      </c>
      <c r="AL21" s="216">
        <f>CHOOSE(m_identity,ENWL!AL21, NPgN!AL21, NPgY!AL21, WMID!AL21, EMID!AL21, SWALES!AL21, SWEST!AL21, LPN!AL21,SPN!AL21,EPN!AL21,SPD!AL21,SPMW!AL21,SSEH!AL21,SSES!AL21)</f>
        <v>0</v>
      </c>
      <c r="AM21" s="216">
        <f>CHOOSE(m_identity,ENWL!AM21, NPgN!AM21, NPgY!AM21, WMID!AM21, EMID!AM21, SWALES!AM21, SWEST!AM21, LPN!AM21,SPN!AM21,EPN!AM21,SPD!AM21,SPMW!AM21,SSEH!AM21,SSES!AM21)</f>
        <v>0</v>
      </c>
      <c r="AN21" s="216">
        <f>CHOOSE(m_identity,ENWL!AN21, NPgN!AN21, NPgY!AN21, WMID!AN21, EMID!AN21, SWALES!AN21, SWEST!AN21, LPN!AN21,SPN!AN21,EPN!AN21,SPD!AN21,SPMW!AN21,SSEH!AN21,SSES!AN21)</f>
        <v>0</v>
      </c>
      <c r="AO21" s="216">
        <f>CHOOSE(m_identity,ENWL!AO21, NPgN!AO21, NPgY!AO21, WMID!AO21, EMID!AO21, SWALES!AO21, SWEST!AO21, LPN!AO21,SPN!AO21,EPN!AO21,SPD!AO21,SPMW!AO21,SSEH!AO21,SSES!AO21)</f>
        <v>0</v>
      </c>
      <c r="AP21" s="216">
        <f>CHOOSE(m_identity,ENWL!AP21, NPgN!AP21, NPgY!AP21, WMID!AP21, EMID!AP21, SWALES!AP21, SWEST!AP21, LPN!AP21,SPN!AP21,EPN!AP21,SPD!AP21,SPMW!AP21,SSEH!AP21,SSES!AP21)</f>
        <v>0</v>
      </c>
      <c r="AQ21" s="216">
        <f>CHOOSE(m_identity,ENWL!AQ21, NPgN!AQ21, NPgY!AQ21, WMID!AQ21, EMID!AQ21, SWALES!AQ21, SWEST!AQ21, LPN!AQ21,SPN!AQ21,EPN!AQ21,SPD!AQ21,SPMW!AQ21,SSEH!AQ21,SSES!AQ21)</f>
        <v>0</v>
      </c>
    </row>
    <row r="22" spans="4:43" s="156" customFormat="1" ht="15" customHeight="1">
      <c r="D22" s="98"/>
      <c r="E22" s="50" t="s">
        <v>847</v>
      </c>
      <c r="F22" s="256" t="s">
        <v>781</v>
      </c>
      <c r="G22" s="98" t="s">
        <v>657</v>
      </c>
      <c r="H22" s="256" t="s">
        <v>694</v>
      </c>
      <c r="AJ22" s="216">
        <f>CHOOSE(m_identity,ENWL!AJ22, NPgN!AJ22, NPgY!AJ22, WMID!AJ22, EMID!AJ22, SWALES!AJ22, SWEST!AJ22, LPN!AJ22,SPN!AJ22,EPN!AJ22,SPD!AJ22,SPMW!AJ22,SSEH!AJ22,SSES!AJ22)</f>
        <v>0</v>
      </c>
      <c r="AK22" s="216">
        <f>CHOOSE(m_identity,ENWL!AK22, NPgN!AK22, NPgY!AK22, WMID!AK22, EMID!AK22, SWALES!AK22, SWEST!AK22, LPN!AK22,SPN!AK22,EPN!AK22,SPD!AK22,SPMW!AK22,SSEH!AK22,SSES!AK22)</f>
        <v>0</v>
      </c>
      <c r="AL22" s="216">
        <f>CHOOSE(m_identity,ENWL!AL22, NPgN!AL22, NPgY!AL22, WMID!AL22, EMID!AL22, SWALES!AL22, SWEST!AL22, LPN!AL22,SPN!AL22,EPN!AL22,SPD!AL22,SPMW!AL22,SSEH!AL22,SSES!AL22)</f>
        <v>0</v>
      </c>
      <c r="AM22" s="216">
        <f>CHOOSE(m_identity,ENWL!AM22, NPgN!AM22, NPgY!AM22, WMID!AM22, EMID!AM22, SWALES!AM22, SWEST!AM22, LPN!AM22,SPN!AM22,EPN!AM22,SPD!AM22,SPMW!AM22,SSEH!AM22,SSES!AM22)</f>
        <v>0</v>
      </c>
      <c r="AN22" s="216">
        <f>CHOOSE(m_identity,ENWL!AN22, NPgN!AN22, NPgY!AN22, WMID!AN22, EMID!AN22, SWALES!AN22, SWEST!AN22, LPN!AN22,SPN!AN22,EPN!AN22,SPD!AN22,SPMW!AN22,SSEH!AN22,SSES!AN22)</f>
        <v>0</v>
      </c>
      <c r="AO22" s="216">
        <f>CHOOSE(m_identity,ENWL!AO22, NPgN!AO22, NPgY!AO22, WMID!AO22, EMID!AO22, SWALES!AO22, SWEST!AO22, LPN!AO22,SPN!AO22,EPN!AO22,SPD!AO22,SPMW!AO22,SSEH!AO22,SSES!AO22)</f>
        <v>0</v>
      </c>
      <c r="AP22" s="216">
        <f>CHOOSE(m_identity,ENWL!AP22, NPgN!AP22, NPgY!AP22, WMID!AP22, EMID!AP22, SWALES!AP22, SWEST!AP22, LPN!AP22,SPN!AP22,EPN!AP22,SPD!AP22,SPMW!AP22,SSEH!AP22,SSES!AP22)</f>
        <v>0</v>
      </c>
      <c r="AQ22" s="216">
        <f>CHOOSE(m_identity,ENWL!AQ22, NPgN!AQ22, NPgY!AQ22, WMID!AQ22, EMID!AQ22, SWALES!AQ22, SWEST!AQ22, LPN!AQ22,SPN!AQ22,EPN!AQ22,SPD!AQ22,SPMW!AQ22,SSEH!AQ22,SSES!AQ22)</f>
        <v>0</v>
      </c>
    </row>
    <row r="23" spans="4:43" s="156" customFormat="1" ht="15" customHeight="1">
      <c r="D23" s="98"/>
      <c r="E23" s="50" t="s">
        <v>845</v>
      </c>
      <c r="F23" s="256" t="s">
        <v>782</v>
      </c>
      <c r="G23" s="98" t="s">
        <v>657</v>
      </c>
      <c r="H23" s="256" t="s">
        <v>735</v>
      </c>
      <c r="AJ23" s="216">
        <f>CHOOSE(m_identity,ENWL!AJ23, NPgN!AJ23, NPgY!AJ23, WMID!AJ23, EMID!AJ23, SWALES!AJ23, SWEST!AJ23, LPN!AJ23,SPN!AJ23,EPN!AJ23,SPD!AJ23,SPMW!AJ23,SSEH!AJ23,SSES!AJ23)</f>
        <v>1.2550932743566807</v>
      </c>
      <c r="AK23" s="216">
        <f>CHOOSE(m_identity,ENWL!AK23, NPgN!AK23, NPgY!AK23, WMID!AK23, EMID!AK23, SWALES!AK23, SWEST!AK23, LPN!AK23,SPN!AK23,EPN!AK23,SPD!AK23,SPMW!AK23,SSEH!AK23,SSES!AK23)</f>
        <v>2.3971371281907183</v>
      </c>
      <c r="AL23" s="216">
        <f>CHOOSE(m_identity,ENWL!AL23, NPgN!AL23, NPgY!AL23, WMID!AL23, EMID!AL23, SWALES!AL23, SWEST!AL23, LPN!AL23,SPN!AL23,EPN!AL23,SPD!AL23,SPMW!AL23,SSEH!AL23,SSES!AL23)</f>
        <v>3.4016662363092602</v>
      </c>
      <c r="AM23" s="216">
        <f>CHOOSE(m_identity,ENWL!AM23, NPgN!AM23, NPgY!AM23, WMID!AM23, EMID!AM23, SWALES!AM23, SWEST!AM23, LPN!AM23,SPN!AM23,EPN!AM23,SPD!AM23,SPMW!AM23,SSEH!AM23,SSES!AM23)</f>
        <v>3.7877373888249091</v>
      </c>
      <c r="AN23" s="216">
        <f>CHOOSE(m_identity,ENWL!AN23, NPgN!AN23, NPgY!AN23, WMID!AN23, EMID!AN23, SWALES!AN23, SWEST!AN23, LPN!AN23,SPN!AN23,EPN!AN23,SPD!AN23,SPMW!AN23,SSEH!AN23,SSES!AN23)</f>
        <v>3.5918771334728357</v>
      </c>
      <c r="AO23" s="216">
        <f>CHOOSE(m_identity,ENWL!AO23, NPgN!AO23, NPgY!AO23, WMID!AO23, EMID!AO23, SWALES!AO23, SWEST!AO23, LPN!AO23,SPN!AO23,EPN!AO23,SPD!AO23,SPMW!AO23,SSEH!AO23,SSES!AO23)</f>
        <v>2.5231788834817466</v>
      </c>
      <c r="AP23" s="216">
        <f>CHOOSE(m_identity,ENWL!AP23, NPgN!AP23, NPgY!AP23, WMID!AP23, EMID!AP23, SWALES!AP23, SWEST!AP23, LPN!AP23,SPN!AP23,EPN!AP23,SPD!AP23,SPMW!AP23,SSEH!AP23,SSES!AP23)</f>
        <v>0</v>
      </c>
      <c r="AQ23" s="216">
        <f>CHOOSE(m_identity,ENWL!AQ23, NPgN!AQ23, NPgY!AQ23, WMID!AQ23, EMID!AQ23, SWALES!AQ23, SWEST!AQ23, LPN!AQ23,SPN!AQ23,EPN!AQ23,SPD!AQ23,SPMW!AQ23,SSEH!AQ23,SSES!AQ23)</f>
        <v>0</v>
      </c>
    </row>
    <row r="24" spans="4:43" s="156" customFormat="1" ht="15" customHeight="1">
      <c r="D24" s="98"/>
      <c r="E24" s="50" t="s">
        <v>689</v>
      </c>
      <c r="F24" s="256" t="s">
        <v>779</v>
      </c>
      <c r="G24" s="98" t="s">
        <v>657</v>
      </c>
      <c r="H24" s="256" t="s">
        <v>690</v>
      </c>
      <c r="AJ24" s="216">
        <f>CHOOSE(m_identity,ENWL!AJ24, NPgN!AJ24, NPgY!AJ24, WMID!AJ24, EMID!AJ24, SWALES!AJ24, SWEST!AJ24, LPN!AJ24,SPN!AJ24,EPN!AJ24,SPD!AJ24,SPMW!AJ24,SSEH!AJ24,SSES!AJ24)</f>
        <v>0</v>
      </c>
      <c r="AK24" s="216">
        <f>CHOOSE(m_identity,ENWL!AK24, NPgN!AK24, NPgY!AK24, WMID!AK24, EMID!AK24, SWALES!AK24, SWEST!AK24, LPN!AK24,SPN!AK24,EPN!AK24,SPD!AK24,SPMW!AK24,SSEH!AK24,SSES!AK24)</f>
        <v>0</v>
      </c>
      <c r="AL24" s="216">
        <f>CHOOSE(m_identity,ENWL!AL24, NPgN!AL24, NPgY!AL24, WMID!AL24, EMID!AL24, SWALES!AL24, SWEST!AL24, LPN!AL24,SPN!AL24,EPN!AL24,SPD!AL24,SPMW!AL24,SSEH!AL24,SSES!AL24)</f>
        <v>0</v>
      </c>
      <c r="AM24" s="216">
        <f>CHOOSE(m_identity,ENWL!AM24, NPgN!AM24, NPgY!AM24, WMID!AM24, EMID!AM24, SWALES!AM24, SWEST!AM24, LPN!AM24,SPN!AM24,EPN!AM24,SPD!AM24,SPMW!AM24,SSEH!AM24,SSES!AM24)</f>
        <v>0</v>
      </c>
      <c r="AN24" s="216">
        <f>CHOOSE(m_identity,ENWL!AN24, NPgN!AN24, NPgY!AN24, WMID!AN24, EMID!AN24, SWALES!AN24, SWEST!AN24, LPN!AN24,SPN!AN24,EPN!AN24,SPD!AN24,SPMW!AN24,SSEH!AN24,SSES!AN24)</f>
        <v>0</v>
      </c>
      <c r="AO24" s="216">
        <f>CHOOSE(m_identity,ENWL!AO24, NPgN!AO24, NPgY!AO24, WMID!AO24, EMID!AO24, SWALES!AO24, SWEST!AO24, LPN!AO24,SPN!AO24,EPN!AO24,SPD!AO24,SPMW!AO24,SSEH!AO24,SSES!AO24)</f>
        <v>0</v>
      </c>
      <c r="AP24" s="216">
        <f>CHOOSE(m_identity,ENWL!AP24, NPgN!AP24, NPgY!AP24, WMID!AP24, EMID!AP24, SWALES!AP24, SWEST!AP24, LPN!AP24,SPN!AP24,EPN!AP24,SPD!AP24,SPMW!AP24,SSEH!AP24,SSES!AP24)</f>
        <v>0</v>
      </c>
      <c r="AQ24" s="216">
        <f>CHOOSE(m_identity,ENWL!AQ24, NPgN!AQ24, NPgY!AQ24, WMID!AQ24, EMID!AQ24, SWALES!AQ24, SWEST!AQ24, LPN!AQ24,SPN!AQ24,EPN!AQ24,SPD!AQ24,SPMW!AQ24,SSEH!AQ24,SSES!AQ24)</f>
        <v>0</v>
      </c>
    </row>
    <row r="25" spans="4:43" s="149" customFormat="1" ht="15" customHeight="1">
      <c r="E25" s="50" t="s">
        <v>691</v>
      </c>
      <c r="F25" s="256" t="s">
        <v>783</v>
      </c>
      <c r="G25" s="156" t="s">
        <v>657</v>
      </c>
      <c r="H25" s="256" t="s">
        <v>692</v>
      </c>
      <c r="I25" s="156"/>
      <c r="J25" s="14"/>
      <c r="K25" s="14"/>
      <c r="L25" s="14"/>
      <c r="M25" s="14"/>
      <c r="N25" s="14"/>
      <c r="O25" s="14"/>
      <c r="P25" s="14"/>
      <c r="Q25" s="14"/>
      <c r="R25" s="14"/>
      <c r="S25" s="14"/>
      <c r="T25" s="14"/>
      <c r="U25" s="14"/>
      <c r="V25" s="14"/>
      <c r="W25" s="14"/>
      <c r="X25" s="14"/>
      <c r="Y25" s="14"/>
      <c r="Z25" s="14"/>
      <c r="AJ25" s="216">
        <f>CHOOSE(m_identity,ENWL!AJ25, NPgN!AJ25, NPgY!AJ25, WMID!AJ25, EMID!AJ25, SWALES!AJ25, SWEST!AJ25, LPN!AJ25,SPN!AJ25,EPN!AJ25,SPD!AJ25,SPMW!AJ25,SSEH!AJ25,SSES!AJ25)</f>
        <v>25.832019863691382</v>
      </c>
      <c r="AK25" s="216">
        <f>CHOOSE(m_identity,ENWL!AK25, NPgN!AK25, NPgY!AK25, WMID!AK25, EMID!AK25, SWALES!AK25, SWEST!AK25, LPN!AK25,SPN!AK25,EPN!AK25,SPD!AK25,SPMW!AK25,SSEH!AK25,SSES!AK25)</f>
        <v>32.820003984751018</v>
      </c>
      <c r="AL25" s="216">
        <f>CHOOSE(m_identity,ENWL!AL25, NPgN!AL25, NPgY!AL25, WMID!AL25, EMID!AL25, SWALES!AL25, SWEST!AL25, LPN!AL25,SPN!AL25,EPN!AL25,SPD!AL25,SPMW!AL25,SSEH!AL25,SSES!AL25)</f>
        <v>26.241942606122297</v>
      </c>
      <c r="AM25" s="216">
        <f>CHOOSE(m_identity,ENWL!AM25, NPgN!AM25, NPgY!AM25, WMID!AM25, EMID!AM25, SWALES!AM25, SWEST!AM25, LPN!AM25,SPN!AM25,EPN!AM25,SPD!AM25,SPMW!AM25,SSEH!AM25,SSES!AM25)</f>
        <v>29.952919167105037</v>
      </c>
      <c r="AN25" s="216">
        <f>CHOOSE(m_identity,ENWL!AN25, NPgN!AN25, NPgY!AN25, WMID!AN25, EMID!AN25, SWALES!AN25, SWEST!AN25, LPN!AN25,SPN!AN25,EPN!AN25,SPD!AN25,SPMW!AN25,SSEH!AN25,SSES!AN25)</f>
        <v>18.265004942154651</v>
      </c>
      <c r="AO25" s="216">
        <f>CHOOSE(m_identity,ENWL!AO25, NPgN!AO25, NPgY!AO25, WMID!AO25, EMID!AO25, SWALES!AO25, SWEST!AO25, LPN!AO25,SPN!AO25,EPN!AO25,SPD!AO25,SPMW!AO25,SSEH!AO25,SSES!AO25)</f>
        <v>27.473887362664815</v>
      </c>
      <c r="AP25" s="216">
        <f>CHOOSE(m_identity,ENWL!AP25, NPgN!AP25, NPgY!AP25, WMID!AP25, EMID!AP25, SWALES!AP25, SWEST!AP25, LPN!AP25,SPN!AP25,EPN!AP25,SPD!AP25,SPMW!AP25,SSEH!AP25,SSES!AP25)</f>
        <v>38.740428934150096</v>
      </c>
      <c r="AQ25" s="216">
        <f>CHOOSE(m_identity,ENWL!AQ25, NPgN!AQ25, NPgY!AQ25, WMID!AQ25, EMID!AQ25, SWALES!AQ25, SWEST!AQ25, LPN!AQ25,SPN!AQ25,EPN!AQ25,SPD!AQ25,SPMW!AQ25,SSEH!AQ25,SSES!AQ25)</f>
        <v>33.809334586305127</v>
      </c>
    </row>
    <row r="26" spans="4:43" s="149" customFormat="1" ht="15" customHeight="1">
      <c r="E26" s="50" t="s">
        <v>801</v>
      </c>
      <c r="F26" s="415" t="s">
        <v>784</v>
      </c>
      <c r="G26" s="156" t="s">
        <v>657</v>
      </c>
      <c r="H26" s="256" t="s">
        <v>727</v>
      </c>
      <c r="I26" s="156"/>
      <c r="J26" s="14"/>
      <c r="K26" s="14"/>
      <c r="L26" s="14"/>
      <c r="M26" s="14"/>
      <c r="N26" s="14"/>
      <c r="O26" s="14"/>
      <c r="P26" s="14"/>
      <c r="Q26" s="14"/>
      <c r="R26" s="14"/>
      <c r="S26" s="14"/>
      <c r="T26" s="14"/>
      <c r="U26" s="14"/>
      <c r="V26" s="14"/>
      <c r="W26" s="14"/>
      <c r="X26" s="14"/>
      <c r="Y26" s="14"/>
      <c r="Z26" s="14"/>
      <c r="AJ26" s="216">
        <f>CHOOSE(m_identity,ENWL!AJ26, NPgN!AJ26, NPgY!AJ26, WMID!AJ26, EMID!AJ26, SWALES!AJ26, SWEST!AJ26, LPN!AJ26,SPN!AJ26,EPN!AJ26,SPD!AJ26,SPMW!AJ26,SSEH!AJ26,SSES!AJ26)</f>
        <v>0</v>
      </c>
      <c r="AK26" s="216">
        <f>CHOOSE(m_identity,ENWL!AK26, NPgN!AK26, NPgY!AK26, WMID!AK26, EMID!AK26, SWALES!AK26, SWEST!AK26, LPN!AK26,SPN!AK26,EPN!AK26,SPD!AK26,SPMW!AK26,SSEH!AK26,SSES!AK26)</f>
        <v>0</v>
      </c>
      <c r="AL26" s="216">
        <f>CHOOSE(m_identity,ENWL!AL26, NPgN!AL26, NPgY!AL26, WMID!AL26, EMID!AL26, SWALES!AL26, SWEST!AL26, LPN!AL26,SPN!AL26,EPN!AL26,SPD!AL26,SPMW!AL26,SSEH!AL26,SSES!AL26)</f>
        <v>0</v>
      </c>
      <c r="AM26" s="216">
        <f>CHOOSE(m_identity,ENWL!AM26, NPgN!AM26, NPgY!AM26, WMID!AM26, EMID!AM26, SWALES!AM26, SWEST!AM26, LPN!AM26,SPN!AM26,EPN!AM26,SPD!AM26,SPMW!AM26,SSEH!AM26,SSES!AM26)</f>
        <v>0</v>
      </c>
      <c r="AN26" s="216">
        <f>CHOOSE(m_identity,ENWL!AN26, NPgN!AN26, NPgY!AN26, WMID!AN26, EMID!AN26, SWALES!AN26, SWEST!AN26, LPN!AN26,SPN!AN26,EPN!AN26,SPD!AN26,SPMW!AN26,SSEH!AN26,SSES!AN26)</f>
        <v>0</v>
      </c>
      <c r="AO26" s="216">
        <f>CHOOSE(m_identity,ENWL!AO26, NPgN!AO26, NPgY!AO26, WMID!AO26, EMID!AO26, SWALES!AO26, SWEST!AO26, LPN!AO26,SPN!AO26,EPN!AO26,SPD!AO26,SPMW!AO26,SSEH!AO26,SSES!AO26)</f>
        <v>0</v>
      </c>
      <c r="AP26" s="216">
        <f>CHOOSE(m_identity,ENWL!AP26, NPgN!AP26, NPgY!AP26, WMID!AP26, EMID!AP26, SWALES!AP26, SWEST!AP26, LPN!AP26,SPN!AP26,EPN!AP26,SPD!AP26,SPMW!AP26,SSEH!AP26,SSES!AP26)</f>
        <v>0</v>
      </c>
      <c r="AQ26" s="216">
        <f>CHOOSE(m_identity,ENWL!AQ26, NPgN!AQ26, NPgY!AQ26, WMID!AQ26, EMID!AQ26, SWALES!AQ26, SWEST!AQ26, LPN!AQ26,SPN!AQ26,EPN!AQ26,SPD!AQ26,SPMW!AQ26,SSEH!AQ26,SSES!AQ26)</f>
        <v>0</v>
      </c>
    </row>
    <row r="27" spans="4:43" ht="15" customHeight="1">
      <c r="D27" s="156"/>
      <c r="E27" s="50" t="s">
        <v>773</v>
      </c>
      <c r="F27" s="415" t="s">
        <v>825</v>
      </c>
      <c r="G27" s="98" t="s">
        <v>657</v>
      </c>
      <c r="H27" s="256" t="s">
        <v>850</v>
      </c>
      <c r="I27" s="156"/>
      <c r="AJ27" s="216">
        <f>CHOOSE(m_identity,ENWL!AJ27, NPgN!AJ27, NPgY!AJ27, WMID!AJ27, EMID!AJ27, SWALES!AJ27, SWEST!AJ27, LPN!AJ27,SPN!AJ27,EPN!AJ27,SPD!AJ27,SPMW!AJ27,SSEH!AJ27,SSES!AJ27)</f>
        <v>0</v>
      </c>
      <c r="AK27" s="216">
        <f>CHOOSE(m_identity,ENWL!AK27, NPgN!AK27, NPgY!AK27, WMID!AK27, EMID!AK27, SWALES!AK27, SWEST!AK27, LPN!AK27,SPN!AK27,EPN!AK27,SPD!AK27,SPMW!AK27,SSEH!AK27,SSES!AK27)</f>
        <v>0</v>
      </c>
      <c r="AL27" s="216">
        <f>CHOOSE(m_identity,ENWL!AL27, NPgN!AL27, NPgY!AL27, WMID!AL27, EMID!AL27, SWALES!AL27, SWEST!AL27, LPN!AL27,SPN!AL27,EPN!AL27,SPD!AL27,SPMW!AL27,SSEH!AL27,SSES!AL27)</f>
        <v>0</v>
      </c>
      <c r="AM27" s="216">
        <f>CHOOSE(m_identity,ENWL!AM27, NPgN!AM27, NPgY!AM27, WMID!AM27, EMID!AM27, SWALES!AM27, SWEST!AM27, LPN!AM27,SPN!AM27,EPN!AM27,SPD!AM27,SPMW!AM27,SSEH!AM27,SSES!AM27)</f>
        <v>0</v>
      </c>
      <c r="AN27" s="216">
        <f>CHOOSE(m_identity,ENWL!AN27, NPgN!AN27, NPgY!AN27, WMID!AN27, EMID!AN27, SWALES!AN27, SWEST!AN27, LPN!AN27,SPN!AN27,EPN!AN27,SPD!AN27,SPMW!AN27,SSEH!AN27,SSES!AN27)</f>
        <v>0</v>
      </c>
      <c r="AO27" s="216">
        <f>CHOOSE(m_identity,ENWL!AO27, NPgN!AO27, NPgY!AO27, WMID!AO27, EMID!AO27, SWALES!AO27, SWEST!AO27, LPN!AO27,SPN!AO27,EPN!AO27,SPD!AO27,SPMW!AO27,SSEH!AO27,SSES!AO27)</f>
        <v>0</v>
      </c>
      <c r="AP27" s="216">
        <f>CHOOSE(m_identity,ENWL!AP27, NPgN!AP27, NPgY!AP27, WMID!AP27, EMID!AP27, SWALES!AP27, SWEST!AP27, LPN!AP27,SPN!AP27,EPN!AP27,SPD!AP27,SPMW!AP27,SSEH!AP27,SSES!AP27)</f>
        <v>0</v>
      </c>
      <c r="AQ27" s="216">
        <f>CHOOSE(m_identity,ENWL!AQ27, NPgN!AQ27, NPgY!AQ27, WMID!AQ27, EMID!AQ27, SWALES!AQ27, SWEST!AQ27, LPN!AQ27,SPN!AQ27,EPN!AQ27,SPD!AQ27,SPMW!AQ27,SSEH!AQ27,SSES!AQ27)</f>
        <v>0</v>
      </c>
    </row>
    <row r="28" spans="4:43" s="156" customFormat="1" ht="15" customHeight="1">
      <c r="E28" s="50" t="s">
        <v>841</v>
      </c>
      <c r="F28" s="256" t="s">
        <v>779</v>
      </c>
      <c r="G28" s="98" t="s">
        <v>657</v>
      </c>
      <c r="H28" s="256" t="s">
        <v>842</v>
      </c>
      <c r="AJ28" s="216">
        <f>CHOOSE(m_identity,ENWL!AJ28, NPgN!AJ28, NPgY!AJ28, WMID!AJ28, EMID!AJ28, SWALES!AJ28, SWEST!AJ28, LPN!AJ28,SPN!AJ28,EPN!AJ28,SPD!AJ28,SPMW!AJ28,SSEH!AJ28,SSES!AJ28)</f>
        <v>0</v>
      </c>
      <c r="AK28" s="216">
        <f>CHOOSE(m_identity,ENWL!AK28, NPgN!AK28, NPgY!AK28, WMID!AK28, EMID!AK28, SWALES!AK28, SWEST!AK28, LPN!AK28,SPN!AK28,EPN!AK28,SPD!AK28,SPMW!AK28,SSEH!AK28,SSES!AK28)</f>
        <v>0</v>
      </c>
      <c r="AL28" s="216">
        <f>CHOOSE(m_identity,ENWL!AL28, NPgN!AL28, NPgY!AL28, WMID!AL28, EMID!AL28, SWALES!AL28, SWEST!AL28, LPN!AL28,SPN!AL28,EPN!AL28,SPD!AL28,SPMW!AL28,SSEH!AL28,SSES!AL28)</f>
        <v>0</v>
      </c>
      <c r="AM28" s="216">
        <f>CHOOSE(m_identity,ENWL!AM28, NPgN!AM28, NPgY!AM28, WMID!AM28, EMID!AM28, SWALES!AM28, SWEST!AM28, LPN!AM28,SPN!AM28,EPN!AM28,SPD!AM28,SPMW!AM28,SSEH!AM28,SSES!AM28)</f>
        <v>0</v>
      </c>
      <c r="AN28" s="216">
        <f>CHOOSE(m_identity,ENWL!AN28, NPgN!AN28, NPgY!AN28, WMID!AN28, EMID!AN28, SWALES!AN28, SWEST!AN28, LPN!AN28,SPN!AN28,EPN!AN28,SPD!AN28,SPMW!AN28,SSEH!AN28,SSES!AN28)</f>
        <v>0</v>
      </c>
      <c r="AO28" s="216">
        <f>CHOOSE(m_identity,ENWL!AO28, NPgN!AO28, NPgY!AO28, WMID!AO28, EMID!AO28, SWALES!AO28, SWEST!AO28, LPN!AO28,SPN!AO28,EPN!AO28,SPD!AO28,SPMW!AO28,SSEH!AO28,SSES!AO28)</f>
        <v>0</v>
      </c>
      <c r="AP28" s="216">
        <f>CHOOSE(m_identity,ENWL!AP28, NPgN!AP28, NPgY!AP28, WMID!AP28, EMID!AP28, SWALES!AP28, SWEST!AP28, LPN!AP28,SPN!AP28,EPN!AP28,SPD!AP28,SPMW!AP28,SSEH!AP28,SSES!AP28)</f>
        <v>0</v>
      </c>
      <c r="AQ28" s="216">
        <f>CHOOSE(m_identity,ENWL!AQ28, NPgN!AQ28, NPgY!AQ28, WMID!AQ28, EMID!AQ28, SWALES!AQ28, SWEST!AQ28, LPN!AQ28,SPN!AQ28,EPN!AQ28,SPD!AQ28,SPMW!AQ28,SSEH!AQ28,SSES!AQ28)</f>
        <v>0</v>
      </c>
    </row>
    <row r="29" spans="4:43" s="156" customFormat="1" ht="15" customHeight="1">
      <c r="E29" s="50" t="s">
        <v>843</v>
      </c>
      <c r="F29" s="256" t="s">
        <v>779</v>
      </c>
      <c r="G29" s="98" t="s">
        <v>657</v>
      </c>
      <c r="H29" s="256" t="s">
        <v>803</v>
      </c>
      <c r="AJ29" s="216">
        <f>CHOOSE(m_identity,ENWL!AJ29, NPgN!AJ29, NPgY!AJ29, WMID!AJ29, EMID!AJ29, SWALES!AJ29, SWEST!AJ29, LPN!AJ29,SPN!AJ29,EPN!AJ29,SPD!AJ29,SPMW!AJ29,SSEH!AJ29,SSES!AJ29)</f>
        <v>0</v>
      </c>
      <c r="AK29" s="216">
        <f>CHOOSE(m_identity,ENWL!AK29, NPgN!AK29, NPgY!AK29, WMID!AK29, EMID!AK29, SWALES!AK29, SWEST!AK29, LPN!AK29,SPN!AK29,EPN!AK29,SPD!AK29,SPMW!AK29,SSEH!AK29,SSES!AK29)</f>
        <v>0</v>
      </c>
      <c r="AL29" s="216">
        <f>CHOOSE(m_identity,ENWL!AL29, NPgN!AL29, NPgY!AL29, WMID!AL29, EMID!AL29, SWALES!AL29, SWEST!AL29, LPN!AL29,SPN!AL29,EPN!AL29,SPD!AL29,SPMW!AL29,SSEH!AL29,SSES!AL29)</f>
        <v>0</v>
      </c>
      <c r="AM29" s="216">
        <f>CHOOSE(m_identity,ENWL!AM29, NPgN!AM29, NPgY!AM29, WMID!AM29, EMID!AM29, SWALES!AM29, SWEST!AM29, LPN!AM29,SPN!AM29,EPN!AM29,SPD!AM29,SPMW!AM29,SSEH!AM29,SSES!AM29)</f>
        <v>0</v>
      </c>
      <c r="AN29" s="216">
        <f>CHOOSE(m_identity,ENWL!AN29, NPgN!AN29, NPgY!AN29, WMID!AN29, EMID!AN29, SWALES!AN29, SWEST!AN29, LPN!AN29,SPN!AN29,EPN!AN29,SPD!AN29,SPMW!AN29,SSEH!AN29,SSES!AN29)</f>
        <v>0</v>
      </c>
      <c r="AO29" s="216">
        <f>CHOOSE(m_identity,ENWL!AO29, NPgN!AO29, NPgY!AO29, WMID!AO29, EMID!AO29, SWALES!AO29, SWEST!AO29, LPN!AO29,SPN!AO29,EPN!AO29,SPD!AO29,SPMW!AO29,SSEH!AO29,SSES!AO29)</f>
        <v>0</v>
      </c>
      <c r="AP29" s="216">
        <f>CHOOSE(m_identity,ENWL!AP29, NPgN!AP29, NPgY!AP29, WMID!AP29, EMID!AP29, SWALES!AP29, SWEST!AP29, LPN!AP29,SPN!AP29,EPN!AP29,SPD!AP29,SPMW!AP29,SSEH!AP29,SSES!AP29)</f>
        <v>0</v>
      </c>
      <c r="AQ29" s="216">
        <f>CHOOSE(m_identity,ENWL!AQ29, NPgN!AQ29, NPgY!AQ29, WMID!AQ29, EMID!AQ29, SWALES!AQ29, SWEST!AQ29, LPN!AQ29,SPN!AQ29,EPN!AQ29,SPD!AQ29,SPMW!AQ29,SSEH!AQ29,SSES!AQ29)</f>
        <v>0</v>
      </c>
    </row>
    <row r="30" spans="4:43" s="156" customFormat="1" ht="15" customHeight="1">
      <c r="E30" s="50" t="s">
        <v>840</v>
      </c>
      <c r="F30" s="256" t="s">
        <v>779</v>
      </c>
      <c r="G30" s="98" t="s">
        <v>657</v>
      </c>
      <c r="H30" s="256" t="s">
        <v>823</v>
      </c>
      <c r="AJ30" s="216">
        <f>CHOOSE(m_identity,ENWL!AJ30, NPgN!AJ30, NPgY!AJ30, WMID!AJ30, EMID!AJ30, SWALES!AJ30, SWEST!AJ30, LPN!AJ30,SPN!AJ30,EPN!AJ30,SPD!AJ30,SPMW!AJ30,SSEH!AJ30,SSES!AJ30)</f>
        <v>0</v>
      </c>
      <c r="AK30" s="216">
        <f>CHOOSE(m_identity,ENWL!AK30, NPgN!AK30, NPgY!AK30, WMID!AK30, EMID!AK30, SWALES!AK30, SWEST!AK30, LPN!AK30,SPN!AK30,EPN!AK30,SPD!AK30,SPMW!AK30,SSEH!AK30,SSES!AK30)</f>
        <v>0</v>
      </c>
      <c r="AL30" s="216">
        <f>CHOOSE(m_identity,ENWL!AL30, NPgN!AL30, NPgY!AL30, WMID!AL30, EMID!AL30, SWALES!AL30, SWEST!AL30, LPN!AL30,SPN!AL30,EPN!AL30,SPD!AL30,SPMW!AL30,SSEH!AL30,SSES!AL30)</f>
        <v>0</v>
      </c>
      <c r="AM30" s="216">
        <f>CHOOSE(m_identity,ENWL!AM30, NPgN!AM30, NPgY!AM30, WMID!AM30, EMID!AM30, SWALES!AM30, SWEST!AM30, LPN!AM30,SPN!AM30,EPN!AM30,SPD!AM30,SPMW!AM30,SSEH!AM30,SSES!AM30)</f>
        <v>0</v>
      </c>
      <c r="AN30" s="216">
        <f>CHOOSE(m_identity,ENWL!AN30, NPgN!AN30, NPgY!AN30, WMID!AN30, EMID!AN30, SWALES!AN30, SWEST!AN30, LPN!AN30,SPN!AN30,EPN!AN30,SPD!AN30,SPMW!AN30,SSEH!AN30,SSES!AN30)</f>
        <v>0</v>
      </c>
      <c r="AO30" s="216">
        <f>CHOOSE(m_identity,ENWL!AO30, NPgN!AO30, NPgY!AO30, WMID!AO30, EMID!AO30, SWALES!AO30, SWEST!AO30, LPN!AO30,SPN!AO30,EPN!AO30,SPD!AO30,SPMW!AO30,SSEH!AO30,SSES!AO30)</f>
        <v>0</v>
      </c>
      <c r="AP30" s="216">
        <f>CHOOSE(m_identity,ENWL!AP30, NPgN!AP30, NPgY!AP30, WMID!AP30, EMID!AP30, SWALES!AP30, SWEST!AP30, LPN!AP30,SPN!AP30,EPN!AP30,SPD!AP30,SPMW!AP30,SSEH!AP30,SSES!AP30)</f>
        <v>0</v>
      </c>
      <c r="AQ30" s="216">
        <f>CHOOSE(m_identity,ENWL!AQ30, NPgN!AQ30, NPgY!AQ30, WMID!AQ30, EMID!AQ30, SWALES!AQ30, SWEST!AQ30, LPN!AQ30,SPN!AQ30,EPN!AQ30,SPD!AQ30,SPMW!AQ30,SSEH!AQ30,SSES!AQ30)</f>
        <v>0</v>
      </c>
    </row>
    <row r="31" spans="4:43" s="156" customFormat="1" ht="15" customHeight="1">
      <c r="E31" s="50" t="s">
        <v>826</v>
      </c>
      <c r="F31" s="256" t="s">
        <v>779</v>
      </c>
      <c r="G31" s="98" t="s">
        <v>657</v>
      </c>
      <c r="H31" s="256" t="s">
        <v>844</v>
      </c>
      <c r="AJ31" s="216">
        <f>CHOOSE(m_identity,ENWL!AJ31, NPgN!AJ31, NPgY!AJ31, WMID!AJ31, EMID!AJ31, SWALES!AJ31, SWEST!AJ31, LPN!AJ31,SPN!AJ31,EPN!AJ31,SPD!AJ31,SPMW!AJ31,SSEH!AJ31,SSES!AJ31)</f>
        <v>0</v>
      </c>
      <c r="AK31" s="216">
        <f>CHOOSE(m_identity,ENWL!AK31, NPgN!AK31, NPgY!AK31, WMID!AK31, EMID!AK31, SWALES!AK31, SWEST!AK31, LPN!AK31,SPN!AK31,EPN!AK31,SPD!AK31,SPMW!AK31,SSEH!AK31,SSES!AK31)</f>
        <v>0</v>
      </c>
      <c r="AL31" s="216">
        <f>CHOOSE(m_identity,ENWL!AL31, NPgN!AL31, NPgY!AL31, WMID!AL31, EMID!AL31, SWALES!AL31, SWEST!AL31, LPN!AL31,SPN!AL31,EPN!AL31,SPD!AL31,SPMW!AL31,SSEH!AL31,SSES!AL31)</f>
        <v>0</v>
      </c>
      <c r="AM31" s="216">
        <f>CHOOSE(m_identity,ENWL!AM31, NPgN!AM31, NPgY!AM31, WMID!AM31, EMID!AM31, SWALES!AM31, SWEST!AM31, LPN!AM31,SPN!AM31,EPN!AM31,SPD!AM31,SPMW!AM31,SSEH!AM31,SSES!AM31)</f>
        <v>0</v>
      </c>
      <c r="AN31" s="216">
        <f>CHOOSE(m_identity,ENWL!AN31, NPgN!AN31, NPgY!AN31, WMID!AN31, EMID!AN31, SWALES!AN31, SWEST!AN31, LPN!AN31,SPN!AN31,EPN!AN31,SPD!AN31,SPMW!AN31,SSEH!AN31,SSES!AN31)</f>
        <v>0</v>
      </c>
      <c r="AO31" s="216">
        <f>CHOOSE(m_identity,ENWL!AO31, NPgN!AO31, NPgY!AO31, WMID!AO31, EMID!AO31, SWALES!AO31, SWEST!AO31, LPN!AO31,SPN!AO31,EPN!AO31,SPD!AO31,SPMW!AO31,SSEH!AO31,SSES!AO31)</f>
        <v>0</v>
      </c>
      <c r="AP31" s="216">
        <f>CHOOSE(m_identity,ENWL!AP31, NPgN!AP31, NPgY!AP31, WMID!AP31, EMID!AP31, SWALES!AP31, SWEST!AP31, LPN!AP31,SPN!AP31,EPN!AP31,SPD!AP31,SPMW!AP31,SSEH!AP31,SSES!AP31)</f>
        <v>0</v>
      </c>
      <c r="AQ31" s="216">
        <f>CHOOSE(m_identity,ENWL!AQ31, NPgN!AQ31, NPgY!AQ31, WMID!AQ31, EMID!AQ31, SWALES!AQ31, SWEST!AQ31, LPN!AQ31,SPN!AQ31,EPN!AQ31,SPD!AQ31,SPMW!AQ31,SSEH!AQ31,SSES!AQ31)</f>
        <v>0</v>
      </c>
    </row>
    <row r="32" spans="4:43" s="156" customFormat="1" ht="15" customHeight="1">
      <c r="E32" s="50" t="s">
        <v>800</v>
      </c>
      <c r="F32" s="256" t="s">
        <v>779</v>
      </c>
      <c r="G32" s="98" t="s">
        <v>657</v>
      </c>
      <c r="H32" s="256" t="s">
        <v>802</v>
      </c>
      <c r="AJ32" s="216">
        <f>CHOOSE(m_identity,ENWL!AJ32, NPgN!AJ32, NPgY!AJ32, WMID!AJ32, EMID!AJ32, SWALES!AJ32, SWEST!AJ32, LPN!AJ32,SPN!AJ32,EPN!AJ32,SPD!AJ32,SPMW!AJ32,SSEH!AJ32,SSES!AJ32)</f>
        <v>0</v>
      </c>
      <c r="AK32" s="216">
        <f>CHOOSE(m_identity,ENWL!AK32, NPgN!AK32, NPgY!AK32, WMID!AK32, EMID!AK32, SWALES!AK32, SWEST!AK32, LPN!AK32,SPN!AK32,EPN!AK32,SPD!AK32,SPMW!AK32,SSEH!AK32,SSES!AK32)</f>
        <v>0</v>
      </c>
      <c r="AL32" s="216">
        <f>CHOOSE(m_identity,ENWL!AL32, NPgN!AL32, NPgY!AL32, WMID!AL32, EMID!AL32, SWALES!AL32, SWEST!AL32, LPN!AL32,SPN!AL32,EPN!AL32,SPD!AL32,SPMW!AL32,SSEH!AL32,SSES!AL32)</f>
        <v>0</v>
      </c>
      <c r="AM32" s="216">
        <f>CHOOSE(m_identity,ENWL!AM32, NPgN!AM32, NPgY!AM32, WMID!AM32, EMID!AM32, SWALES!AM32, SWEST!AM32, LPN!AM32,SPN!AM32,EPN!AM32,SPD!AM32,SPMW!AM32,SSEH!AM32,SSES!AM32)</f>
        <v>0</v>
      </c>
      <c r="AN32" s="216">
        <f>CHOOSE(m_identity,ENWL!AN32, NPgN!AN32, NPgY!AN32, WMID!AN32, EMID!AN32, SWALES!AN32, SWEST!AN32, LPN!AN32,SPN!AN32,EPN!AN32,SPD!AN32,SPMW!AN32,SSEH!AN32,SSES!AN32)</f>
        <v>0</v>
      </c>
      <c r="AO32" s="216">
        <f>CHOOSE(m_identity,ENWL!AO32, NPgN!AO32, NPgY!AO32, WMID!AO32, EMID!AO32, SWALES!AO32, SWEST!AO32, LPN!AO32,SPN!AO32,EPN!AO32,SPD!AO32,SPMW!AO32,SSEH!AO32,SSES!AO32)</f>
        <v>0</v>
      </c>
      <c r="AP32" s="216">
        <f>CHOOSE(m_identity,ENWL!AP32, NPgN!AP32, NPgY!AP32, WMID!AP32, EMID!AP32, SWALES!AP32, SWEST!AP32, LPN!AP32,SPN!AP32,EPN!AP32,SPD!AP32,SPMW!AP32,SSEH!AP32,SSES!AP32)</f>
        <v>0</v>
      </c>
      <c r="AQ32" s="216">
        <f>CHOOSE(m_identity,ENWL!AQ32, NPgN!AQ32, NPgY!AQ32, WMID!AQ32, EMID!AQ32, SWALES!AQ32, SWEST!AQ32, LPN!AQ32,SPN!AQ32,EPN!AQ32,SPD!AQ32,SPMW!AQ32,SSEH!AQ32,SSES!AQ32)</f>
        <v>0</v>
      </c>
    </row>
    <row r="33" spans="2:44" s="156" customFormat="1" ht="15" customHeight="1">
      <c r="D33" s="98"/>
      <c r="E33" s="50" t="s">
        <v>848</v>
      </c>
      <c r="F33" s="256" t="s">
        <v>785</v>
      </c>
      <c r="G33" s="98" t="s">
        <v>657</v>
      </c>
      <c r="H33" s="256" t="s">
        <v>495</v>
      </c>
      <c r="AJ33" s="216">
        <f>CHOOSE(m_identity,ENWL!AJ33, NPgN!AJ33, NPgY!AJ33, WMID!AJ33, EMID!AJ33, SWALES!AJ33, SWEST!AJ33, LPN!AJ33,SPN!AJ33,EPN!AJ33,SPD!AJ33,SPMW!AJ33,SSEH!AJ33,SSES!AJ33)</f>
        <v>0</v>
      </c>
      <c r="AK33" s="216">
        <f>CHOOSE(m_identity,ENWL!AK33, NPgN!AK33, NPgY!AK33, WMID!AK33, EMID!AK33, SWALES!AK33, SWEST!AK33, LPN!AK33,SPN!AK33,EPN!AK33,SPD!AK33,SPMW!AK33,SSEH!AK33,SSES!AK33)</f>
        <v>0</v>
      </c>
      <c r="AL33" s="216">
        <f>CHOOSE(m_identity,ENWL!AL33, NPgN!AL33, NPgY!AL33, WMID!AL33, EMID!AL33, SWALES!AL33, SWEST!AL33, LPN!AL33,SPN!AL33,EPN!AL33,SPD!AL33,SPMW!AL33,SSEH!AL33,SSES!AL33)</f>
        <v>0</v>
      </c>
      <c r="AM33" s="216">
        <f>CHOOSE(m_identity,ENWL!AM33, NPgN!AM33, NPgY!AM33, WMID!AM33, EMID!AM33, SWALES!AM33, SWEST!AM33, LPN!AM33,SPN!AM33,EPN!AM33,SPD!AM33,SPMW!AM33,SSEH!AM33,SSES!AM33)</f>
        <v>0</v>
      </c>
      <c r="AN33" s="216">
        <f>CHOOSE(m_identity,ENWL!AN33, NPgN!AN33, NPgY!AN33, WMID!AN33, EMID!AN33, SWALES!AN33, SWEST!AN33, LPN!AN33,SPN!AN33,EPN!AN33,SPD!AN33,SPMW!AN33,SSEH!AN33,SSES!AN33)</f>
        <v>0</v>
      </c>
      <c r="AO33" s="216">
        <f>CHOOSE(m_identity,ENWL!AO33, NPgN!AO33, NPgY!AO33, WMID!AO33, EMID!AO33, SWALES!AO33, SWEST!AO33, LPN!AO33,SPN!AO33,EPN!AO33,SPD!AO33,SPMW!AO33,SSEH!AO33,SSES!AO33)</f>
        <v>0</v>
      </c>
      <c r="AP33" s="216">
        <f>CHOOSE(m_identity,ENWL!AP33, NPgN!AP33, NPgY!AP33, WMID!AP33, EMID!AP33, SWALES!AP33, SWEST!AP33, LPN!AP33,SPN!AP33,EPN!AP33,SPD!AP33,SPMW!AP33,SSEH!AP33,SSES!AP33)</f>
        <v>0</v>
      </c>
      <c r="AQ33" s="216">
        <f>CHOOSE(m_identity,ENWL!AQ33, NPgN!AQ33, NPgY!AQ33, WMID!AQ33, EMID!AQ33, SWALES!AQ33, SWEST!AQ33, LPN!AQ33,SPN!AQ33,EPN!AQ33,SPD!AQ33,SPMW!AQ33,SSEH!AQ33,SSES!AQ33)</f>
        <v>0</v>
      </c>
    </row>
    <row r="34" spans="2:44" ht="15" customHeight="1">
      <c r="E34" s="156" t="s">
        <v>833</v>
      </c>
      <c r="F34" s="256" t="s">
        <v>786</v>
      </c>
      <c r="G34" s="190" t="s">
        <v>657</v>
      </c>
      <c r="H34" s="256" t="s">
        <v>682</v>
      </c>
      <c r="I34" s="156"/>
      <c r="J34" s="156"/>
      <c r="K34" s="156"/>
      <c r="L34" s="156"/>
      <c r="O34" s="156"/>
      <c r="P34" s="156"/>
      <c r="Q34" s="156"/>
      <c r="R34" s="156"/>
      <c r="S34" s="156"/>
      <c r="T34" s="156"/>
      <c r="U34" s="156"/>
      <c r="V34" s="156"/>
      <c r="W34" s="156"/>
      <c r="X34" s="156"/>
      <c r="Y34" s="156"/>
      <c r="Z34" s="156"/>
      <c r="AA34" s="156"/>
      <c r="AB34" s="156"/>
      <c r="AC34" s="156"/>
      <c r="AD34" s="156"/>
      <c r="AE34" s="156"/>
      <c r="AF34" s="156"/>
      <c r="AG34" s="156"/>
      <c r="AH34" s="156"/>
      <c r="AI34" s="156"/>
      <c r="AJ34" s="216">
        <f>CHOOSE(m_identity,ENWL!AJ34, NPgN!AJ34, NPgY!AJ34, WMID!AJ34, EMID!AJ34, SWALES!AJ34, SWEST!AJ34, LPN!AJ34,SPN!AJ34,EPN!AJ34,SPD!AJ34,SPMW!AJ34,SSEH!AJ34,SSES!AJ34)</f>
        <v>32.225321017886749</v>
      </c>
      <c r="AK34" s="216">
        <f>CHOOSE(m_identity,ENWL!AK34, NPgN!AK34, NPgY!AK34, WMID!AK34, EMID!AK34, SWALES!AK34, SWEST!AK34, LPN!AK34,SPN!AK34,EPN!AK34,SPD!AK34,SPMW!AK34,SSEH!AK34,SSES!AK34)</f>
        <v>32.225321017886749</v>
      </c>
      <c r="AL34" s="216">
        <f>CHOOSE(m_identity,ENWL!AL34, NPgN!AL34, NPgY!AL34, WMID!AL34, EMID!AL34, SWALES!AL34, SWEST!AL34, LPN!AL34,SPN!AL34,EPN!AL34,SPD!AL34,SPMW!AL34,SSEH!AL34,SSES!AL34)</f>
        <v>32.225321017886749</v>
      </c>
      <c r="AM34" s="216">
        <f>CHOOSE(m_identity,ENWL!AM34, NPgN!AM34, NPgY!AM34, WMID!AM34, EMID!AM34, SWALES!AM34, SWEST!AM34, LPN!AM34,SPN!AM34,EPN!AM34,SPD!AM34,SPMW!AM34,SSEH!AM34,SSES!AM34)</f>
        <v>32.225321017886749</v>
      </c>
      <c r="AN34" s="216">
        <f>CHOOSE(m_identity,ENWL!AN34, NPgN!AN34, NPgY!AN34, WMID!AN34, EMID!AN34, SWALES!AN34, SWEST!AN34, LPN!AN34,SPN!AN34,EPN!AN34,SPD!AN34,SPMW!AN34,SSEH!AN34,SSES!AN34)</f>
        <v>32.225321017886749</v>
      </c>
      <c r="AO34" s="216">
        <f>CHOOSE(m_identity,ENWL!AO34, NPgN!AO34, NPgY!AO34, WMID!AO34, EMID!AO34, SWALES!AO34, SWEST!AO34, LPN!AO34,SPN!AO34,EPN!AO34,SPD!AO34,SPMW!AO34,SSEH!AO34,SSES!AO34)</f>
        <v>32.225321017886749</v>
      </c>
      <c r="AP34" s="216">
        <f>CHOOSE(m_identity,ENWL!AP34, NPgN!AP34, NPgY!AP34, WMID!AP34, EMID!AP34, SWALES!AP34, SWEST!AP34, LPN!AP34,SPN!AP34,EPN!AP34,SPD!AP34,SPMW!AP34,SSEH!AP34,SSES!AP34)</f>
        <v>32.225321017886749</v>
      </c>
      <c r="AQ34" s="216">
        <f>CHOOSE(m_identity,ENWL!AQ34, NPgN!AQ34, NPgY!AQ34, WMID!AQ34, EMID!AQ34, SWALES!AQ34, SWEST!AQ34, LPN!AQ34,SPN!AQ34,EPN!AQ34,SPD!AQ34,SPMW!AQ34,SSEH!AQ34,SSES!AQ34)</f>
        <v>32.225321017886749</v>
      </c>
    </row>
    <row r="35" spans="2:44" ht="15" customHeight="1">
      <c r="E35" s="387" t="s">
        <v>709</v>
      </c>
      <c r="F35" s="256" t="s">
        <v>787</v>
      </c>
      <c r="G35" s="98" t="s">
        <v>657</v>
      </c>
      <c r="H35" s="256" t="s">
        <v>710</v>
      </c>
      <c r="I35" s="156"/>
      <c r="AJ35" s="216">
        <f>CHOOSE(m_identity,ENWL!AJ35, NPgN!AJ35, NPgY!AJ35, WMID!AJ35, EMID!AJ35, SWALES!AJ35, SWEST!AJ35, LPN!AJ35,SPN!AJ35,EPN!AJ35,SPD!AJ35,SPMW!AJ35,SSEH!AJ35,SSES!AJ35)</f>
        <v>0</v>
      </c>
      <c r="AK35" s="93"/>
      <c r="AL35" s="93"/>
      <c r="AM35" s="93"/>
      <c r="AN35" s="93"/>
      <c r="AO35" s="93"/>
      <c r="AP35" s="93"/>
      <c r="AQ35" s="93"/>
    </row>
    <row r="36" spans="2:44" ht="15" customHeight="1">
      <c r="E36" s="387" t="s">
        <v>711</v>
      </c>
      <c r="F36" s="256" t="s">
        <v>787</v>
      </c>
      <c r="G36" s="98" t="s">
        <v>657</v>
      </c>
      <c r="H36" s="256" t="s">
        <v>712</v>
      </c>
      <c r="I36" s="156"/>
      <c r="AH36" s="216">
        <f>CHOOSE(m_identity,ENWL!AH36, NPgN!AH36, NPgY!AH36, WMID!AH36, EMID!AH36, SWALES!AH36, SWEST!AH36, LPN!AH36,SPN!AH36,EPN!AH36,SPD!AH36,SPMW!AH36,SSEH!AH36,SSES!AH36)</f>
        <v>0</v>
      </c>
      <c r="AI36" s="216">
        <f>CHOOSE(m_identity,ENWL!AI36, NPgN!AI36, NPgY!AI36, WMID!AI36, EMID!AI36, SWALES!AI36, SWEST!AI36, LPN!AI36,SPN!AI36,EPN!AI36,SPD!AI36,SPMW!AI36,SSEH!AI36,SSES!AI36)</f>
        <v>0</v>
      </c>
      <c r="AJ36" s="93"/>
      <c r="AK36" s="93"/>
      <c r="AL36" s="93"/>
      <c r="AM36" s="93"/>
      <c r="AN36" s="93"/>
      <c r="AO36" s="93"/>
      <c r="AP36" s="93"/>
      <c r="AQ36" s="93"/>
    </row>
    <row r="37" spans="2:44" s="156" customFormat="1" ht="15" customHeight="1">
      <c r="E37" s="387" t="s">
        <v>713</v>
      </c>
      <c r="F37" s="256" t="s">
        <v>787</v>
      </c>
      <c r="G37" s="98" t="s">
        <v>657</v>
      </c>
      <c r="H37" s="385" t="s">
        <v>714</v>
      </c>
      <c r="AH37" s="378"/>
      <c r="AI37" s="378"/>
      <c r="AJ37" s="216">
        <f>CHOOSE(m_identity,ENWL!AJ37, NPgN!AJ37, NPgY!AJ37, WMID!AJ37, EMID!AJ37, SWALES!AJ37, SWEST!AJ37, LPN!AJ37,SPN!AJ37,EPN!AJ37,SPD!AJ37,SPMW!AJ37,SSEH!AJ37,SSES!AJ37)</f>
        <v>0</v>
      </c>
      <c r="AK37" s="93"/>
      <c r="AL37" s="93"/>
      <c r="AM37" s="93"/>
      <c r="AN37" s="93"/>
      <c r="AO37" s="93"/>
      <c r="AP37" s="93"/>
      <c r="AQ37" s="93"/>
    </row>
    <row r="38" spans="2:44" ht="15" customHeight="1">
      <c r="E38" s="260" t="s">
        <v>683</v>
      </c>
      <c r="F38" s="256" t="s">
        <v>786</v>
      </c>
      <c r="G38" s="190" t="s">
        <v>766</v>
      </c>
      <c r="H38" s="382" t="s">
        <v>493</v>
      </c>
      <c r="I38" s="156"/>
      <c r="AJ38" s="216">
        <f>CHOOSE(m_identity,ENWL!AJ38, NPgN!AJ38, NPgY!AJ38, WMID!AJ38, EMID!AJ38, SWALES!AJ38, SWEST!AJ38, LPN!AJ38,SPN!AJ38,EPN!AJ38,SPD!AJ38,SPMW!AJ38,SSEH!AJ38,SSES!AJ38)</f>
        <v>0</v>
      </c>
      <c r="AK38" s="216">
        <f>CHOOSE(m_identity,ENWL!AK38, NPgN!AK38, NPgY!AK38, WMID!AK38, EMID!AK38, SWALES!AK38, SWEST!AK38, LPN!AK38,SPN!AK38,EPN!AK38,SPD!AK38,SPMW!AK38,SSEH!AK38,SSES!AK38)</f>
        <v>0</v>
      </c>
      <c r="AL38" s="216">
        <f>CHOOSE(m_identity,ENWL!AL38, NPgN!AL38, NPgY!AL38, WMID!AL38, EMID!AL38, SWALES!AL38, SWEST!AL38, LPN!AL38,SPN!AL38,EPN!AL38,SPD!AL38,SPMW!AL38,SSEH!AL38,SSES!AL38)</f>
        <v>0</v>
      </c>
      <c r="AM38" s="216">
        <f>CHOOSE(m_identity,ENWL!AM38, NPgN!AM38, NPgY!AM38, WMID!AM38, EMID!AM38, SWALES!AM38, SWEST!AM38, LPN!AM38,SPN!AM38,EPN!AM38,SPD!AM38,SPMW!AM38,SSEH!AM38,SSES!AM38)</f>
        <v>0</v>
      </c>
      <c r="AN38" s="216">
        <f>CHOOSE(m_identity,ENWL!AN38, NPgN!AN38, NPgY!AN38, WMID!AN38, EMID!AN38, SWALES!AN38, SWEST!AN38, LPN!AN38,SPN!AN38,EPN!AN38,SPD!AN38,SPMW!AN38,SSEH!AN38,SSES!AN38)</f>
        <v>0</v>
      </c>
      <c r="AO38" s="216">
        <f>CHOOSE(m_identity,ENWL!AO38, NPgN!AO38, NPgY!AO38, WMID!AO38, EMID!AO38, SWALES!AO38, SWEST!AO38, LPN!AO38,SPN!AO38,EPN!AO38,SPD!AO38,SPMW!AO38,SSEH!AO38,SSES!AO38)</f>
        <v>0</v>
      </c>
      <c r="AP38" s="216">
        <f>CHOOSE(m_identity,ENWL!AP38, NPgN!AP38, NPgY!AP38, WMID!AP38, EMID!AP38, SWALES!AP38, SWEST!AP38, LPN!AP38,SPN!AP38,EPN!AP38,SPD!AP38,SPMW!AP38,SSEH!AP38,SSES!AP38)</f>
        <v>0</v>
      </c>
      <c r="AQ38" s="216">
        <f>CHOOSE(m_identity,ENWL!AQ38, NPgN!AQ38, NPgY!AQ38, WMID!AQ38, EMID!AQ38, SWALES!AQ38, SWEST!AQ38, LPN!AQ38,SPN!AQ38,EPN!AQ38,SPD!AQ38,SPMW!AQ38,SSEH!AQ38,SSES!AQ38)</f>
        <v>0</v>
      </c>
    </row>
    <row r="39" spans="2:44" ht="15" customHeight="1">
      <c r="E39" s="156" t="s">
        <v>834</v>
      </c>
      <c r="F39" s="256" t="s">
        <v>786</v>
      </c>
      <c r="G39" s="98" t="s">
        <v>657</v>
      </c>
      <c r="H39" s="256" t="s">
        <v>494</v>
      </c>
      <c r="I39" s="156"/>
      <c r="AJ39" s="216">
        <f>CHOOSE(m_identity,ENWL!AJ39, NPgN!AJ39, NPgY!AJ39, WMID!AJ39, EMID!AJ39, SWALES!AJ39, SWEST!AJ39, LPN!AJ39,SPN!AJ39,EPN!AJ39,SPD!AJ39,SPMW!AJ39,SSEH!AJ39,SSES!AJ39)</f>
        <v>0</v>
      </c>
      <c r="AK39" s="216">
        <f>CHOOSE(m_identity,ENWL!AK39, NPgN!AK39, NPgY!AK39, WMID!AK39, EMID!AK39, SWALES!AK39, SWEST!AK39, LPN!AK39,SPN!AK39,EPN!AK39,SPD!AK39,SPMW!AK39,SSEH!AK39,SSES!AK39)</f>
        <v>0</v>
      </c>
      <c r="AL39" s="216">
        <f>CHOOSE(m_identity,ENWL!AL39, NPgN!AL39, NPgY!AL39, WMID!AL39, EMID!AL39, SWALES!AL39, SWEST!AL39, LPN!AL39,SPN!AL39,EPN!AL39,SPD!AL39,SPMW!AL39,SSEH!AL39,SSES!AL39)</f>
        <v>0</v>
      </c>
      <c r="AM39" s="216">
        <f>CHOOSE(m_identity,ENWL!AM39, NPgN!AM39, NPgY!AM39, WMID!AM39, EMID!AM39, SWALES!AM39, SWEST!AM39, LPN!AM39,SPN!AM39,EPN!AM39,SPD!AM39,SPMW!AM39,SSEH!AM39,SSES!AM39)</f>
        <v>0</v>
      </c>
      <c r="AN39" s="216">
        <f>CHOOSE(m_identity,ENWL!AN39, NPgN!AN39, NPgY!AN39, WMID!AN39, EMID!AN39, SWALES!AN39, SWEST!AN39, LPN!AN39,SPN!AN39,EPN!AN39,SPD!AN39,SPMW!AN39,SSEH!AN39,SSES!AN39)</f>
        <v>0</v>
      </c>
      <c r="AO39" s="216">
        <f>CHOOSE(m_identity,ENWL!AO39, NPgN!AO39, NPgY!AO39, WMID!AO39, EMID!AO39, SWALES!AO39, SWEST!AO39, LPN!AO39,SPN!AO39,EPN!AO39,SPD!AO39,SPMW!AO39,SSEH!AO39,SSES!AO39)</f>
        <v>0</v>
      </c>
      <c r="AP39" s="216">
        <f>CHOOSE(m_identity,ENWL!AP39, NPgN!AP39, NPgY!AP39, WMID!AP39, EMID!AP39, SWALES!AP39, SWEST!AP39, LPN!AP39,SPN!AP39,EPN!AP39,SPD!AP39,SPMW!AP39,SSEH!AP39,SSES!AP39)</f>
        <v>0</v>
      </c>
      <c r="AQ39" s="216">
        <f>CHOOSE(m_identity,ENWL!AQ39, NPgN!AQ39, NPgY!AQ39, WMID!AQ39, EMID!AQ39, SWALES!AQ39, SWEST!AQ39, LPN!AQ39,SPN!AQ39,EPN!AQ39,SPD!AQ39,SPMW!AQ39,SSEH!AQ39,SSES!AQ39)</f>
        <v>0</v>
      </c>
      <c r="AR39" s="156"/>
    </row>
    <row r="40" spans="2:44" s="156" customFormat="1" ht="15" customHeight="1">
      <c r="E40" s="190" t="s">
        <v>695</v>
      </c>
      <c r="F40" s="256" t="s">
        <v>787</v>
      </c>
      <c r="G40" s="190" t="s">
        <v>766</v>
      </c>
      <c r="H40" s="256" t="s">
        <v>696</v>
      </c>
      <c r="AH40" s="216">
        <f>CHOOSE(m_identity,ENWL!AH40, NPgN!AH40, NPgY!AH40, WMID!AH40, EMID!AH40, SWALES!AH40, SWEST!AH40, LPN!AH40,SPN!AH40,EPN!AH40,SPD!AH40,SPMW!AH40,SSEH!AH40,SSES!AH40)</f>
        <v>0</v>
      </c>
      <c r="AI40" s="216">
        <f>CHOOSE(m_identity,ENWL!AI40, NPgN!AI40, NPgY!AI40, WMID!AI40, EMID!AI40, SWALES!AI40, SWEST!AI40, LPN!AI40,SPN!AI40,EPN!AI40,SPD!AI40,SPMW!AI40,SSEH!AI40,SSES!AI40)</f>
        <v>0</v>
      </c>
      <c r="AJ40" s="93"/>
      <c r="AK40" s="93"/>
      <c r="AL40" s="93"/>
      <c r="AM40" s="93"/>
      <c r="AN40" s="93"/>
      <c r="AO40" s="93"/>
      <c r="AP40" s="93"/>
      <c r="AQ40" s="93"/>
    </row>
    <row r="41" spans="2:44" s="156" customFormat="1" ht="15" customHeight="1">
      <c r="E41" s="190" t="s">
        <v>697</v>
      </c>
      <c r="F41" s="256" t="s">
        <v>787</v>
      </c>
      <c r="G41" s="190" t="s">
        <v>766</v>
      </c>
      <c r="H41" s="256" t="s">
        <v>698</v>
      </c>
      <c r="AH41" s="216">
        <f>CHOOSE(m_identity,ENWL!AH41, NPgN!AH41, NPgY!AH41, WMID!AH41, EMID!AH41, SWALES!AH41, SWEST!AH41, LPN!AH41,SPN!AH41,EPN!AH41,SPD!AH41,SPMW!AH41,SSEH!AH41,SSES!AH41)</f>
        <v>0</v>
      </c>
      <c r="AI41" s="216">
        <f>CHOOSE(m_identity,ENWL!AI41, NPgN!AI41, NPgY!AI41, WMID!AI41, EMID!AI41, SWALES!AI41, SWEST!AI41, LPN!AI41,SPN!AI41,EPN!AI41,SPD!AI41,SPMW!AI41,SSEH!AI41,SSES!AI41)</f>
        <v>0</v>
      </c>
      <c r="AJ41" s="93"/>
      <c r="AK41" s="93"/>
      <c r="AL41" s="93"/>
      <c r="AM41" s="93"/>
      <c r="AN41" s="93"/>
      <c r="AO41" s="93"/>
      <c r="AP41" s="93"/>
      <c r="AQ41" s="93"/>
    </row>
    <row r="42" spans="2:44" s="156" customFormat="1" ht="15" customHeight="1">
      <c r="E42" s="190" t="s">
        <v>584</v>
      </c>
      <c r="F42" s="256" t="s">
        <v>787</v>
      </c>
      <c r="G42" s="190" t="s">
        <v>766</v>
      </c>
      <c r="H42" s="256" t="s">
        <v>699</v>
      </c>
      <c r="AH42" s="216">
        <f>CHOOSE(m_identity,ENWL!AH42, NPgN!AH42, NPgY!AH42, WMID!AH42, EMID!AH42, SWALES!AH42, SWEST!AH42, LPN!AH42,SPN!AH42,EPN!AH42,SPD!AH42,SPMW!AH42,SSEH!AH42,SSES!AH42)</f>
        <v>0</v>
      </c>
      <c r="AI42" s="216">
        <f>CHOOSE(m_identity,ENWL!AI42, NPgN!AI42, NPgY!AI42, WMID!AI42, EMID!AI42, SWALES!AI42, SWEST!AI42, LPN!AI42,SPN!AI42,EPN!AI42,SPD!AI42,SPMW!AI42,SSEH!AI42,SSES!AI42)</f>
        <v>0</v>
      </c>
      <c r="AM42" s="93"/>
      <c r="AN42" s="93"/>
      <c r="AO42" s="93"/>
      <c r="AP42" s="93"/>
      <c r="AQ42" s="93"/>
    </row>
    <row r="43" spans="2:44" s="156" customFormat="1" ht="15" customHeight="1">
      <c r="E43" s="190" t="s">
        <v>656</v>
      </c>
      <c r="F43" s="256" t="s">
        <v>787</v>
      </c>
      <c r="G43" s="190" t="s">
        <v>766</v>
      </c>
      <c r="H43" s="256" t="s">
        <v>700</v>
      </c>
      <c r="AH43" s="216">
        <f>CHOOSE(m_identity,ENWL!AH43, NPgN!AH43, NPgY!AH43, WMID!AH43, EMID!AH43, SWALES!AH43, SWEST!AH43, LPN!AH43,SPN!AH43,EPN!AH43,SPD!AH43,SPMW!AH43,SSEH!AH43,SSES!AH43)</f>
        <v>0</v>
      </c>
      <c r="AI43" s="216">
        <f>CHOOSE(m_identity,ENWL!AI43, NPgN!AI43, NPgY!AI43, WMID!AI43, EMID!AI43, SWALES!AI43, SWEST!AI43, LPN!AI43,SPN!AI43,EPN!AI43,SPD!AI43,SPMW!AI43,SSEH!AI43,SSES!AI43)</f>
        <v>0</v>
      </c>
      <c r="AM43" s="93"/>
      <c r="AN43" s="93"/>
      <c r="AO43" s="93"/>
      <c r="AP43" s="93"/>
      <c r="AQ43" s="93"/>
    </row>
    <row r="44" spans="2:44" s="156" customFormat="1" ht="15" customHeight="1">
      <c r="E44" s="23"/>
      <c r="G44" s="55"/>
      <c r="H44" s="255"/>
    </row>
    <row r="45" spans="2:44" ht="15" customHeight="1">
      <c r="B45" s="15" t="s">
        <v>129</v>
      </c>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row>
    <row r="46" spans="2:44" ht="15" customHeight="1">
      <c r="I46" s="156"/>
      <c r="J46" s="156"/>
      <c r="K46" s="156"/>
      <c r="L46" s="156"/>
      <c r="O46" s="156"/>
      <c r="P46" s="156"/>
      <c r="Q46" s="156"/>
      <c r="R46" s="156"/>
      <c r="S46" s="156"/>
      <c r="T46" s="156"/>
      <c r="U46" s="156"/>
      <c r="V46" s="156"/>
      <c r="W46" s="156"/>
      <c r="X46" s="156"/>
      <c r="Y46" s="156"/>
      <c r="Z46" s="156"/>
      <c r="AA46" s="156"/>
      <c r="AB46" s="156"/>
      <c r="AC46" s="156"/>
      <c r="AD46" s="156"/>
      <c r="AE46" s="156"/>
      <c r="AF46" s="156"/>
      <c r="AG46" s="156"/>
      <c r="AH46" s="156"/>
      <c r="AI46" s="156"/>
      <c r="AJ46" s="156"/>
      <c r="AK46" s="156"/>
      <c r="AL46" s="156"/>
    </row>
    <row r="47" spans="2:44" s="44" customFormat="1" ht="15" customHeight="1">
      <c r="C47" s="17" t="s">
        <v>126</v>
      </c>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row>
    <row r="48" spans="2:44" s="44" customFormat="1" ht="15" customHeight="1">
      <c r="E48" s="3"/>
      <c r="F48" s="3"/>
      <c r="G48" s="3"/>
      <c r="H48" s="3"/>
      <c r="I48" s="3"/>
      <c r="J48" s="33"/>
      <c r="K48" s="33"/>
      <c r="L48" s="33"/>
      <c r="M48" s="33"/>
      <c r="N48" s="33"/>
      <c r="O48" s="33"/>
      <c r="P48" s="33"/>
      <c r="Q48" s="33"/>
      <c r="R48" s="33"/>
      <c r="S48" s="33"/>
      <c r="T48" s="33"/>
      <c r="U48" s="33"/>
      <c r="V48" s="33"/>
      <c r="W48" s="33"/>
      <c r="X48" s="33"/>
      <c r="Y48" s="33"/>
      <c r="Z48" s="33"/>
      <c r="AA48" s="101"/>
      <c r="AB48" s="101"/>
      <c r="AC48" s="101"/>
      <c r="AD48" s="101"/>
      <c r="AE48" s="101"/>
      <c r="AF48" s="101"/>
      <c r="AG48" s="101"/>
      <c r="AH48" s="101"/>
      <c r="AI48" s="101"/>
      <c r="AJ48" s="101"/>
      <c r="AK48" s="101"/>
      <c r="AL48" s="101"/>
      <c r="AM48" s="101"/>
      <c r="AN48" s="101"/>
      <c r="AO48" s="101"/>
      <c r="AP48" s="101"/>
      <c r="AQ48" s="101"/>
    </row>
    <row r="49" spans="3:43" s="44" customFormat="1" ht="15" customHeight="1">
      <c r="E49" s="3" t="s">
        <v>32</v>
      </c>
      <c r="F49" s="3"/>
      <c r="G49" s="3" t="s">
        <v>40</v>
      </c>
      <c r="H49" s="3"/>
      <c r="I49" s="3"/>
      <c r="J49" s="92"/>
      <c r="K49" s="92"/>
      <c r="L49" s="92"/>
      <c r="M49" s="175"/>
      <c r="N49" s="175"/>
      <c r="O49" s="92"/>
      <c r="P49" s="92"/>
      <c r="Q49" s="92"/>
      <c r="R49" s="92"/>
      <c r="S49" s="92"/>
      <c r="T49" s="92"/>
      <c r="U49" s="92"/>
      <c r="V49" s="92"/>
      <c r="W49" s="92"/>
      <c r="X49" s="92"/>
      <c r="Y49" s="92"/>
      <c r="Z49" s="92"/>
      <c r="AA49" s="175"/>
      <c r="AB49" s="175"/>
      <c r="AC49" s="175"/>
      <c r="AD49" s="175"/>
      <c r="AE49" s="175"/>
      <c r="AF49" s="175"/>
      <c r="AG49" s="175"/>
      <c r="AH49" s="175"/>
      <c r="AI49" s="175"/>
      <c r="AJ49" s="285">
        <f t="shared" ref="AJ49:AQ49" si="0">AJ11</f>
        <v>2.5499999999999998E-2</v>
      </c>
      <c r="AK49" s="285">
        <f t="shared" si="0"/>
        <v>2.5499999999999998E-2</v>
      </c>
      <c r="AL49" s="285">
        <f t="shared" si="0"/>
        <v>2.5499999999999998E-2</v>
      </c>
      <c r="AM49" s="285">
        <f t="shared" si="0"/>
        <v>2.5499999999999998E-2</v>
      </c>
      <c r="AN49" s="285">
        <f t="shared" si="0"/>
        <v>2.5499999999999998E-2</v>
      </c>
      <c r="AO49" s="285">
        <f t="shared" si="0"/>
        <v>2.5499999999999998E-2</v>
      </c>
      <c r="AP49" s="285">
        <f t="shared" si="0"/>
        <v>2.5499999999999998E-2</v>
      </c>
      <c r="AQ49" s="285">
        <f t="shared" si="0"/>
        <v>2.5499999999999998E-2</v>
      </c>
    </row>
    <row r="50" spans="3:43" s="44" customFormat="1" ht="15" customHeight="1">
      <c r="E50" s="3" t="s">
        <v>30</v>
      </c>
      <c r="F50" s="3"/>
      <c r="G50" s="3" t="s">
        <v>40</v>
      </c>
      <c r="H50" s="3"/>
      <c r="I50" s="3"/>
      <c r="J50" s="92"/>
      <c r="K50" s="92"/>
      <c r="L50" s="92"/>
      <c r="M50" s="175"/>
      <c r="N50" s="175"/>
      <c r="O50" s="92"/>
      <c r="P50" s="92"/>
      <c r="Q50" s="92"/>
      <c r="R50" s="92"/>
      <c r="S50" s="92"/>
      <c r="T50" s="92"/>
      <c r="U50" s="92"/>
      <c r="V50" s="92"/>
      <c r="W50" s="92"/>
      <c r="X50" s="92"/>
      <c r="Y50" s="92"/>
      <c r="Z50" s="92"/>
      <c r="AA50" s="175"/>
      <c r="AB50" s="175"/>
      <c r="AC50" s="175"/>
      <c r="AD50" s="175"/>
      <c r="AE50" s="175"/>
      <c r="AF50" s="175"/>
      <c r="AG50" s="175"/>
      <c r="AH50" s="175"/>
      <c r="AI50" s="175"/>
      <c r="AJ50" s="229">
        <f>CHOOSE(m_identity,ENWL!AJ50, NPgN!AJ50, NPgY!AJ50, WMID!AJ50, EMID!AJ50, SWALES!AJ50, SWEST!AJ50, LPN!AJ50,SPN!AJ50,EPN!AJ50,SPD!AJ50,SPMW!AJ50,SSEH!AJ50,SSES!AJ50)</f>
        <v>0.06</v>
      </c>
      <c r="AK50" s="229">
        <f>CHOOSE(m_identity,ENWL!AK50, NPgN!AK50, NPgY!AK50, WMID!AK50, EMID!AK50, SWALES!AK50, SWEST!AK50, LPN!AK50,SPN!AK50,EPN!AK50,SPD!AK50,SPMW!AK50,SSEH!AK50,SSES!AK50)</f>
        <v>0.06</v>
      </c>
      <c r="AL50" s="229">
        <f>CHOOSE(m_identity,ENWL!AL50, NPgN!AL50, NPgY!AL50, WMID!AL50, EMID!AL50, SWALES!AL50, SWEST!AL50, LPN!AL50,SPN!AL50,EPN!AL50,SPD!AL50,SPMW!AL50,SSEH!AL50,SSES!AL50)</f>
        <v>0.06</v>
      </c>
      <c r="AM50" s="229">
        <f>CHOOSE(m_identity,ENWL!AM50, NPgN!AM50, NPgY!AM50, WMID!AM50, EMID!AM50, SWALES!AM50, SWEST!AM50, LPN!AM50,SPN!AM50,EPN!AM50,SPD!AM50,SPMW!AM50,SSEH!AM50,SSES!AM50)</f>
        <v>0.06</v>
      </c>
      <c r="AN50" s="229">
        <f>CHOOSE(m_identity,ENWL!AN50, NPgN!AN50, NPgY!AN50, WMID!AN50, EMID!AN50, SWALES!AN50, SWEST!AN50, LPN!AN50,SPN!AN50,EPN!AN50,SPD!AN50,SPMW!AN50,SSEH!AN50,SSES!AN50)</f>
        <v>0.06</v>
      </c>
      <c r="AO50" s="229">
        <f>CHOOSE(m_identity,ENWL!AO50, NPgN!AO50, NPgY!AO50, WMID!AO50, EMID!AO50, SWALES!AO50, SWEST!AO50, LPN!AO50,SPN!AO50,EPN!AO50,SPD!AO50,SPMW!AO50,SSEH!AO50,SSES!AO50)</f>
        <v>0.06</v>
      </c>
      <c r="AP50" s="229">
        <f>CHOOSE(m_identity,ENWL!AP50, NPgN!AP50, NPgY!AP50, WMID!AP50, EMID!AP50, SWALES!AP50, SWEST!AP50, LPN!AP50,SPN!AP50,EPN!AP50,SPD!AP50,SPMW!AP50,SSEH!AP50,SSES!AP50)</f>
        <v>0.06</v>
      </c>
      <c r="AQ50" s="229">
        <f>CHOOSE(m_identity,ENWL!AQ50, NPgN!AQ50, NPgY!AQ50, WMID!AQ50, EMID!AQ50, SWALES!AQ50, SWEST!AQ50, LPN!AQ50,SPN!AQ50,EPN!AQ50,SPD!AQ50,SPMW!AQ50,SSEH!AQ50,SSES!AQ50)</f>
        <v>0.06</v>
      </c>
    </row>
    <row r="51" spans="3:43" s="44" customFormat="1" ht="15" customHeight="1">
      <c r="E51" s="155" t="s">
        <v>409</v>
      </c>
      <c r="F51" s="3"/>
      <c r="G51" s="3" t="s">
        <v>47</v>
      </c>
      <c r="H51" s="3"/>
      <c r="I51" s="3"/>
      <c r="J51" s="92" t="s">
        <v>54</v>
      </c>
      <c r="K51" s="92"/>
      <c r="L51" s="92"/>
      <c r="M51" s="175"/>
      <c r="N51" s="175"/>
      <c r="O51" s="92"/>
      <c r="P51" s="92"/>
      <c r="Q51" s="92"/>
      <c r="R51" s="92"/>
      <c r="S51" s="92"/>
      <c r="T51" s="92"/>
      <c r="U51" s="92"/>
      <c r="V51" s="92"/>
      <c r="W51" s="92"/>
      <c r="X51" s="92"/>
      <c r="Y51" s="92"/>
      <c r="Z51" s="92"/>
      <c r="AA51" s="175"/>
      <c r="AB51" s="175"/>
      <c r="AC51" s="175"/>
      <c r="AD51" s="175"/>
      <c r="AE51" s="175"/>
      <c r="AF51" s="175"/>
      <c r="AG51" s="175"/>
      <c r="AH51" s="175"/>
      <c r="AI51" s="229">
        <f>CHOOSE(m_identity,ENWL!AI51, NPgN!AI51, NPgY!AI51, WMID!AI51, EMID!AI51, SWALES!AI51, SWEST!AI51, LPN!AI51,SPN!AI51,EPN!AI51,SPD!AI51,SPMW!AI51,SSEH!AI51,SSES!AI51)</f>
        <v>0.65</v>
      </c>
      <c r="AJ51" s="229">
        <f>CHOOSE(m_identity,ENWL!AJ51, NPgN!AJ51, NPgY!AJ51, WMID!AJ51, EMID!AJ51, SWALES!AJ51, SWEST!AJ51, LPN!AJ51,SPN!AJ51,EPN!AJ51,SPD!AJ51,SPMW!AJ51,SSEH!AJ51,SSES!AJ51)</f>
        <v>0.65</v>
      </c>
      <c r="AK51" s="229">
        <f>CHOOSE(m_identity,ENWL!AK51, NPgN!AK51, NPgY!AK51, WMID!AK51, EMID!AK51, SWALES!AK51, SWEST!AK51, LPN!AK51,SPN!AK51,EPN!AK51,SPD!AK51,SPMW!AK51,SSEH!AK51,SSES!AK51)</f>
        <v>0.65</v>
      </c>
      <c r="AL51" s="229">
        <f>CHOOSE(m_identity,ENWL!AL51, NPgN!AL51, NPgY!AL51, WMID!AL51, EMID!AL51, SWALES!AL51, SWEST!AL51, LPN!AL51,SPN!AL51,EPN!AL51,SPD!AL51,SPMW!AL51,SSEH!AL51,SSES!AL51)</f>
        <v>0.65</v>
      </c>
      <c r="AM51" s="229">
        <f>CHOOSE(m_identity,ENWL!AM51, NPgN!AM51, NPgY!AM51, WMID!AM51, EMID!AM51, SWALES!AM51, SWEST!AM51, LPN!AM51,SPN!AM51,EPN!AM51,SPD!AM51,SPMW!AM51,SSEH!AM51,SSES!AM51)</f>
        <v>0.65</v>
      </c>
      <c r="AN51" s="229">
        <f>CHOOSE(m_identity,ENWL!AN51, NPgN!AN51, NPgY!AN51, WMID!AN51, EMID!AN51, SWALES!AN51, SWEST!AN51, LPN!AN51,SPN!AN51,EPN!AN51,SPD!AN51,SPMW!AN51,SSEH!AN51,SSES!AN51)</f>
        <v>0.65</v>
      </c>
      <c r="AO51" s="229">
        <f>CHOOSE(m_identity,ENWL!AO51, NPgN!AO51, NPgY!AO51, WMID!AO51, EMID!AO51, SWALES!AO51, SWEST!AO51, LPN!AO51,SPN!AO51,EPN!AO51,SPD!AO51,SPMW!AO51,SSEH!AO51,SSES!AO51)</f>
        <v>0.65</v>
      </c>
      <c r="AP51" s="229">
        <f>CHOOSE(m_identity,ENWL!AP51, NPgN!AP51, NPgY!AP51, WMID!AP51, EMID!AP51, SWALES!AP51, SWEST!AP51, LPN!AP51,SPN!AP51,EPN!AP51,SPD!AP51,SPMW!AP51,SSEH!AP51,SSES!AP51)</f>
        <v>0.65</v>
      </c>
      <c r="AQ51" s="229">
        <f>CHOOSE(m_identity,ENWL!AQ51, NPgN!AQ51, NPgY!AQ51, WMID!AQ51, EMID!AQ51, SWALES!AQ51, SWEST!AQ51, LPN!AQ51,SPN!AQ51,EPN!AQ51,SPD!AQ51,SPMW!AQ51,SSEH!AQ51,SSES!AQ51)</f>
        <v>0.65</v>
      </c>
    </row>
    <row r="52" spans="3:43" s="44" customFormat="1" ht="15" customHeight="1">
      <c r="E52" s="3"/>
      <c r="F52" s="3"/>
      <c r="G52" s="3"/>
      <c r="H52" s="3"/>
      <c r="I52" s="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230"/>
      <c r="AK52" s="230"/>
      <c r="AL52" s="230"/>
      <c r="AM52" s="230"/>
      <c r="AN52" s="230"/>
      <c r="AO52" s="230"/>
      <c r="AP52" s="230"/>
      <c r="AQ52" s="230"/>
    </row>
    <row r="53" spans="3:43" s="44" customFormat="1" ht="15" customHeight="1">
      <c r="E53" s="3" t="s">
        <v>8</v>
      </c>
      <c r="F53" s="3"/>
      <c r="G53" s="3" t="s">
        <v>40</v>
      </c>
      <c r="H53" s="3"/>
      <c r="I53" s="3"/>
      <c r="J53" s="92"/>
      <c r="K53" s="92"/>
      <c r="L53" s="92"/>
      <c r="M53" s="175"/>
      <c r="N53" s="175"/>
      <c r="O53" s="92"/>
      <c r="P53" s="92"/>
      <c r="Q53" s="92"/>
      <c r="R53" s="92"/>
      <c r="S53" s="92"/>
      <c r="T53" s="92"/>
      <c r="U53" s="92"/>
      <c r="V53" s="92"/>
      <c r="W53" s="92"/>
      <c r="X53" s="92"/>
      <c r="Y53" s="92"/>
      <c r="Z53" s="92"/>
      <c r="AA53" s="175"/>
      <c r="AB53" s="175"/>
      <c r="AC53" s="175"/>
      <c r="AD53" s="175"/>
      <c r="AE53" s="175"/>
      <c r="AF53" s="175"/>
      <c r="AG53" s="175"/>
      <c r="AH53" s="175"/>
      <c r="AI53" s="175"/>
      <c r="AJ53" s="296">
        <f t="shared" ref="AJ53:AQ53" si="1">(AJ49 * AJ51) + (AJ50 * (1 - AJ51))</f>
        <v>3.7574999999999997E-2</v>
      </c>
      <c r="AK53" s="296">
        <f t="shared" si="1"/>
        <v>3.7574999999999997E-2</v>
      </c>
      <c r="AL53" s="296">
        <f t="shared" si="1"/>
        <v>3.7574999999999997E-2</v>
      </c>
      <c r="AM53" s="296">
        <f t="shared" si="1"/>
        <v>3.7574999999999997E-2</v>
      </c>
      <c r="AN53" s="296">
        <f t="shared" si="1"/>
        <v>3.7574999999999997E-2</v>
      </c>
      <c r="AO53" s="296">
        <f t="shared" si="1"/>
        <v>3.7574999999999997E-2</v>
      </c>
      <c r="AP53" s="296">
        <f t="shared" si="1"/>
        <v>3.7574999999999997E-2</v>
      </c>
      <c r="AQ53" s="296">
        <f t="shared" si="1"/>
        <v>3.7574999999999997E-2</v>
      </c>
    </row>
    <row r="54" spans="3:43" s="44" customFormat="1" ht="15" customHeight="1">
      <c r="E54" s="3"/>
      <c r="F54" s="3"/>
      <c r="G54" s="3"/>
      <c r="H54" s="3"/>
      <c r="I54" s="3"/>
      <c r="J54" s="92"/>
      <c r="K54" s="92"/>
      <c r="L54" s="92"/>
      <c r="M54" s="175"/>
      <c r="N54" s="175"/>
      <c r="O54" s="92"/>
      <c r="P54" s="92"/>
      <c r="Q54" s="92"/>
      <c r="R54" s="92"/>
      <c r="S54" s="92"/>
      <c r="T54" s="92"/>
      <c r="U54" s="92"/>
      <c r="V54" s="92"/>
      <c r="W54" s="92"/>
      <c r="X54" s="92"/>
      <c r="Y54" s="92"/>
      <c r="Z54" s="92"/>
      <c r="AA54" s="97"/>
      <c r="AB54" s="97"/>
      <c r="AC54" s="97"/>
      <c r="AD54" s="94"/>
      <c r="AE54" s="94"/>
      <c r="AF54" s="94"/>
      <c r="AG54" s="94"/>
      <c r="AH54" s="94"/>
      <c r="AI54" s="94"/>
      <c r="AJ54" s="94"/>
      <c r="AK54" s="94"/>
      <c r="AL54" s="94"/>
      <c r="AM54" s="94"/>
      <c r="AN54" s="94"/>
      <c r="AO54" s="94"/>
      <c r="AP54" s="94"/>
      <c r="AQ54" s="94"/>
    </row>
    <row r="55" spans="3:43" s="154" customFormat="1" ht="15" customHeight="1">
      <c r="E55" s="155"/>
      <c r="F55" s="155"/>
      <c r="G55" s="155"/>
      <c r="H55" s="155"/>
      <c r="I55" s="155"/>
      <c r="J55" s="175"/>
      <c r="K55" s="175"/>
      <c r="L55" s="175"/>
      <c r="M55" s="175"/>
      <c r="N55" s="175"/>
      <c r="O55" s="175"/>
      <c r="P55" s="175"/>
      <c r="Q55" s="175"/>
      <c r="R55" s="175"/>
      <c r="S55" s="175"/>
      <c r="T55" s="175"/>
      <c r="U55" s="175"/>
      <c r="V55" s="175"/>
      <c r="W55" s="175"/>
      <c r="X55" s="175"/>
      <c r="Y55" s="175"/>
      <c r="Z55" s="175"/>
      <c r="AA55" s="97"/>
      <c r="AB55" s="97"/>
      <c r="AC55" s="97"/>
      <c r="AD55" s="94"/>
      <c r="AE55" s="94"/>
      <c r="AF55" s="94"/>
      <c r="AG55" s="94"/>
      <c r="AH55" s="94"/>
      <c r="AJ55" s="94"/>
      <c r="AK55" s="94"/>
      <c r="AL55" s="94"/>
      <c r="AM55" s="94"/>
      <c r="AN55" s="94"/>
      <c r="AO55" s="94"/>
      <c r="AP55" s="94"/>
      <c r="AQ55" s="94"/>
    </row>
    <row r="56" spans="3:43" s="154" customFormat="1" ht="15" customHeight="1">
      <c r="E56" s="155"/>
      <c r="F56" s="155"/>
      <c r="G56" s="155"/>
      <c r="H56" s="155"/>
      <c r="I56" s="155"/>
      <c r="J56" s="175"/>
      <c r="K56" s="175"/>
      <c r="L56" s="175"/>
      <c r="M56" s="175"/>
      <c r="N56" s="175"/>
      <c r="O56" s="175"/>
      <c r="P56" s="175"/>
      <c r="Q56" s="175"/>
      <c r="R56" s="175"/>
      <c r="S56" s="175"/>
      <c r="T56" s="175"/>
      <c r="U56" s="175"/>
      <c r="V56" s="175"/>
      <c r="W56" s="175"/>
      <c r="X56" s="175"/>
      <c r="Y56" s="175"/>
      <c r="Z56" s="175"/>
      <c r="AA56" s="97"/>
      <c r="AB56" s="97"/>
      <c r="AC56" s="97"/>
      <c r="AD56" s="94"/>
      <c r="AE56" s="94"/>
      <c r="AF56" s="94"/>
      <c r="AG56" s="94"/>
      <c r="AH56" s="94"/>
      <c r="AI56" s="94"/>
      <c r="AJ56" s="94"/>
      <c r="AK56" s="94"/>
      <c r="AL56" s="94"/>
      <c r="AM56" s="94"/>
      <c r="AN56" s="94"/>
      <c r="AO56" s="94"/>
      <c r="AP56" s="94"/>
      <c r="AQ56" s="94"/>
    </row>
    <row r="57" spans="3:43" s="156" customFormat="1" ht="15" customHeight="1">
      <c r="C57" s="158" t="s">
        <v>554</v>
      </c>
      <c r="D57" s="158"/>
      <c r="E57" s="158"/>
      <c r="F57" s="158"/>
      <c r="G57" s="158"/>
      <c r="H57" s="158"/>
      <c r="I57" s="158"/>
      <c r="J57" s="158"/>
      <c r="K57" s="158"/>
      <c r="L57" s="158"/>
      <c r="M57" s="158"/>
      <c r="N57" s="158"/>
      <c r="O57" s="158"/>
      <c r="P57" s="158"/>
      <c r="Q57" s="158"/>
      <c r="R57" s="158"/>
      <c r="S57" s="158"/>
      <c r="T57" s="158"/>
      <c r="U57" s="158"/>
      <c r="V57" s="158"/>
      <c r="W57" s="158"/>
      <c r="X57" s="158"/>
      <c r="Y57" s="158"/>
      <c r="Z57" s="158"/>
      <c r="AA57" s="158"/>
      <c r="AB57" s="158"/>
      <c r="AC57" s="158"/>
      <c r="AD57" s="158"/>
      <c r="AE57" s="158"/>
      <c r="AF57" s="158"/>
      <c r="AG57" s="158"/>
      <c r="AH57" s="158"/>
      <c r="AI57" s="158"/>
      <c r="AJ57" s="158"/>
      <c r="AK57" s="158"/>
      <c r="AL57" s="158"/>
      <c r="AM57" s="158"/>
      <c r="AN57" s="158"/>
      <c r="AO57" s="158"/>
      <c r="AP57" s="158"/>
      <c r="AQ57" s="158"/>
    </row>
    <row r="58" spans="3:43" s="154" customFormat="1" ht="15" customHeight="1">
      <c r="E58" s="155"/>
      <c r="F58" s="155"/>
      <c r="G58" s="155"/>
      <c r="H58" s="155"/>
      <c r="I58" s="155"/>
      <c r="J58" s="175"/>
      <c r="K58" s="175"/>
      <c r="L58" s="175"/>
      <c r="M58" s="175"/>
      <c r="N58" s="175"/>
      <c r="O58" s="175"/>
      <c r="P58" s="175"/>
      <c r="Q58" s="175"/>
      <c r="R58" s="175"/>
      <c r="S58" s="175"/>
      <c r="T58" s="175"/>
      <c r="U58" s="175"/>
      <c r="V58" s="175"/>
      <c r="W58" s="175"/>
      <c r="X58" s="175"/>
      <c r="Y58" s="175"/>
      <c r="Z58" s="175"/>
      <c r="AA58" s="97"/>
      <c r="AB58" s="97"/>
      <c r="AC58" s="97"/>
      <c r="AD58" s="94"/>
      <c r="AE58" s="94"/>
      <c r="AF58" s="94"/>
      <c r="AG58" s="94"/>
      <c r="AH58" s="94"/>
      <c r="AI58" s="94"/>
      <c r="AJ58" s="94"/>
      <c r="AK58" s="94"/>
      <c r="AL58" s="94"/>
      <c r="AM58" s="94"/>
      <c r="AN58" s="94"/>
      <c r="AO58" s="94"/>
      <c r="AP58" s="94"/>
      <c r="AQ58" s="94"/>
    </row>
    <row r="59" spans="3:43" s="44" customFormat="1" ht="15" customHeight="1">
      <c r="E59" s="154" t="s">
        <v>776</v>
      </c>
      <c r="G59" s="44" t="s">
        <v>52</v>
      </c>
      <c r="J59" s="92" t="s">
        <v>54</v>
      </c>
      <c r="K59" s="92"/>
      <c r="L59" s="92"/>
      <c r="M59" s="175"/>
      <c r="N59" s="175"/>
      <c r="O59" s="92"/>
      <c r="P59" s="92"/>
      <c r="Q59" s="92"/>
      <c r="R59" s="92"/>
      <c r="S59" s="92"/>
      <c r="T59" s="92"/>
      <c r="U59" s="92"/>
      <c r="V59" s="92"/>
      <c r="W59" s="92"/>
      <c r="X59" s="175"/>
      <c r="Y59" s="175"/>
      <c r="Z59" s="175"/>
      <c r="AA59" s="175"/>
      <c r="AB59" s="175"/>
      <c r="AC59" s="175"/>
      <c r="AD59" s="175"/>
      <c r="AE59" s="175"/>
      <c r="AF59" s="94"/>
      <c r="AG59" s="432">
        <f>CHOOSE(m_identity,ENWL!AG59, NPgN!AG59, NPgY!AG59, WMID!AG59, EMID!AG59, SWALES!AG59, SWEST!AG59, LPN!AG59,SPN!AG59,EPN!AG59,SPD!AG59,SPMW!AG59,SSEH!AG59,SSES!AG59)</f>
        <v>244.67500000000001</v>
      </c>
      <c r="AH59" s="432">
        <f>CHOOSE(m_identity,ENWL!AH59, NPgN!AH59, NPgY!AH59, WMID!AH59, EMID!AH59, SWALES!AH59, SWEST!AH59, LPN!AH59,SPN!AH59,EPN!AH59,SPD!AH59,SPMW!AH59,SSEH!AH59,SSES!AH59)</f>
        <v>251.733</v>
      </c>
      <c r="AI59" s="432">
        <f>CHOOSE(m_identity,ENWL!AI59, NPgN!AI59, NPgY!AI59, WMID!AI59, EMID!AI59, SWALES!AI59, SWEST!AI59, LPN!AI59,SPN!AI59,EPN!AI59,SPD!AI59,SPMW!AI59,SSEH!AI59,SSES!AI59)</f>
        <v>259.53699999999998</v>
      </c>
      <c r="AJ59" s="432">
        <f>CHOOSE(m_identity,ENWL!AJ59, NPgN!AJ59, NPgY!AJ59, WMID!AJ59, EMID!AJ59, SWALES!AJ59, SWEST!AJ59, LPN!AJ59,SPN!AJ59,EPN!AJ59,SPD!AJ59,SPMW!AJ59,SSEH!AJ59,SSES!AJ59)</f>
        <v>267.58300000000003</v>
      </c>
      <c r="AK59" s="432">
        <f>CHOOSE(m_identity,ENWL!AK59, NPgN!AK59, NPgY!AK59, WMID!AK59, EMID!AK59, SWALES!AK59, SWEST!AK59, LPN!AK59,SPN!AK59,EPN!AK59,SPD!AK59,SPMW!AK59,SSEH!AK59,SSES!AK59)</f>
        <v>275.87799999999999</v>
      </c>
      <c r="AL59" s="432">
        <f>CHOOSE(m_identity,ENWL!AL59, NPgN!AL59, NPgY!AL59, WMID!AL59, EMID!AL59, SWALES!AL59, SWEST!AL59, LPN!AL59,SPN!AL59,EPN!AL59,SPD!AL59,SPMW!AL59,SSEH!AL59,SSES!AL59)</f>
        <v>284.43</v>
      </c>
      <c r="AM59" s="432">
        <f>CHOOSE(m_identity,ENWL!AM59, NPgN!AM59, NPgY!AM59, WMID!AM59, EMID!AM59, SWALES!AM59, SWEST!AM59, LPN!AM59,SPN!AM59,EPN!AM59,SPD!AM59,SPMW!AM59,SSEH!AM59,SSES!AM59)</f>
        <v>293.24700000000001</v>
      </c>
      <c r="AN59" s="432">
        <f>CHOOSE(m_identity,ENWL!AN59, NPgN!AN59, NPgY!AN59, WMID!AN59, EMID!AN59, SWALES!AN59, SWEST!AN59, LPN!AN59,SPN!AN59,EPN!AN59,SPD!AN59,SPMW!AN59,SSEH!AN59,SSES!AN59)</f>
        <v>302.33800000000002</v>
      </c>
      <c r="AO59" s="432">
        <f>CHOOSE(m_identity,ENWL!AO59, NPgN!AO59, NPgY!AO59, WMID!AO59, EMID!AO59, SWALES!AO59, SWEST!AO59, LPN!AO59,SPN!AO59,EPN!AO59,SPD!AO59,SPMW!AO59,SSEH!AO59,SSES!AO59)</f>
        <v>311.70999999999998</v>
      </c>
      <c r="AP59" s="432">
        <f>CHOOSE(m_identity,ENWL!AP59, NPgN!AP59, NPgY!AP59, WMID!AP59, EMID!AP59, SWALES!AP59, SWEST!AP59, LPN!AP59,SPN!AP59,EPN!AP59,SPD!AP59,SPMW!AP59,SSEH!AP59,SSES!AP59)</f>
        <v>321.37299999999999</v>
      </c>
      <c r="AQ59" s="432">
        <f>CHOOSE(m_identity,ENWL!AQ59, NPgN!AQ59, NPgY!AQ59, WMID!AQ59, EMID!AQ59, SWALES!AQ59, SWEST!AQ59, LPN!AQ59,SPN!AQ59,EPN!AQ59,SPD!AQ59,SPMW!AQ59,SSEH!AQ59,SSES!AQ59)</f>
        <v>331.33600000000001</v>
      </c>
    </row>
    <row r="60" spans="3:43" s="154" customFormat="1" ht="15" customHeight="1">
      <c r="E60" s="154" t="s">
        <v>502</v>
      </c>
      <c r="F60" s="155"/>
      <c r="G60" s="154" t="s">
        <v>52</v>
      </c>
      <c r="J60" s="175" t="s">
        <v>54</v>
      </c>
      <c r="K60" s="175"/>
      <c r="L60" s="175"/>
      <c r="M60" s="175"/>
      <c r="N60" s="175"/>
      <c r="O60" s="175"/>
      <c r="P60" s="175"/>
      <c r="Q60" s="175"/>
      <c r="R60" s="175"/>
      <c r="S60" s="175"/>
      <c r="T60" s="175"/>
      <c r="U60" s="175"/>
      <c r="V60" s="175"/>
      <c r="W60" s="175"/>
      <c r="X60" s="175"/>
      <c r="Y60" s="175"/>
      <c r="Z60" s="175"/>
      <c r="AA60" s="175"/>
      <c r="AB60" s="175"/>
      <c r="AC60" s="175"/>
      <c r="AD60" s="175"/>
      <c r="AE60" s="175"/>
      <c r="AF60" s="94"/>
      <c r="AG60" s="432">
        <f>CHOOSE(m_identity,ENWL!AG60, NPgN!AG60, NPgY!AG60, WMID!AG60, EMID!AG60, SWALES!AG60, SWEST!AG60, LPN!AG60,SPN!AG60,EPN!AG60,SPD!AG60,SPMW!AG60,SSEH!AG60,SSES!AG60)</f>
        <v>244.67500000000001</v>
      </c>
      <c r="AH60" s="432">
        <f>CHOOSE(m_identity,ENWL!AH60, NPgN!AH60, NPgY!AH60, WMID!AH60, EMID!AH60, SWALES!AH60, SWEST!AH60, LPN!AH60,SPN!AH60,EPN!AH60,SPD!AH60,SPMW!AH60,SSEH!AH60,SSES!AH60)</f>
        <v>251.733</v>
      </c>
      <c r="AI60" s="432">
        <f>CHOOSE(m_identity,ENWL!AI60, NPgN!AI60, NPgY!AI60, WMID!AI60, EMID!AI60, SWALES!AI60, SWEST!AI60, LPN!AI60,SPN!AI60,EPN!AI60,SPD!AI60,SPMW!AI60,SSEH!AI60,SSES!AI60)</f>
        <v>259.53699999999998</v>
      </c>
      <c r="AJ60" s="432">
        <f>CHOOSE(m_identity,ENWL!AJ60, NPgN!AJ60, NPgY!AJ60, WMID!AJ60, EMID!AJ60, SWALES!AJ60, SWEST!AJ60, LPN!AJ60,SPN!AJ60,EPN!AJ60,SPD!AJ60,SPMW!AJ60,SSEH!AJ60,SSES!AJ60)</f>
        <v>267.58300000000003</v>
      </c>
      <c r="AK60" s="432">
        <f>CHOOSE(m_identity,ENWL!AK60, NPgN!AK60, NPgY!AK60, WMID!AK60, EMID!AK60, SWALES!AK60, SWEST!AK60, LPN!AK60,SPN!AK60,EPN!AK60,SPD!AK60,SPMW!AK60,SSEH!AK60,SSES!AK60)</f>
        <v>275.87799999999999</v>
      </c>
      <c r="AL60" s="432">
        <f>CHOOSE(m_identity,ENWL!AL60, NPgN!AL60, NPgY!AL60, WMID!AL60, EMID!AL60, SWALES!AL60, SWEST!AL60, LPN!AL60,SPN!AL60,EPN!AL60,SPD!AL60,SPMW!AL60,SSEH!AL60,SSES!AL60)</f>
        <v>284.43</v>
      </c>
      <c r="AM60" s="432">
        <f>CHOOSE(m_identity,ENWL!AM60, NPgN!AM60, NPgY!AM60, WMID!AM60, EMID!AM60, SWALES!AM60, SWEST!AM60, LPN!AM60,SPN!AM60,EPN!AM60,SPD!AM60,SPMW!AM60,SSEH!AM60,SSES!AM60)</f>
        <v>293.24700000000001</v>
      </c>
      <c r="AN60" s="432">
        <f>CHOOSE(m_identity,ENWL!AN60, NPgN!AN60, NPgY!AN60, WMID!AN60, EMID!AN60, SWALES!AN60, SWEST!AN60, LPN!AN60,SPN!AN60,EPN!AN60,SPD!AN60,SPMW!AN60,SSEH!AN60,SSES!AN60)</f>
        <v>302.33800000000002</v>
      </c>
      <c r="AO60" s="432">
        <f>CHOOSE(m_identity,ENWL!AO60, NPgN!AO60, NPgY!AO60, WMID!AO60, EMID!AO60, SWALES!AO60, SWEST!AO60, LPN!AO60,SPN!AO60,EPN!AO60,SPD!AO60,SPMW!AO60,SSEH!AO60,SSES!AO60)</f>
        <v>311.70999999999998</v>
      </c>
      <c r="AP60" s="432">
        <f>CHOOSE(m_identity,ENWL!AP60, NPgN!AP60, NPgY!AP60, WMID!AP60, EMID!AP60, SWALES!AP60, SWEST!AP60, LPN!AP60,SPN!AP60,EPN!AP60,SPD!AP60,SPMW!AP60,SSEH!AP60,SSES!AP60)</f>
        <v>321.37299999999999</v>
      </c>
      <c r="AQ60" s="432">
        <f>CHOOSE(m_identity,ENWL!AQ60, NPgN!AQ60, NPgY!AQ60, WMID!AQ60, EMID!AQ60, SWALES!AQ60, SWEST!AQ60, LPN!AQ60,SPN!AQ60,EPN!AQ60,SPD!AQ60,SPMW!AQ60,SSEH!AQ60,SSES!AQ60)</f>
        <v>331.33600000000001</v>
      </c>
    </row>
    <row r="61" spans="3:43" s="154" customFormat="1" ht="15" customHeight="1">
      <c r="F61" s="155"/>
      <c r="J61" s="175"/>
      <c r="K61" s="175"/>
      <c r="L61" s="175"/>
      <c r="M61" s="175"/>
      <c r="N61" s="175"/>
      <c r="O61" s="175"/>
      <c r="P61" s="175"/>
      <c r="Q61" s="175"/>
      <c r="R61" s="175"/>
      <c r="S61" s="175"/>
      <c r="T61" s="175"/>
      <c r="U61" s="175"/>
      <c r="V61" s="175"/>
      <c r="W61" s="175"/>
      <c r="X61" s="175"/>
      <c r="Y61" s="175"/>
      <c r="Z61" s="175"/>
      <c r="AA61" s="175"/>
      <c r="AB61" s="175"/>
      <c r="AC61" s="175"/>
      <c r="AD61" s="175"/>
      <c r="AE61" s="175"/>
      <c r="AF61" s="109"/>
      <c r="AG61" s="109"/>
      <c r="AH61" s="109"/>
      <c r="AI61" s="109"/>
      <c r="AJ61" s="109"/>
      <c r="AK61" s="109"/>
      <c r="AL61" s="109"/>
      <c r="AM61" s="109"/>
      <c r="AN61" s="109"/>
      <c r="AO61" s="109"/>
      <c r="AP61" s="109"/>
      <c r="AQ61" s="109"/>
    </row>
    <row r="62" spans="3:43" ht="15" customHeight="1">
      <c r="C62" s="158" t="s">
        <v>213</v>
      </c>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row>
    <row r="63" spans="3:43" ht="15" customHeight="1"/>
    <row r="64" spans="3:43" s="156" customFormat="1" ht="15" customHeight="1">
      <c r="E64" s="156" t="s">
        <v>193</v>
      </c>
      <c r="G64" s="156" t="s">
        <v>49</v>
      </c>
      <c r="I64" s="286">
        <f>CHOOSE(m_identity,ENWL!I64, NPgN!I64, NPgY!I64, WMID!I64, EMID!I64, SWALES!I64, SWEST!I64, LPN!I64,SPN!I64,EPN!I64,SPD!I64,SPMW!I64,SSEH!I64,SSES!I64)</f>
        <v>2</v>
      </c>
    </row>
    <row r="65" spans="4:43" s="156" customFormat="1" ht="15" customHeight="1">
      <c r="AI65" s="149"/>
    </row>
    <row r="66" spans="4:43" ht="15" customHeight="1">
      <c r="E66" s="156" t="s">
        <v>663</v>
      </c>
      <c r="G66" s="11" t="s">
        <v>47</v>
      </c>
      <c r="AI66" s="149"/>
      <c r="AJ66" s="229">
        <f>CHOOSE(m_identity,ENWL!AJ66, NPgN!AJ66, NPgY!AJ66, WMID!AJ66, EMID!AJ66, SWALES!AJ66, SWEST!AJ66, LPN!AJ66,SPN!AJ66,EPN!AJ66,SPD!AJ66,SPMW!AJ66,SSEH!AJ66,SSES!AJ66)</f>
        <v>0.7</v>
      </c>
      <c r="AK66" s="229">
        <f>CHOOSE(m_identity,ENWL!AK66, NPgN!AK66, NPgY!AK66, WMID!AK66, EMID!AK66, SWALES!AK66, SWEST!AK66, LPN!AK66,SPN!AK66,EPN!AK66,SPD!AK66,SPMW!AK66,SSEH!AK66,SSES!AK66)</f>
        <v>0.7</v>
      </c>
      <c r="AL66" s="229">
        <f>CHOOSE(m_identity,ENWL!AL66, NPgN!AL66, NPgY!AL66, WMID!AL66, EMID!AL66, SWALES!AL66, SWEST!AL66, LPN!AL66,SPN!AL66,EPN!AL66,SPD!AL66,SPMW!AL66,SSEH!AL66,SSES!AL66)</f>
        <v>0.7</v>
      </c>
      <c r="AM66" s="229">
        <f>CHOOSE(m_identity,ENWL!AM66, NPgN!AM66, NPgY!AM66, WMID!AM66, EMID!AM66, SWALES!AM66, SWEST!AM66, LPN!AM66,SPN!AM66,EPN!AM66,SPD!AM66,SPMW!AM66,SSEH!AM66,SSES!AM66)</f>
        <v>0.7</v>
      </c>
      <c r="AN66" s="229">
        <f>CHOOSE(m_identity,ENWL!AN66, NPgN!AN66, NPgY!AN66, WMID!AN66, EMID!AN66, SWALES!AN66, SWEST!AN66, LPN!AN66,SPN!AN66,EPN!AN66,SPD!AN66,SPMW!AN66,SSEH!AN66,SSES!AN66)</f>
        <v>0.7</v>
      </c>
      <c r="AO66" s="229">
        <f>CHOOSE(m_identity,ENWL!AO66, NPgN!AO66, NPgY!AO66, WMID!AO66, EMID!AO66, SWALES!AO66, SWEST!AO66, LPN!AO66,SPN!AO66,EPN!AO66,SPD!AO66,SPMW!AO66,SSEH!AO66,SSES!AO66)</f>
        <v>0.7</v>
      </c>
      <c r="AP66" s="229">
        <f>CHOOSE(m_identity,ENWL!AP66, NPgN!AP66, NPgY!AP66, WMID!AP66, EMID!AP66, SWALES!AP66, SWEST!AP66, LPN!AP66,SPN!AP66,EPN!AP66,SPD!AP66,SPMW!AP66,SSEH!AP66,SSES!AP66)</f>
        <v>0.7</v>
      </c>
      <c r="AQ66" s="229">
        <f>CHOOSE(m_identity,ENWL!AQ66, NPgN!AQ66, NPgY!AQ66, WMID!AQ66, EMID!AQ66, SWALES!AQ66, SWEST!AQ66, LPN!AQ66,SPN!AQ66,EPN!AQ66,SPD!AQ66,SPMW!AQ66,SSEH!AQ66,SSES!AQ66)</f>
        <v>0.7</v>
      </c>
    </row>
    <row r="67" spans="4:43" s="156" customFormat="1" ht="15" customHeight="1">
      <c r="AI67" s="149"/>
      <c r="AJ67" s="149"/>
      <c r="AK67" s="149"/>
      <c r="AL67" s="149"/>
      <c r="AM67" s="149"/>
      <c r="AN67" s="149"/>
      <c r="AO67" s="149"/>
      <c r="AP67" s="149"/>
      <c r="AQ67" s="214"/>
    </row>
    <row r="68" spans="4:43" s="149" customFormat="1" ht="15" customHeight="1">
      <c r="E68" s="156" t="s">
        <v>597</v>
      </c>
      <c r="F68" s="156"/>
      <c r="G68" s="99" t="s">
        <v>47</v>
      </c>
      <c r="H68" s="156"/>
      <c r="I68" s="368">
        <f>CHOOSE(m_identity,ENWL!I68, NPgN!I68, NPgY!I68, WMID!I68, EMID!I68, SWALES!I68, SWEST!I68, LPN!I68,SPN!I68,EPN!I68,SPD!I68,SPMW!I68,SSEH!I68,SSES!I68)</f>
        <v>1.2012274398135502E-3</v>
      </c>
      <c r="J68" s="14"/>
      <c r="K68" s="14"/>
      <c r="L68" s="14"/>
      <c r="M68" s="14"/>
      <c r="N68" s="14"/>
      <c r="O68" s="14"/>
      <c r="P68" s="14"/>
      <c r="Q68" s="14"/>
      <c r="R68" s="14"/>
      <c r="S68" s="14"/>
      <c r="T68" s="14"/>
      <c r="U68" s="14"/>
      <c r="V68" s="14"/>
      <c r="W68" s="14"/>
      <c r="X68" s="14"/>
      <c r="Y68" s="14"/>
      <c r="Z68" s="14"/>
      <c r="AQ68" s="214"/>
    </row>
    <row r="69" spans="4:43" s="149" customFormat="1" ht="15" customHeight="1">
      <c r="E69" s="214"/>
      <c r="F69" s="214"/>
      <c r="G69" s="214"/>
      <c r="H69" s="214"/>
      <c r="I69" s="214"/>
      <c r="J69" s="214"/>
      <c r="K69" s="214"/>
      <c r="L69" s="214"/>
      <c r="M69" s="214"/>
      <c r="N69" s="214"/>
      <c r="O69" s="214"/>
      <c r="P69" s="214"/>
      <c r="Q69" s="214"/>
      <c r="R69" s="214"/>
      <c r="S69" s="214"/>
      <c r="T69" s="214"/>
      <c r="U69" s="214"/>
      <c r="V69" s="214"/>
      <c r="W69" s="214"/>
      <c r="X69" s="214"/>
      <c r="Y69" s="214"/>
      <c r="Z69" s="214"/>
      <c r="AA69" s="214"/>
      <c r="AB69" s="214"/>
      <c r="AC69" s="214"/>
      <c r="AD69" s="214"/>
      <c r="AE69" s="214"/>
      <c r="AF69" s="214"/>
      <c r="AG69" s="214"/>
      <c r="AH69" s="214"/>
      <c r="AI69" s="214"/>
      <c r="AJ69" s="214"/>
      <c r="AK69" s="214"/>
      <c r="AL69" s="214"/>
      <c r="AM69" s="214"/>
      <c r="AN69" s="214"/>
      <c r="AO69" s="214"/>
      <c r="AP69" s="214"/>
      <c r="AQ69" s="214"/>
    </row>
    <row r="70" spans="4:43" s="149" customFormat="1" ht="15" customHeight="1">
      <c r="E70" s="149" t="s">
        <v>598</v>
      </c>
      <c r="G70" s="99" t="s">
        <v>47</v>
      </c>
      <c r="I70" s="368">
        <f>CHOOSE(m_identity,ENWL!I70, NPgN!I70, NPgY!I70, WMID!I70, EMID!I70, SWALES!I70, SWEST!I70, LPN!I70,SPN!I70,EPN!I70,SPD!I70,SPMW!I70,SSEH!I70,SSES!I70)</f>
        <v>0.56471375271214463</v>
      </c>
      <c r="J70" s="14"/>
      <c r="K70" s="14"/>
      <c r="L70" s="14"/>
      <c r="M70" s="14"/>
      <c r="N70" s="14"/>
      <c r="O70" s="14"/>
      <c r="P70" s="14"/>
      <c r="Q70" s="14"/>
      <c r="R70" s="14"/>
      <c r="S70" s="14"/>
      <c r="T70" s="14"/>
      <c r="U70" s="14"/>
      <c r="V70" s="14"/>
      <c r="W70" s="14"/>
      <c r="X70" s="14"/>
      <c r="Y70" s="14"/>
      <c r="Z70" s="14"/>
      <c r="AQ70" s="214"/>
    </row>
    <row r="71" spans="4:43" s="149" customFormat="1" ht="15" customHeight="1">
      <c r="J71" s="14"/>
      <c r="K71" s="14"/>
      <c r="L71" s="14"/>
      <c r="M71" s="14"/>
      <c r="N71" s="14"/>
      <c r="O71" s="14"/>
      <c r="P71" s="14"/>
      <c r="Q71" s="14"/>
      <c r="R71" s="14"/>
      <c r="S71" s="14"/>
      <c r="T71" s="14"/>
      <c r="U71" s="14"/>
      <c r="V71" s="14"/>
      <c r="W71" s="14"/>
      <c r="X71" s="14"/>
      <c r="Y71" s="14"/>
      <c r="Z71" s="14"/>
      <c r="AQ71" s="214"/>
    </row>
    <row r="72" spans="4:43" s="19" customFormat="1" ht="15" customHeight="1">
      <c r="D72" s="156"/>
      <c r="E72" s="53" t="s">
        <v>420</v>
      </c>
      <c r="F72" s="99"/>
      <c r="G72" s="99" t="s">
        <v>47</v>
      </c>
      <c r="H72" s="99"/>
      <c r="I72" s="229">
        <f>CHOOSE(m_identity,ENWL!I72, NPgN!I72, NPgY!I72, WMID!I72, EMID!I72, SWALES!I72, SWEST!I72, LPN!I72,SPN!I72,EPN!I72,SPD!I72,SPMW!I72,SSEH!I72,SSES!I72)</f>
        <v>0.75</v>
      </c>
      <c r="J72" s="88"/>
      <c r="K72" s="88"/>
      <c r="L72" s="88"/>
      <c r="M72" s="88"/>
      <c r="N72" s="88"/>
      <c r="O72" s="88"/>
      <c r="P72" s="88"/>
      <c r="Q72" s="88"/>
      <c r="R72" s="88"/>
      <c r="S72" s="88"/>
      <c r="T72" s="88"/>
      <c r="U72" s="88"/>
      <c r="V72" s="88"/>
      <c r="W72" s="88"/>
      <c r="X72" s="88"/>
      <c r="Y72" s="88"/>
      <c r="Z72" s="88"/>
      <c r="AJ72" s="89"/>
    </row>
    <row r="73" spans="4:43" s="19" customFormat="1" ht="15" customHeight="1">
      <c r="D73" s="156"/>
      <c r="E73" s="53" t="s">
        <v>421</v>
      </c>
      <c r="F73" s="99"/>
      <c r="G73" s="99" t="s">
        <v>47</v>
      </c>
      <c r="H73" s="99"/>
      <c r="I73" s="229">
        <f>CHOOSE(m_identity,ENWL!I73, NPgN!I73, NPgY!I73, WMID!I73, EMID!I73, SWALES!I73, SWEST!I73, LPN!I73,SPN!I73,EPN!I73,SPD!I73,SPMW!I73,SSEH!I73,SSES!I73)</f>
        <v>0.25</v>
      </c>
      <c r="J73" s="88"/>
      <c r="K73" s="88"/>
      <c r="L73" s="88"/>
      <c r="M73" s="88"/>
      <c r="N73" s="88"/>
      <c r="O73" s="88"/>
      <c r="P73" s="88"/>
      <c r="Q73" s="88"/>
      <c r="R73" s="88"/>
      <c r="S73" s="88"/>
      <c r="T73" s="88"/>
      <c r="U73" s="88"/>
      <c r="V73" s="88"/>
      <c r="W73" s="88"/>
      <c r="X73" s="88"/>
      <c r="Y73" s="88"/>
      <c r="Z73" s="88"/>
      <c r="AJ73" s="89"/>
    </row>
    <row r="74" spans="4:43" s="19" customFormat="1" ht="15" customHeight="1">
      <c r="D74" s="156"/>
      <c r="E74" s="53"/>
      <c r="F74" s="99"/>
      <c r="G74" s="99"/>
      <c r="H74" s="99"/>
      <c r="I74" s="89"/>
      <c r="J74" s="88"/>
      <c r="K74" s="88"/>
      <c r="L74" s="88"/>
      <c r="M74" s="88"/>
      <c r="N74" s="88"/>
      <c r="O74" s="88"/>
      <c r="P74" s="88"/>
      <c r="Q74" s="88"/>
      <c r="R74" s="88"/>
      <c r="S74" s="88"/>
      <c r="T74" s="88"/>
      <c r="U74" s="88"/>
      <c r="V74" s="88"/>
      <c r="W74" s="88"/>
      <c r="X74" s="88"/>
      <c r="Y74" s="88"/>
      <c r="Z74" s="88"/>
      <c r="AJ74" s="89"/>
    </row>
    <row r="75" spans="4:43" s="19" customFormat="1" ht="15" customHeight="1">
      <c r="D75" s="156"/>
      <c r="E75" s="156" t="s">
        <v>673</v>
      </c>
      <c r="G75" s="190" t="s">
        <v>657</v>
      </c>
      <c r="I75" s="227">
        <f>CHOOSE(m_identity,ENWL!I75, NPgN!I75, NPgY!I75, WMID!I75, EMID!I75, SWALES!I75, SWEST!I75, LPN!I75,SPN!I75,EPN!I75,SPD!I75,SPMW!I75,SSEH!I75,SSES!I75)</f>
        <v>2304.2703882017963</v>
      </c>
      <c r="J75" s="88"/>
      <c r="K75" s="88"/>
      <c r="L75" s="88"/>
      <c r="M75" s="88"/>
      <c r="N75" s="88"/>
      <c r="O75" s="88"/>
      <c r="P75" s="88"/>
      <c r="Q75" s="88"/>
      <c r="R75" s="88"/>
      <c r="S75" s="88"/>
      <c r="T75" s="88"/>
      <c r="U75" s="88"/>
      <c r="V75" s="88"/>
      <c r="W75" s="88"/>
      <c r="X75" s="88"/>
      <c r="Y75" s="88"/>
      <c r="Z75" s="88"/>
      <c r="AJ75" s="89"/>
    </row>
    <row r="76" spans="4:43" s="19" customFormat="1" ht="15" customHeight="1">
      <c r="D76" s="156"/>
      <c r="E76" s="156" t="s">
        <v>674</v>
      </c>
      <c r="G76" s="190" t="s">
        <v>657</v>
      </c>
      <c r="I76" s="227">
        <f>CHOOSE(m_identity,ENWL!I76, NPgN!I76, NPgY!I76, WMID!I76, EMID!I76, SWALES!I76, SWEST!I76, LPN!I76,SPN!I76,EPN!I76,SPD!I76,SPMW!I76,SSEH!I76,SSES!I76)</f>
        <v>2425.0378713269629</v>
      </c>
      <c r="J76" s="88"/>
      <c r="K76" s="88"/>
      <c r="L76" s="88"/>
      <c r="M76" s="88"/>
      <c r="N76" s="88"/>
      <c r="O76" s="88"/>
      <c r="P76" s="88"/>
      <c r="Q76" s="88"/>
      <c r="R76" s="88"/>
      <c r="S76" s="88"/>
      <c r="T76" s="88"/>
      <c r="U76" s="88"/>
      <c r="V76" s="88"/>
      <c r="W76" s="88"/>
      <c r="X76" s="88"/>
      <c r="Y76" s="88"/>
      <c r="Z76" s="88"/>
      <c r="AJ76" s="89"/>
    </row>
    <row r="77" spans="4:43" s="19" customFormat="1" ht="15" customHeight="1">
      <c r="D77" s="156"/>
      <c r="E77" s="53"/>
      <c r="F77" s="99"/>
      <c r="G77" s="99"/>
      <c r="H77" s="99"/>
      <c r="I77" s="89"/>
      <c r="J77" s="88"/>
      <c r="K77" s="88"/>
      <c r="L77" s="88"/>
      <c r="M77" s="88"/>
      <c r="N77" s="88"/>
      <c r="O77" s="88"/>
      <c r="P77" s="88"/>
      <c r="Q77" s="88"/>
      <c r="R77" s="88"/>
      <c r="S77" s="88"/>
      <c r="T77" s="88"/>
      <c r="U77" s="88"/>
      <c r="V77" s="88"/>
      <c r="W77" s="88"/>
      <c r="X77" s="88"/>
      <c r="Y77" s="88"/>
      <c r="Z77" s="88"/>
      <c r="AJ77" s="89"/>
    </row>
    <row r="78" spans="4:43" s="19" customFormat="1" ht="15" customHeight="1">
      <c r="E78" s="156" t="s">
        <v>675</v>
      </c>
      <c r="G78" s="190" t="s">
        <v>657</v>
      </c>
      <c r="I78" s="227">
        <f>CHOOSE(m_identity,ENWL!I78, NPgN!I78, NPgY!I78, WMID!I78, EMID!I78, SWALES!I78, SWEST!I78, LPN!I78,SPN!I78,EPN!I78,SPD!I78,SPMW!I78,SSEH!I78,SSES!I78)</f>
        <v>3395.8059074568127</v>
      </c>
      <c r="J78" s="88"/>
      <c r="K78" s="88"/>
      <c r="L78" s="88"/>
      <c r="M78" s="88"/>
      <c r="N78" s="88"/>
      <c r="O78" s="88"/>
      <c r="P78" s="88"/>
      <c r="Q78" s="88"/>
      <c r="R78" s="88"/>
      <c r="S78" s="88"/>
      <c r="T78" s="88"/>
      <c r="U78" s="88"/>
      <c r="V78" s="88"/>
      <c r="W78" s="88"/>
      <c r="X78" s="88"/>
      <c r="Y78" s="88"/>
      <c r="Z78" s="88"/>
      <c r="AJ78" s="89"/>
    </row>
    <row r="79" spans="4:43" s="19" customFormat="1" ht="15" customHeight="1">
      <c r="E79" s="156" t="s">
        <v>676</v>
      </c>
      <c r="G79" s="190" t="s">
        <v>657</v>
      </c>
      <c r="I79" s="227">
        <f>CHOOSE(m_identity,ENWL!I79, NPgN!I79, NPgY!I79, WMID!I79, EMID!I79, SWALES!I79, SWEST!I79, LPN!I79,SPN!I79,EPN!I79,SPD!I79,SPMW!I79,SSEH!I79,SSES!I79)</f>
        <v>3635.4537663671244</v>
      </c>
      <c r="J79" s="88"/>
      <c r="K79" s="88"/>
      <c r="L79" s="88"/>
      <c r="M79" s="88"/>
      <c r="N79" s="88"/>
      <c r="O79" s="88"/>
      <c r="P79" s="88"/>
      <c r="Q79" s="88"/>
      <c r="R79" s="88"/>
      <c r="S79" s="88"/>
      <c r="T79" s="88"/>
      <c r="U79" s="88"/>
      <c r="V79" s="88"/>
      <c r="W79" s="88"/>
      <c r="X79" s="88"/>
      <c r="Y79" s="88"/>
      <c r="Z79" s="88"/>
      <c r="AJ79" s="89"/>
    </row>
    <row r="80" spans="4:43" s="19" customFormat="1" ht="15" customHeight="1">
      <c r="E80" s="156"/>
      <c r="G80" s="190"/>
      <c r="I80" s="190"/>
      <c r="J80" s="88"/>
      <c r="K80" s="88"/>
      <c r="L80" s="88"/>
      <c r="M80" s="88"/>
      <c r="N80" s="88"/>
      <c r="O80" s="88"/>
      <c r="P80" s="88"/>
      <c r="Q80" s="88"/>
      <c r="R80" s="88"/>
      <c r="S80" s="88"/>
      <c r="T80" s="88"/>
      <c r="U80" s="88"/>
      <c r="V80" s="88"/>
      <c r="W80" s="88"/>
      <c r="X80" s="88"/>
      <c r="Y80" s="88"/>
      <c r="Z80" s="88"/>
      <c r="AJ80" s="89"/>
    </row>
    <row r="81" spans="1:43" s="44" customFormat="1" ht="15" customHeight="1">
      <c r="A81" s="156"/>
      <c r="B81" s="156"/>
      <c r="C81" s="158" t="s">
        <v>214</v>
      </c>
      <c r="D81" s="158"/>
      <c r="E81" s="158"/>
      <c r="F81" s="158"/>
      <c r="G81" s="158"/>
      <c r="H81" s="158"/>
      <c r="I81" s="158"/>
      <c r="J81" s="158"/>
      <c r="K81" s="158"/>
      <c r="L81" s="158"/>
      <c r="M81" s="158"/>
      <c r="N81" s="158"/>
      <c r="O81" s="158"/>
      <c r="P81" s="158"/>
      <c r="Q81" s="158"/>
      <c r="R81" s="158"/>
      <c r="S81" s="158"/>
      <c r="T81" s="158"/>
      <c r="U81" s="158"/>
      <c r="V81" s="158"/>
      <c r="W81" s="158"/>
      <c r="X81" s="158"/>
      <c r="Y81" s="158"/>
      <c r="Z81" s="158"/>
      <c r="AA81" s="158"/>
      <c r="AB81" s="158"/>
      <c r="AC81" s="158"/>
      <c r="AD81" s="158"/>
      <c r="AE81" s="158"/>
      <c r="AF81" s="158"/>
      <c r="AG81" s="158"/>
      <c r="AH81" s="158"/>
      <c r="AI81" s="158"/>
      <c r="AJ81" s="158"/>
      <c r="AK81" s="158"/>
      <c r="AL81" s="158"/>
      <c r="AM81" s="158"/>
      <c r="AN81" s="158"/>
      <c r="AO81" s="158"/>
      <c r="AP81" s="158"/>
      <c r="AQ81" s="158"/>
    </row>
    <row r="82" spans="1:43" s="44" customFormat="1" ht="15" customHeight="1">
      <c r="E82" s="3"/>
      <c r="F82" s="3"/>
      <c r="G82" s="3"/>
      <c r="H82" s="3"/>
      <c r="I82" s="3"/>
      <c r="J82" s="92"/>
      <c r="K82" s="92"/>
      <c r="L82" s="92"/>
      <c r="M82" s="175"/>
      <c r="N82" s="175"/>
      <c r="O82" s="92"/>
      <c r="P82" s="92"/>
      <c r="Q82" s="92"/>
      <c r="R82" s="92"/>
      <c r="S82" s="92"/>
      <c r="T82" s="92"/>
      <c r="U82" s="92"/>
      <c r="V82" s="92"/>
      <c r="W82" s="92"/>
      <c r="X82" s="92"/>
      <c r="Y82" s="92"/>
      <c r="Z82" s="92"/>
      <c r="AA82" s="97"/>
      <c r="AB82" s="97"/>
      <c r="AC82" s="97"/>
      <c r="AD82" s="94"/>
      <c r="AE82" s="94"/>
      <c r="AF82" s="94"/>
      <c r="AG82" s="94"/>
      <c r="AH82" s="94"/>
      <c r="AI82" s="94"/>
      <c r="AJ82" s="94"/>
      <c r="AK82" s="94"/>
      <c r="AL82" s="94"/>
      <c r="AM82" s="94"/>
      <c r="AN82" s="94"/>
      <c r="AO82" s="94"/>
      <c r="AP82" s="94"/>
      <c r="AQ82" s="94"/>
    </row>
    <row r="83" spans="1:43" s="44" customFormat="1" ht="15" customHeight="1">
      <c r="E83" s="155" t="s">
        <v>418</v>
      </c>
      <c r="F83" s="3"/>
      <c r="G83" s="3" t="s">
        <v>47</v>
      </c>
      <c r="H83" s="3"/>
      <c r="I83" s="229">
        <f>CHOOSE(m_identity,ENWL!I83, NPgN!I83, NPgY!I83, WMID!I83, EMID!I83, SWALES!I83, SWEST!I83, LPN!I83,SPN!I83,EPN!I83,SPD!I83,SPMW!I83,SSEH!I83,SSES!I83)</f>
        <v>0.05</v>
      </c>
      <c r="J83" s="33"/>
      <c r="K83" s="33"/>
      <c r="L83" s="33"/>
      <c r="M83" s="33"/>
      <c r="N83" s="33"/>
      <c r="O83" s="33"/>
      <c r="P83" s="33"/>
      <c r="Q83" s="33"/>
      <c r="R83" s="33"/>
      <c r="S83" s="33"/>
      <c r="T83" s="33"/>
      <c r="U83" s="33"/>
      <c r="V83" s="33"/>
      <c r="W83" s="33"/>
      <c r="X83" s="33"/>
      <c r="Y83" s="33"/>
      <c r="Z83" s="33"/>
      <c r="AA83" s="3"/>
      <c r="AB83" s="3"/>
      <c r="AD83" s="3"/>
      <c r="AE83" s="3"/>
      <c r="AG83" s="91"/>
      <c r="AI83" s="3"/>
      <c r="AK83" s="3"/>
      <c r="AL83" s="3"/>
      <c r="AM83" s="3"/>
      <c r="AN83" s="3"/>
      <c r="AO83" s="3"/>
      <c r="AP83" s="3"/>
      <c r="AQ83" s="3"/>
    </row>
    <row r="84" spans="1:43" s="44" customFormat="1" ht="15" customHeight="1">
      <c r="E84" s="3" t="s">
        <v>31</v>
      </c>
      <c r="F84" s="3"/>
      <c r="G84" s="3" t="s">
        <v>47</v>
      </c>
      <c r="H84" s="3"/>
      <c r="I84" s="229">
        <f>CHOOSE(m_identity,ENWL!I84, NPgN!I84, NPgY!I84, WMID!I84, EMID!I84, SWALES!I84, SWEST!I84, LPN!I84,SPN!I84,EPN!I84,SPD!I84,SPMW!I84,SSEH!I84,SSES!I84)</f>
        <v>0.05</v>
      </c>
      <c r="J84" s="33"/>
      <c r="K84" s="33"/>
      <c r="L84" s="33"/>
      <c r="M84" s="33"/>
      <c r="N84" s="33"/>
      <c r="O84" s="33"/>
      <c r="P84" s="33"/>
      <c r="Q84" s="33"/>
      <c r="R84" s="33"/>
      <c r="S84" s="33"/>
      <c r="T84" s="33"/>
      <c r="U84" s="33"/>
      <c r="V84" s="33"/>
      <c r="W84" s="33"/>
      <c r="X84" s="33"/>
      <c r="Y84" s="33"/>
      <c r="Z84" s="33"/>
      <c r="AL84" s="3"/>
      <c r="AM84" s="3"/>
      <c r="AN84" s="91"/>
      <c r="AO84" s="3"/>
      <c r="AP84" s="3"/>
      <c r="AQ84" s="3"/>
    </row>
    <row r="85" spans="1:43" s="44" customFormat="1" ht="15" customHeight="1">
      <c r="E85" s="190" t="s">
        <v>48</v>
      </c>
      <c r="F85" s="16"/>
      <c r="G85" s="16" t="s">
        <v>47</v>
      </c>
      <c r="H85" s="16"/>
      <c r="I85" s="229">
        <f>CHOOSE(m_identity,ENWL!I85, NPgN!I85, NPgY!I85, WMID!I85, EMID!I85, SWALES!I85, SWEST!I85, LPN!I85,SPN!I85,EPN!I85,SPD!I85,SPMW!I85,SSEH!I85,SSES!I85)</f>
        <v>0.05</v>
      </c>
      <c r="J85" s="104"/>
      <c r="K85" s="104"/>
      <c r="L85" s="104"/>
      <c r="M85" s="175"/>
      <c r="N85" s="175"/>
      <c r="O85" s="104"/>
      <c r="P85" s="104"/>
      <c r="Q85" s="104"/>
      <c r="R85" s="104"/>
      <c r="S85" s="104"/>
      <c r="T85" s="104"/>
      <c r="U85" s="104"/>
      <c r="V85" s="104"/>
      <c r="W85" s="104"/>
      <c r="X85" s="104"/>
      <c r="Y85" s="104"/>
      <c r="Z85" s="104"/>
      <c r="AJ85" s="208"/>
    </row>
    <row r="86" spans="1:43" s="44" customFormat="1" ht="15" customHeight="1">
      <c r="E86" s="3"/>
      <c r="F86" s="3"/>
      <c r="G86" s="3"/>
      <c r="H86" s="3"/>
      <c r="I86" s="3"/>
      <c r="J86" s="33"/>
      <c r="K86" s="33"/>
      <c r="L86" s="33"/>
      <c r="M86" s="33"/>
      <c r="N86" s="33"/>
      <c r="O86" s="33"/>
      <c r="P86" s="33"/>
      <c r="Q86" s="33"/>
      <c r="R86" s="33"/>
      <c r="S86" s="33"/>
      <c r="T86" s="33"/>
      <c r="U86" s="33"/>
      <c r="V86" s="33"/>
      <c r="W86" s="33"/>
      <c r="X86" s="33"/>
      <c r="Y86" s="33"/>
      <c r="Z86" s="33"/>
      <c r="AL86" s="102"/>
      <c r="AM86" s="85"/>
      <c r="AN86" s="103"/>
      <c r="AO86" s="103"/>
      <c r="AP86" s="103"/>
      <c r="AQ86" s="103"/>
    </row>
    <row r="87" spans="1:43" s="3" customFormat="1" ht="15" customHeight="1">
      <c r="E87" s="3" t="s">
        <v>166</v>
      </c>
      <c r="G87" s="190" t="s">
        <v>47</v>
      </c>
      <c r="I87" s="37"/>
      <c r="J87" s="33"/>
      <c r="K87" s="33"/>
      <c r="L87" s="33"/>
      <c r="M87" s="33"/>
      <c r="N87" s="33"/>
      <c r="O87" s="33"/>
      <c r="P87" s="33"/>
      <c r="Q87" s="33"/>
      <c r="R87" s="33"/>
      <c r="S87" s="33"/>
      <c r="T87" s="33"/>
      <c r="U87" s="33"/>
      <c r="V87" s="33"/>
      <c r="W87" s="33"/>
      <c r="X87" s="33"/>
      <c r="Y87" s="33"/>
      <c r="Z87" s="33"/>
      <c r="AJ87" s="229">
        <f>CHOOSE(m_identity,ENWL!AJ87, NPgN!AJ87, NPgY!AJ87, WMID!AJ87, EMID!AJ87, SWALES!AJ87, SWEST!AJ87, LPN!AJ87,SPN!AJ87,EPN!AJ87,SPD!AJ87,SPMW!AJ87,SSEH!AJ87,SSES!AJ87)</f>
        <v>0.65</v>
      </c>
      <c r="AK87" s="229">
        <f>CHOOSE(m_identity,ENWL!AK87, NPgN!AK87, NPgY!AK87, WMID!AK87, EMID!AK87, SWALES!AK87, SWEST!AK87, LPN!AK87,SPN!AK87,EPN!AK87,SPD!AK87,SPMW!AK87,SSEH!AK87,SSES!AK87)</f>
        <v>0.65</v>
      </c>
      <c r="AL87" s="229">
        <f>CHOOSE(m_identity,ENWL!AL87, NPgN!AL87, NPgY!AL87, WMID!AL87, EMID!AL87, SWALES!AL87, SWEST!AL87, LPN!AL87,SPN!AL87,EPN!AL87,SPD!AL87,SPMW!AL87,SSEH!AL87,SSES!AL87)</f>
        <v>0.65</v>
      </c>
      <c r="AM87" s="229">
        <f>CHOOSE(m_identity,ENWL!AM87, NPgN!AM87, NPgY!AM87, WMID!AM87, EMID!AM87, SWALES!AM87, SWEST!AM87, LPN!AM87,SPN!AM87,EPN!AM87,SPD!AM87,SPMW!AM87,SSEH!AM87,SSES!AM87)</f>
        <v>0.65</v>
      </c>
      <c r="AN87" s="229">
        <f>CHOOSE(m_identity,ENWL!AN87, NPgN!AN87, NPgY!AN87, WMID!AN87, EMID!AN87, SWALES!AN87, SWEST!AN87, LPN!AN87,SPN!AN87,EPN!AN87,SPD!AN87,SPMW!AN87,SSEH!AN87,SSES!AN87)</f>
        <v>0.65</v>
      </c>
      <c r="AO87" s="229">
        <f>CHOOSE(m_identity,ENWL!AO87, NPgN!AO87, NPgY!AO87, WMID!AO87, EMID!AO87, SWALES!AO87, SWEST!AO87, LPN!AO87,SPN!AO87,EPN!AO87,SPD!AO87,SPMW!AO87,SSEH!AO87,SSES!AO87)</f>
        <v>0.65</v>
      </c>
      <c r="AP87" s="229">
        <f>CHOOSE(m_identity,ENWL!AP87, NPgN!AP87, NPgY!AP87, WMID!AP87, EMID!AP87, SWALES!AP87, SWEST!AP87, LPN!AP87,SPN!AP87,EPN!AP87,SPD!AP87,SPMW!AP87,SSEH!AP87,SSES!AP87)</f>
        <v>0.65</v>
      </c>
      <c r="AQ87" s="229">
        <f>CHOOSE(m_identity,ENWL!AQ87, NPgN!AQ87, NPgY!AQ87, WMID!AQ87, EMID!AQ87, SWALES!AQ87, SWEST!AQ87, LPN!AQ87,SPN!AQ87,EPN!AQ87,SPD!AQ87,SPMW!AQ87,SSEH!AQ87,SSES!AQ87)</f>
        <v>0.65</v>
      </c>
    </row>
    <row r="88" spans="1:43" s="44" customFormat="1" ht="15" customHeight="1">
      <c r="E88" s="3"/>
      <c r="F88" s="3"/>
      <c r="G88" s="3"/>
      <c r="H88" s="3"/>
      <c r="I88" s="3"/>
      <c r="J88" s="33"/>
      <c r="K88" s="33"/>
      <c r="L88" s="33"/>
      <c r="M88" s="33"/>
      <c r="N88" s="33"/>
      <c r="O88" s="33"/>
      <c r="P88" s="33"/>
      <c r="Q88" s="33"/>
      <c r="R88" s="33"/>
      <c r="S88" s="33"/>
      <c r="T88" s="33"/>
      <c r="U88" s="33"/>
      <c r="V88" s="33"/>
      <c r="W88" s="33"/>
      <c r="X88" s="33"/>
      <c r="Y88" s="33"/>
      <c r="Z88" s="33"/>
      <c r="AL88" s="102"/>
      <c r="AM88" s="85"/>
      <c r="AN88" s="103"/>
      <c r="AO88" s="103"/>
      <c r="AP88" s="103"/>
      <c r="AQ88" s="103"/>
    </row>
    <row r="89" spans="1:43" s="153" customFormat="1" ht="15" customHeight="1">
      <c r="E89" s="3" t="s">
        <v>251</v>
      </c>
      <c r="F89" s="3"/>
      <c r="G89" s="16" t="s">
        <v>47</v>
      </c>
      <c r="H89" s="3"/>
      <c r="I89" s="3"/>
      <c r="J89" s="33"/>
      <c r="K89" s="33"/>
      <c r="L89" s="33"/>
      <c r="M89" s="33"/>
      <c r="N89" s="33"/>
      <c r="O89" s="33"/>
      <c r="P89" s="33"/>
      <c r="Q89" s="33"/>
      <c r="R89" s="33"/>
      <c r="S89" s="33"/>
      <c r="T89" s="33"/>
      <c r="U89" s="33"/>
      <c r="V89" s="33"/>
      <c r="W89" s="33"/>
      <c r="X89" s="33"/>
      <c r="Y89" s="33"/>
      <c r="Z89" s="33"/>
      <c r="AJ89" s="229">
        <f>CHOOSE(m_identity,ENWL!AJ89, NPgN!AJ89, NPgY!AJ89, WMID!AJ89, EMID!AJ89, SWALES!AJ89, SWEST!AJ89, LPN!AJ89,SPN!AJ89,EPN!AJ89,SPD!AJ89,SPMW!AJ89,SSEH!AJ89,SSES!AJ89)</f>
        <v>0.25</v>
      </c>
      <c r="AK89" s="229">
        <f>CHOOSE(m_identity,ENWL!AK89, NPgN!AK89, NPgY!AK89, WMID!AK89, EMID!AK89, SWALES!AK89, SWEST!AK89, LPN!AK89,SPN!AK89,EPN!AK89,SPD!AK89,SPMW!AK89,SSEH!AK89,SSES!AK89)</f>
        <v>0.25</v>
      </c>
      <c r="AL89" s="229">
        <f>CHOOSE(m_identity,ENWL!AL89, NPgN!AL89, NPgY!AL89, WMID!AL89, EMID!AL89, SWALES!AL89, SWEST!AL89, LPN!AL89,SPN!AL89,EPN!AL89,SPD!AL89,SPMW!AL89,SSEH!AL89,SSES!AL89)</f>
        <v>0.25</v>
      </c>
      <c r="AM89" s="229">
        <f>CHOOSE(m_identity,ENWL!AM89, NPgN!AM89, NPgY!AM89, WMID!AM89, EMID!AM89, SWALES!AM89, SWEST!AM89, LPN!AM89,SPN!AM89,EPN!AM89,SPD!AM89,SPMW!AM89,SSEH!AM89,SSES!AM89)</f>
        <v>0.25</v>
      </c>
      <c r="AN89" s="229">
        <f>CHOOSE(m_identity,ENWL!AN89, NPgN!AN89, NPgY!AN89, WMID!AN89, EMID!AN89, SWALES!AN89, SWEST!AN89, LPN!AN89,SPN!AN89,EPN!AN89,SPD!AN89,SPMW!AN89,SSEH!AN89,SSES!AN89)</f>
        <v>0.25</v>
      </c>
      <c r="AO89" s="229">
        <f>CHOOSE(m_identity,ENWL!AO89, NPgN!AO89, NPgY!AO89, WMID!AO89, EMID!AO89, SWALES!AO89, SWEST!AO89, LPN!AO89,SPN!AO89,EPN!AO89,SPD!AO89,SPMW!AO89,SSEH!AO89,SSES!AO89)</f>
        <v>0.25</v>
      </c>
      <c r="AP89" s="229">
        <f>CHOOSE(m_identity,ENWL!AP89, NPgN!AP89, NPgY!AP89, WMID!AP89, EMID!AP89, SWALES!AP89, SWEST!AP89, LPN!AP89,SPN!AP89,EPN!AP89,SPD!AP89,SPMW!AP89,SSEH!AP89,SSES!AP89)</f>
        <v>0.25</v>
      </c>
      <c r="AQ89" s="229">
        <f>CHOOSE(m_identity,ENWL!AQ89, NPgN!AQ89, NPgY!AQ89, WMID!AQ89, EMID!AQ89, SWALES!AQ89, SWEST!AQ89, LPN!AQ89,SPN!AQ89,EPN!AQ89,SPD!AQ89,SPMW!AQ89,SSEH!AQ89,SSES!AQ89)</f>
        <v>0.25</v>
      </c>
    </row>
    <row r="90" spans="1:43" s="153" customFormat="1" ht="15" customHeight="1">
      <c r="E90" s="3"/>
      <c r="F90" s="3"/>
      <c r="G90" s="3"/>
      <c r="H90" s="3"/>
      <c r="I90" s="3"/>
      <c r="J90" s="33"/>
      <c r="K90" s="33"/>
      <c r="L90" s="33"/>
      <c r="M90" s="33"/>
      <c r="N90" s="33"/>
      <c r="O90" s="33"/>
      <c r="P90" s="33"/>
      <c r="Q90" s="33"/>
      <c r="R90" s="33"/>
      <c r="S90" s="33"/>
      <c r="T90" s="33"/>
      <c r="U90" s="33"/>
      <c r="V90" s="33"/>
      <c r="W90" s="33"/>
      <c r="X90" s="33"/>
      <c r="Y90" s="33"/>
      <c r="Z90" s="33"/>
      <c r="AL90" s="102"/>
      <c r="AM90" s="85"/>
      <c r="AN90" s="103"/>
      <c r="AO90" s="103"/>
      <c r="AP90" s="103"/>
      <c r="AQ90" s="103"/>
    </row>
    <row r="91" spans="1:43" s="12" customFormat="1" ht="15" customHeight="1">
      <c r="B91" s="159" t="s">
        <v>191</v>
      </c>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15"/>
      <c r="AK91" s="159"/>
      <c r="AL91" s="159"/>
      <c r="AM91" s="159"/>
      <c r="AN91" s="159"/>
      <c r="AO91" s="159"/>
      <c r="AP91" s="159"/>
      <c r="AQ91" s="159"/>
    </row>
    <row r="92" spans="1:43" s="12" customFormat="1" ht="15" customHeight="1">
      <c r="J92" s="14"/>
      <c r="K92" s="14"/>
      <c r="L92" s="14"/>
      <c r="M92" s="14"/>
      <c r="N92" s="14"/>
      <c r="O92" s="14"/>
      <c r="P92" s="14"/>
      <c r="Q92" s="14"/>
      <c r="R92" s="14"/>
      <c r="S92" s="14"/>
      <c r="T92" s="14"/>
      <c r="U92" s="14"/>
      <c r="V92" s="14"/>
      <c r="W92" s="14"/>
      <c r="X92" s="14"/>
      <c r="Y92" s="14"/>
      <c r="Z92" s="14"/>
    </row>
    <row r="93" spans="1:43" s="12" customFormat="1" ht="15" customHeight="1">
      <c r="C93" s="17" t="s">
        <v>67</v>
      </c>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row>
    <row r="94" spans="1:43" s="12" customFormat="1" ht="15" customHeight="1">
      <c r="J94" s="14"/>
      <c r="K94" s="14"/>
      <c r="L94" s="14"/>
      <c r="M94" s="14"/>
      <c r="N94" s="14"/>
      <c r="O94" s="14"/>
      <c r="P94" s="14"/>
      <c r="Q94" s="14"/>
      <c r="R94" s="14"/>
      <c r="S94" s="14"/>
      <c r="T94" s="14"/>
      <c r="U94" s="14"/>
      <c r="V94" s="14"/>
      <c r="W94" s="14"/>
      <c r="X94" s="14"/>
      <c r="Y94" s="14"/>
      <c r="Z94" s="14"/>
    </row>
    <row r="95" spans="1:43" s="146" customFormat="1" ht="15" customHeight="1">
      <c r="D95" s="160" t="s">
        <v>423</v>
      </c>
      <c r="E95" s="160"/>
      <c r="F95" s="160"/>
      <c r="G95" s="160"/>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row>
    <row r="96" spans="1:43" s="146" customFormat="1" ht="15" customHeight="1">
      <c r="E96" s="149"/>
      <c r="J96" s="14"/>
      <c r="K96" s="14"/>
      <c r="L96" s="14"/>
      <c r="M96" s="14"/>
      <c r="N96" s="14"/>
      <c r="O96" s="14"/>
      <c r="P96" s="14"/>
      <c r="Q96" s="14"/>
      <c r="R96" s="14"/>
      <c r="S96" s="14"/>
      <c r="T96" s="14"/>
      <c r="U96" s="14"/>
      <c r="V96" s="14"/>
      <c r="W96" s="14"/>
      <c r="X96" s="14"/>
      <c r="Y96" s="14"/>
      <c r="Z96" s="14"/>
    </row>
    <row r="97" spans="4:43" s="55" customFormat="1" ht="15" customHeight="1">
      <c r="E97" s="161" t="s">
        <v>394</v>
      </c>
      <c r="F97" s="19"/>
      <c r="G97" s="98" t="s">
        <v>657</v>
      </c>
      <c r="H97" s="19"/>
      <c r="I97" s="57"/>
      <c r="J97" s="19"/>
      <c r="K97" s="19"/>
      <c r="L97" s="19"/>
      <c r="M97" s="19"/>
      <c r="N97" s="19"/>
      <c r="O97" s="19"/>
      <c r="P97" s="19"/>
      <c r="Q97" s="19"/>
      <c r="R97" s="19"/>
      <c r="S97" s="19"/>
      <c r="T97" s="19"/>
      <c r="U97" s="19"/>
      <c r="V97" s="19"/>
      <c r="W97" s="19"/>
      <c r="X97" s="19"/>
      <c r="Y97" s="19"/>
      <c r="Z97" s="19"/>
      <c r="AA97" s="19"/>
      <c r="AB97" s="19"/>
      <c r="AC97" s="19"/>
      <c r="AD97" s="19"/>
      <c r="AE97" s="11"/>
      <c r="AH97" s="59"/>
      <c r="AI97" s="59"/>
      <c r="AJ97" s="227">
        <f>CHOOSE(m_identity,ENWL!AJ97, NPgN!AJ97, NPgY!AJ97, WMID!AJ97, EMID!AJ97, SWALES!AJ97, SWEST!AJ97, LPN!AJ97,SPN!AJ97,EPN!AJ97,SPD!AJ97,SPMW!AJ97,SSEH!AJ97,SSES!AJ97)</f>
        <v>0</v>
      </c>
      <c r="AK97" s="227">
        <f>CHOOSE(m_identity,ENWL!AK97, NPgN!AK97, NPgY!AK97, WMID!AK97, EMID!AK97, SWALES!AK97, SWEST!AK97, LPN!AK97,SPN!AK97,EPN!AK97,SPD!AK97,SPMW!AK97,SSEH!AK97,SSES!AK97)</f>
        <v>0</v>
      </c>
      <c r="AL97" s="227">
        <f>CHOOSE(m_identity,ENWL!AL97, NPgN!AL97, NPgY!AL97, WMID!AL97, EMID!AL97, SWALES!AL97, SWEST!AL97, LPN!AL97,SPN!AL97,EPN!AL97,SPD!AL97,SPMW!AL97,SSEH!AL97,SSES!AL97)</f>
        <v>0</v>
      </c>
      <c r="AM97" s="227">
        <f>CHOOSE(m_identity,ENWL!AM97, NPgN!AM97, NPgY!AM97, WMID!AM97, EMID!AM97, SWALES!AM97, SWEST!AM97, LPN!AM97,SPN!AM97,EPN!AM97,SPD!AM97,SPMW!AM97,SSEH!AM97,SSES!AM97)</f>
        <v>0</v>
      </c>
      <c r="AN97" s="227">
        <f>CHOOSE(m_identity,ENWL!AN97, NPgN!AN97, NPgY!AN97, WMID!AN97, EMID!AN97, SWALES!AN97, SWEST!AN97, LPN!AN97,SPN!AN97,EPN!AN97,SPD!AN97,SPMW!AN97,SSEH!AN97,SSES!AN97)</f>
        <v>0</v>
      </c>
      <c r="AO97" s="227">
        <f>CHOOSE(m_identity,ENWL!AO97, NPgN!AO97, NPgY!AO97, WMID!AO97, EMID!AO97, SWALES!AO97, SWEST!AO97, LPN!AO97,SPN!AO97,EPN!AO97,SPD!AO97,SPMW!AO97,SSEH!AO97,SSES!AO97)</f>
        <v>0</v>
      </c>
      <c r="AP97" s="227">
        <f>CHOOSE(m_identity,ENWL!AP97, NPgN!AP97, NPgY!AP97, WMID!AP97, EMID!AP97, SWALES!AP97, SWEST!AP97, LPN!AP97,SPN!AP97,EPN!AP97,SPD!AP97,SPMW!AP97,SSEH!AP97,SSES!AP97)</f>
        <v>0</v>
      </c>
      <c r="AQ97" s="227">
        <f>CHOOSE(m_identity,ENWL!AQ97, NPgN!AQ97, NPgY!AQ97, WMID!AQ97, EMID!AQ97, SWALES!AQ97, SWEST!AQ97, LPN!AQ97,SPN!AQ97,EPN!AQ97,SPD!AQ97,SPMW!AQ97,SSEH!AQ97,SSES!AQ97)</f>
        <v>0</v>
      </c>
    </row>
    <row r="98" spans="4:43" s="55" customFormat="1" ht="15" customHeight="1">
      <c r="E98" s="161" t="s">
        <v>543</v>
      </c>
      <c r="G98" s="98" t="s">
        <v>657</v>
      </c>
      <c r="I98" s="58"/>
      <c r="M98" s="98"/>
      <c r="N98" s="98"/>
      <c r="AE98" s="11"/>
      <c r="AJ98" s="227">
        <f>CHOOSE(m_identity,ENWL!AJ98, NPgN!AJ98, NPgY!AJ98, WMID!AJ98, EMID!AJ98, SWALES!AJ98, SWEST!AJ98, LPN!AJ98,SPN!AJ98,EPN!AJ98,SPD!AJ98,SPMW!AJ98,SSEH!AJ98,SSES!AJ98)</f>
        <v>98.544285533684103</v>
      </c>
      <c r="AK98" s="227">
        <f>CHOOSE(m_identity,ENWL!AK98, NPgN!AK98, NPgY!AK98, WMID!AK98, EMID!AK98, SWALES!AK98, SWEST!AK98, LPN!AK98,SPN!AK98,EPN!AK98,SPD!AK98,SPMW!AK98,SSEH!AK98,SSES!AK98)</f>
        <v>98.101321463569775</v>
      </c>
      <c r="AL98" s="227">
        <f>CHOOSE(m_identity,ENWL!AL98, NPgN!AL98, NPgY!AL98, WMID!AL98, EMID!AL98, SWALES!AL98, SWEST!AL98, LPN!AL98,SPN!AL98,EPN!AL98,SPD!AL98,SPMW!AL98,SSEH!AL98,SSES!AL98)</f>
        <v>94.127846133068672</v>
      </c>
      <c r="AM98" s="227">
        <f>CHOOSE(m_identity,ENWL!AM98, NPgN!AM98, NPgY!AM98, WMID!AM98, EMID!AM98, SWALES!AM98, SWEST!AM98, LPN!AM98,SPN!AM98,EPN!AM98,SPD!AM98,SPMW!AM98,SSEH!AM98,SSES!AM98)</f>
        <v>90.328260662393177</v>
      </c>
      <c r="AN98" s="227">
        <f>CHOOSE(m_identity,ENWL!AN98, NPgN!AN98, NPgY!AN98, WMID!AN98, EMID!AN98, SWALES!AN98, SWEST!AN98, LPN!AN98,SPN!AN98,EPN!AN98,SPD!AN98,SPMW!AN98,SSEH!AN98,SSES!AN98)</f>
        <v>85.802977841768524</v>
      </c>
      <c r="AO98" s="227">
        <f>CHOOSE(m_identity,ENWL!AO98, NPgN!AO98, NPgY!AO98, WMID!AO98, EMID!AO98, SWALES!AO98, SWEST!AO98, LPN!AO98,SPN!AO98,EPN!AO98,SPD!AO98,SPMW!AO98,SSEH!AO98,SSES!AO98)</f>
        <v>80.784021747478221</v>
      </c>
      <c r="AP98" s="227">
        <f>CHOOSE(m_identity,ENWL!AP98, NPgN!AP98, NPgY!AP98, WMID!AP98, EMID!AP98, SWALES!AP98, SWEST!AP98, LPN!AP98,SPN!AP98,EPN!AP98,SPD!AP98,SPMW!AP98,SSEH!AP98,SSES!AP98)</f>
        <v>79.465281145138448</v>
      </c>
      <c r="AQ98" s="227">
        <f>CHOOSE(m_identity,ENWL!AQ98, NPgN!AQ98, NPgY!AQ98, WMID!AQ98, EMID!AQ98, SWALES!AQ98, SWEST!AQ98, LPN!AQ98,SPN!AQ98,EPN!AQ98,SPD!AQ98,SPMW!AQ98,SSEH!AQ98,SSES!AQ98)</f>
        <v>81.212985445714878</v>
      </c>
    </row>
    <row r="99" spans="4:43" s="55" customFormat="1" ht="15" customHeight="1">
      <c r="E99" s="161" t="s">
        <v>788</v>
      </c>
      <c r="G99" s="98" t="s">
        <v>657</v>
      </c>
      <c r="I99" s="58"/>
      <c r="M99" s="98"/>
      <c r="N99" s="98"/>
      <c r="AG99" s="59"/>
      <c r="AH99" s="59"/>
      <c r="AI99" s="59"/>
      <c r="AJ99" s="227">
        <f>CHOOSE(m_identity,ENWL!AJ99, NPgN!AJ99, NPgY!AJ99, WMID!AJ99, EMID!AJ99, SWALES!AJ99, SWEST!AJ99, LPN!AJ99,SPN!AJ99,EPN!AJ99,SPD!AJ99,SPMW!AJ99,SSEH!AJ99,SSES!AJ99)+IF(m_tracked=1,AJ$367,0)</f>
        <v>18.283812963111675</v>
      </c>
      <c r="AK99" s="227">
        <f>CHOOSE(m_identity,ENWL!AK99, NPgN!AK99, NPgY!AK99, WMID!AK99, EMID!AK99, SWALES!AK99, SWEST!AK99, LPN!AK99,SPN!AK99,EPN!AK99,SPD!AK99,SPMW!AK99,SSEH!AK99,SSES!AK99)+IF(m_tracked=1,AK$367,0)</f>
        <v>18.882044749337773</v>
      </c>
      <c r="AL99" s="227">
        <f>CHOOSE(m_identity,ENWL!AL99, NPgN!AL99, NPgY!AL99, WMID!AL99, EMID!AL99, SWALES!AL99, SWEST!AL99, LPN!AL99,SPN!AL99,EPN!AL99,SPD!AL99,SPMW!AL99,SSEH!AL99,SSES!AL99)+IF(m_tracked=1,AL$367,0)</f>
        <v>15.912014727851897</v>
      </c>
      <c r="AM99" s="227">
        <f>CHOOSE(m_identity,ENWL!AM99, NPgN!AM99, NPgY!AM99, WMID!AM99, EMID!AM99, SWALES!AM99, SWEST!AM99, LPN!AM99,SPN!AM99,EPN!AM99,SPD!AM99,SPMW!AM99,SSEH!AM99,SSES!AM99)+IF(m_tracked=1,AM$367,0)</f>
        <v>16.848923953317147</v>
      </c>
      <c r="AN99" s="227">
        <f>CHOOSE(m_identity,ENWL!AN99, NPgN!AN99, NPgY!AN99, WMID!AN99, EMID!AN99, SWALES!AN99, SWEST!AN99, LPN!AN99,SPN!AN99,EPN!AN99,SPD!AN99,SPMW!AN99,SSEH!AN99,SSES!AN99)+IF(m_tracked=1,AN$367,0)</f>
        <v>12.386327025206619</v>
      </c>
      <c r="AO99" s="227">
        <f>CHOOSE(m_identity,ENWL!AO99, NPgN!AO99, NPgY!AO99, WMID!AO99, EMID!AO99, SWALES!AO99, SWEST!AO99, LPN!AO99,SPN!AO99,EPN!AO99,SPD!AO99,SPMW!AO99,SSEH!AO99,SSES!AO99)+IF(m_tracked=1,AO$367,0)</f>
        <v>11.81186201810984</v>
      </c>
      <c r="AP99" s="227">
        <f>CHOOSE(m_identity,ENWL!AP99, NPgN!AP99, NPgY!AP99, WMID!AP99, EMID!AP99, SWALES!AP99, SWEST!AP99, LPN!AP99,SPN!AP99,EPN!AP99,SPD!AP99,SPMW!AP99,SSEH!AP99,SSES!AP99)+IF(m_tracked=1,AP$367,0)</f>
        <v>11.486702004360975</v>
      </c>
      <c r="AQ99" s="227">
        <f>CHOOSE(m_identity,ENWL!AQ99, NPgN!AQ99, NPgY!AQ99, WMID!AQ99, EMID!AQ99, SWALES!AQ99, SWEST!AQ99, LPN!AQ99,SPN!AQ99,EPN!AQ99,SPD!AQ99,SPMW!AQ99,SSEH!AQ99,SSES!AQ99)+IF(m_tracked=1,AQ$367,0)</f>
        <v>10.926316773819124</v>
      </c>
    </row>
    <row r="100" spans="4:43" s="98" customFormat="1" ht="15" customHeight="1">
      <c r="E100" s="161" t="s">
        <v>571</v>
      </c>
      <c r="G100" s="98" t="s">
        <v>657</v>
      </c>
      <c r="I100" s="58"/>
      <c r="AG100" s="59"/>
      <c r="AH100" s="59"/>
      <c r="AI100" s="59"/>
      <c r="AJ100" s="227">
        <f>CHOOSE(m_identity,ENWL!AJ100, NPgN!AJ100, NPgY!AJ100, WMID!AJ100, EMID!AJ100, SWALES!AJ100, SWEST!AJ100, LPN!AJ100,SPN!AJ100,EPN!AJ100,SPD!AJ100,SPMW!AJ100,SSEH!AJ100,SSES!AJ100)</f>
        <v>33.075472950866427</v>
      </c>
      <c r="AK100" s="227">
        <f>CHOOSE(m_identity,ENWL!AK100, NPgN!AK100, NPgY!AK100, WMID!AK100, EMID!AK100, SWALES!AK100, SWEST!AK100, LPN!AK100,SPN!AK100,EPN!AK100,SPD!AK100,SPMW!AK100,SSEH!AK100,SSES!AK100)</f>
        <v>32.647566650312378</v>
      </c>
      <c r="AL100" s="227">
        <f>CHOOSE(m_identity,ENWL!AL100, NPgN!AL100, NPgY!AL100, WMID!AL100, EMID!AL100, SWALES!AL100, SWEST!AL100, LPN!AL100,SPN!AL100,EPN!AL100,SPD!AL100,SPMW!AL100,SSEH!AL100,SSES!AL100)</f>
        <v>32.409723916290844</v>
      </c>
      <c r="AM100" s="227">
        <f>CHOOSE(m_identity,ENWL!AM100, NPgN!AM100, NPgY!AM100, WMID!AM100, EMID!AM100, SWALES!AM100, SWEST!AM100, LPN!AM100,SPN!AM100,EPN!AM100,SPD!AM100,SPMW!AM100,SSEH!AM100,SSES!AM100)</f>
        <v>31.959557488822796</v>
      </c>
      <c r="AN100" s="227">
        <f>CHOOSE(m_identity,ENWL!AN100, NPgN!AN100, NPgY!AN100, WMID!AN100, EMID!AN100, SWALES!AN100, SWEST!AN100, LPN!AN100,SPN!AN100,EPN!AN100,SPD!AN100,SPMW!AN100,SSEH!AN100,SSES!AN100)</f>
        <v>31.728500492700274</v>
      </c>
      <c r="AO100" s="227">
        <f>CHOOSE(m_identity,ENWL!AO100, NPgN!AO100, NPgY!AO100, WMID!AO100, EMID!AO100, SWALES!AO100, SWEST!AO100, LPN!AO100,SPN!AO100,EPN!AO100,SPD!AO100,SPMW!AO100,SSEH!AO100,SSES!AO100)</f>
        <v>31.337508334745625</v>
      </c>
      <c r="AP100" s="227">
        <f>CHOOSE(m_identity,ENWL!AP100, NPgN!AP100, NPgY!AP100, WMID!AP100, EMID!AP100, SWALES!AP100, SWEST!AP100, LPN!AP100,SPN!AP100,EPN!AP100,SPD!AP100,SPMW!AP100,SSEH!AP100,SSES!AP100)</f>
        <v>32.269075565111294</v>
      </c>
      <c r="AQ100" s="227">
        <f>CHOOSE(m_identity,ENWL!AQ100, NPgN!AQ100, NPgY!AQ100, WMID!AQ100, EMID!AQ100, SWALES!AQ100, SWEST!AQ100, LPN!AQ100,SPN!AQ100,EPN!AQ100,SPD!AQ100,SPMW!AQ100,SSEH!AQ100,SSES!AQ100)</f>
        <v>30.716348122946656</v>
      </c>
    </row>
    <row r="101" spans="4:43" s="98" customFormat="1" ht="15" customHeight="1">
      <c r="E101" s="161" t="s">
        <v>720</v>
      </c>
      <c r="G101" s="98" t="s">
        <v>657</v>
      </c>
      <c r="I101" s="58"/>
      <c r="AG101" s="59"/>
      <c r="AH101" s="59"/>
      <c r="AI101" s="59"/>
      <c r="AJ101" s="227">
        <f>CHOOSE(m_identity,ENWL!AJ101, NPgN!AJ101, NPgY!AJ101, WMID!AJ101, EMID!AJ101, SWALES!AJ101, SWEST!AJ101, LPN!AJ101,SPN!AJ101,EPN!AJ101,SPD!AJ101,SPMW!AJ101,SSEH!AJ101,SSES!AJ101)</f>
        <v>14.464667097377436</v>
      </c>
      <c r="AK101" s="227">
        <f>CHOOSE(m_identity,ENWL!AK101, NPgN!AK101, NPgY!AK101, WMID!AK101, EMID!AK101, SWALES!AK101, SWEST!AK101, LPN!AK101,SPN!AK101,EPN!AK101,SPD!AK101,SPMW!AK101,SSEH!AK101,SSES!AK101)</f>
        <v>13.781760263106239</v>
      </c>
      <c r="AL101" s="227">
        <f>CHOOSE(m_identity,ENWL!AL101, NPgN!AL101, NPgY!AL101, WMID!AL101, EMID!AL101, SWALES!AL101, SWEST!AL101, LPN!AL101,SPN!AL101,EPN!AL101,SPD!AL101,SPMW!AL101,SSEH!AL101,SSES!AL101)</f>
        <v>13.291261586067108</v>
      </c>
      <c r="AM101" s="227">
        <f>CHOOSE(m_identity,ENWL!AM101, NPgN!AM101, NPgY!AM101, WMID!AM101, EMID!AM101, SWALES!AM101, SWEST!AM101, LPN!AM101,SPN!AM101,EPN!AM101,SPD!AM101,SPMW!AM101,SSEH!AM101,SSES!AM101)</f>
        <v>12.016137592784872</v>
      </c>
      <c r="AN101" s="227">
        <f>CHOOSE(m_identity,ENWL!AN101, NPgN!AN101, NPgY!AN101, WMID!AN101, EMID!AN101, SWALES!AN101, SWEST!AN101, LPN!AN101,SPN!AN101,EPN!AN101,SPD!AN101,SPMW!AN101,SSEH!AN101,SSES!AN101)</f>
        <v>11.838555095112556</v>
      </c>
      <c r="AO101" s="227">
        <f>CHOOSE(m_identity,ENWL!AO101, NPgN!AO101, NPgY!AO101, WMID!AO101, EMID!AO101, SWALES!AO101, SWEST!AO101, LPN!AO101,SPN!AO101,EPN!AO101,SPD!AO101,SPMW!AO101,SSEH!AO101,SSES!AO101)</f>
        <v>11.764027339866416</v>
      </c>
      <c r="AP101" s="227">
        <f>CHOOSE(m_identity,ENWL!AP101, NPgN!AP101, NPgY!AP101, WMID!AP101, EMID!AP101, SWALES!AP101, SWEST!AP101, LPN!AP101,SPN!AP101,EPN!AP101,SPD!AP101,SPMW!AP101,SSEH!AP101,SSES!AP101)</f>
        <v>11.583421337604523</v>
      </c>
      <c r="AQ101" s="227">
        <f>CHOOSE(m_identity,ENWL!AQ101, NPgN!AQ101, NPgY!AQ101, WMID!AQ101, EMID!AQ101, SWALES!AQ101, SWEST!AQ101, LPN!AQ101,SPN!AQ101,EPN!AQ101,SPD!AQ101,SPMW!AQ101,SSEH!AQ101,SSES!AQ101)</f>
        <v>11.406190361918512</v>
      </c>
    </row>
    <row r="102" spans="4:43" s="98" customFormat="1" ht="15" customHeight="1">
      <c r="E102" s="161" t="s">
        <v>702</v>
      </c>
      <c r="G102" s="98" t="s">
        <v>657</v>
      </c>
      <c r="I102" s="58"/>
      <c r="AG102" s="59"/>
      <c r="AH102" s="59"/>
      <c r="AI102" s="59"/>
      <c r="AJ102" s="227">
        <f>CHOOSE(m_identity,ENWL!AJ102, NPgN!AJ102, NPgY!AJ102, WMID!AJ102, EMID!AJ102, SWALES!AJ102, SWEST!AJ102, LPN!AJ102,SPN!AJ102,EPN!AJ102,SPD!AJ102,SPMW!AJ102,SSEH!AJ102,SSES!AJ102)</f>
        <v>10.656092713963259</v>
      </c>
      <c r="AK102" s="227">
        <f>CHOOSE(m_identity,ENWL!AK102, NPgN!AK102, NPgY!AK102, WMID!AK102, EMID!AK102, SWALES!AK102, SWEST!AK102, LPN!AK102,SPN!AK102,EPN!AK102,SPD!AK102,SPMW!AK102,SSEH!AK102,SSES!AK102)</f>
        <v>10.577261674693908</v>
      </c>
      <c r="AL102" s="227">
        <f>CHOOSE(m_identity,ENWL!AL102, NPgN!AL102, NPgY!AL102, WMID!AL102, EMID!AL102, SWALES!AL102, SWEST!AL102, LPN!AL102,SPN!AL102,EPN!AL102,SPD!AL102,SPMW!AL102,SSEH!AL102,SSES!AL102)</f>
        <v>10.363768179334746</v>
      </c>
      <c r="AM102" s="227">
        <f>CHOOSE(m_identity,ENWL!AM102, NPgN!AM102, NPgY!AM102, WMID!AM102, EMID!AM102, SWALES!AM102, SWEST!AM102, LPN!AM102,SPN!AM102,EPN!AM102,SPD!AM102,SPMW!AM102,SSEH!AM102,SSES!AM102)</f>
        <v>10.187083821464032</v>
      </c>
      <c r="AN102" s="227">
        <f>CHOOSE(m_identity,ENWL!AN102, NPgN!AN102, NPgY!AN102, WMID!AN102, EMID!AN102, SWALES!AN102, SWEST!AN102, LPN!AN102,SPN!AN102,EPN!AN102,SPD!AN102,SPMW!AN102,SSEH!AN102,SSES!AN102)</f>
        <v>9.8642972963823095</v>
      </c>
      <c r="AO102" s="227">
        <f>CHOOSE(m_identity,ENWL!AO102, NPgN!AO102, NPgY!AO102, WMID!AO102, EMID!AO102, SWALES!AO102, SWEST!AO102, LPN!AO102,SPN!AO102,EPN!AO102,SPD!AO102,SPMW!AO102,SSEH!AO102,SSES!AO102)</f>
        <v>9.5846003543413563</v>
      </c>
      <c r="AP102" s="227">
        <f>CHOOSE(m_identity,ENWL!AP102, NPgN!AP102, NPgY!AP102, WMID!AP102, EMID!AP102, SWALES!AP102, SWEST!AP102, LPN!AP102,SPN!AP102,EPN!AP102,SPD!AP102,SPMW!AP102,SSEH!AP102,SSES!AP102)</f>
        <v>9.545373434068317</v>
      </c>
      <c r="AQ102" s="227">
        <f>CHOOSE(m_identity,ENWL!AQ102, NPgN!AQ102, NPgY!AQ102, WMID!AQ102, EMID!AQ102, SWALES!AQ102, SWEST!AQ102, LPN!AQ102,SPN!AQ102,EPN!AQ102,SPD!AQ102,SPMW!AQ102,SSEH!AQ102,SSES!AQ102)</f>
        <v>9.4232282233687279</v>
      </c>
    </row>
    <row r="103" spans="4:43" s="55" customFormat="1" ht="15" customHeight="1">
      <c r="E103" s="161" t="s">
        <v>795</v>
      </c>
      <c r="G103" s="98" t="s">
        <v>657</v>
      </c>
      <c r="I103" s="58"/>
      <c r="M103" s="98"/>
      <c r="N103" s="98"/>
      <c r="AJ103" s="227">
        <f>CHOOSE(m_identity,ENWL!AJ103, NPgN!AJ103, NPgY!AJ103, WMID!AJ103, EMID!AJ103, SWALES!AJ103, SWEST!AJ103, LPN!AJ103,SPN!AJ103,EPN!AJ103,SPD!AJ103,SPMW!AJ103,SSEH!AJ103,SSES!AJ103)-IF(m_tracked=1,AJ$285,0)</f>
        <v>99.602264307741052</v>
      </c>
      <c r="AK103" s="227">
        <f>CHOOSE(m_identity,ENWL!AK103, NPgN!AK103, NPgY!AK103, WMID!AK103, EMID!AK103, SWALES!AK103, SWEST!AK103, LPN!AK103,SPN!AK103,EPN!AK103,SPD!AK103,SPMW!AK103,SSEH!AK103,SSES!AK103)-IF(m_tracked=1,AK$285,0)</f>
        <v>98.870466734464515</v>
      </c>
      <c r="AL103" s="227">
        <f>CHOOSE(m_identity,ENWL!AL103, NPgN!AL103, NPgY!AL103, WMID!AL103, EMID!AL103, SWALES!AL103, SWEST!AL103, LPN!AL103,SPN!AL103,EPN!AL103,SPD!AL103,SPMW!AL103,SSEH!AL103,SSES!AL103)-IF(m_tracked=1,AL$285,0)</f>
        <v>99.824358512903871</v>
      </c>
      <c r="AM103" s="227">
        <f>CHOOSE(m_identity,ENWL!AM103, NPgN!AM103, NPgY!AM103, WMID!AM103, EMID!AM103, SWALES!AM103, SWEST!AM103, LPN!AM103,SPN!AM103,EPN!AM103,SPD!AM103,SPMW!AM103,SSEH!AM103,SSES!AM103)-IF(m_tracked=1,AM$285,0)</f>
        <v>100.1266087505071</v>
      </c>
      <c r="AN103" s="227">
        <f>CHOOSE(m_identity,ENWL!AN103, NPgN!AN103, NPgY!AN103, WMID!AN103, EMID!AN103, SWALES!AN103, SWEST!AN103, LPN!AN103,SPN!AN103,EPN!AN103,SPD!AN103,SPMW!AN103,SSEH!AN103,SSES!AN103)-IF(m_tracked=1,AN$285,0)</f>
        <v>99.885502213893915</v>
      </c>
      <c r="AO103" s="227">
        <f>CHOOSE(m_identity,ENWL!AO103, NPgN!AO103, NPgY!AO103, WMID!AO103, EMID!AO103, SWALES!AO103, SWEST!AO103, LPN!AO103,SPN!AO103,EPN!AO103,SPD!AO103,SPMW!AO103,SSEH!AO103,SSES!AO103)-IF(m_tracked=1,AO$285,0)</f>
        <v>98.460511555059497</v>
      </c>
      <c r="AP103" s="227">
        <f>CHOOSE(m_identity,ENWL!AP103, NPgN!AP103, NPgY!AP103, WMID!AP103, EMID!AP103, SWALES!AP103, SWEST!AP103, LPN!AP103,SPN!AP103,EPN!AP103,SPD!AP103,SPMW!AP103,SSEH!AP103,SSES!AP103)-IF(m_tracked=1,AP$285,0)</f>
        <v>98.614025048714595</v>
      </c>
      <c r="AQ103" s="227">
        <f>CHOOSE(m_identity,ENWL!AQ103, NPgN!AQ103, NPgY!AQ103, WMID!AQ103, EMID!AQ103, SWALES!AQ103, SWEST!AQ103, LPN!AQ103,SPN!AQ103,EPN!AQ103,SPD!AQ103,SPMW!AQ103,SSEH!AQ103,SSES!AQ103)-IF(m_tracked=1,AQ$285,0)</f>
        <v>96.989532647618674</v>
      </c>
    </row>
    <row r="104" spans="4:43" ht="15" customHeight="1"/>
    <row r="105" spans="4:43" s="55" customFormat="1" ht="15" customHeight="1">
      <c r="D105" s="160" t="s">
        <v>393</v>
      </c>
      <c r="E105" s="160"/>
      <c r="F105" s="160"/>
      <c r="G105" s="160"/>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row>
    <row r="106" spans="4:43" s="55" customFormat="1" ht="15" customHeight="1">
      <c r="E106" s="161"/>
      <c r="I106" s="58"/>
      <c r="M106" s="98"/>
      <c r="N106" s="98"/>
      <c r="AJ106" s="149"/>
      <c r="AK106" s="149"/>
      <c r="AL106" s="149"/>
      <c r="AM106" s="149"/>
      <c r="AN106" s="149"/>
      <c r="AO106" s="149"/>
      <c r="AP106" s="149"/>
      <c r="AQ106" s="149"/>
    </row>
    <row r="107" spans="4:43" s="98" customFormat="1" ht="15" customHeight="1">
      <c r="E107" s="152" t="str">
        <f>E19</f>
        <v xml:space="preserve">Allowed Expenditure - Enhanced Physical Site Security                                                                                                   </v>
      </c>
      <c r="G107" s="98" t="s">
        <v>657</v>
      </c>
      <c r="I107" s="58"/>
      <c r="AJ107" s="213">
        <f>AJ19</f>
        <v>0</v>
      </c>
      <c r="AK107" s="213">
        <f t="shared" ref="AK107:AQ107" si="2">AK19</f>
        <v>0</v>
      </c>
      <c r="AL107" s="213">
        <f t="shared" si="2"/>
        <v>0</v>
      </c>
      <c r="AM107" s="213">
        <f t="shared" si="2"/>
        <v>0</v>
      </c>
      <c r="AN107" s="213">
        <f t="shared" si="2"/>
        <v>0</v>
      </c>
      <c r="AO107" s="213">
        <f t="shared" si="2"/>
        <v>0</v>
      </c>
      <c r="AP107" s="213">
        <f t="shared" si="2"/>
        <v>0</v>
      </c>
      <c r="AQ107" s="213">
        <f t="shared" si="2"/>
        <v>0</v>
      </c>
    </row>
    <row r="108" spans="4:43" s="98" customFormat="1" ht="15" customHeight="1">
      <c r="E108" s="249" t="s">
        <v>471</v>
      </c>
      <c r="G108" s="98" t="s">
        <v>47</v>
      </c>
      <c r="I108" s="156"/>
      <c r="AJ108" s="229">
        <f>CHOOSE(m_identity,ENWL!AJ108, NPgN!AJ108, NPgY!AJ108, WMID!AJ108, EMID!AJ108, SWALES!AJ108, SWEST!AJ108, LPN!AJ108,SPN!AJ108,EPN!AJ108,SPD!AJ108,SPMW!AJ108,SSEH!AJ108,SSES!AJ108)</f>
        <v>0</v>
      </c>
      <c r="AK108" s="229">
        <f>CHOOSE(m_identity,ENWL!AK108, NPgN!AK108, NPgY!AK108, WMID!AK108, EMID!AK108, SWALES!AK108, SWEST!AK108, LPN!AK108,SPN!AK108,EPN!AK108,SPD!AK108,SPMW!AK108,SSEH!AK108,SSES!AK108)</f>
        <v>0</v>
      </c>
      <c r="AL108" s="229">
        <f>CHOOSE(m_identity,ENWL!AL108, NPgN!AL108, NPgY!AL108, WMID!AL108, EMID!AL108, SWALES!AL108, SWEST!AL108, LPN!AL108,SPN!AL108,EPN!AL108,SPD!AL108,SPMW!AL108,SSEH!AL108,SSES!AL108)</f>
        <v>0</v>
      </c>
      <c r="AM108" s="229">
        <f>CHOOSE(m_identity,ENWL!AM108, NPgN!AM108, NPgY!AM108, WMID!AM108, EMID!AM108, SWALES!AM108, SWEST!AM108, LPN!AM108,SPN!AM108,EPN!AM108,SPD!AM108,SPMW!AM108,SSEH!AM108,SSES!AM108)</f>
        <v>0</v>
      </c>
      <c r="AN108" s="229">
        <f>CHOOSE(m_identity,ENWL!AN108, NPgN!AN108, NPgY!AN108, WMID!AN108, EMID!AN108, SWALES!AN108, SWEST!AN108, LPN!AN108,SPN!AN108,EPN!AN108,SPD!AN108,SPMW!AN108,SSEH!AN108,SSES!AN108)</f>
        <v>0</v>
      </c>
      <c r="AO108" s="229">
        <f>CHOOSE(m_identity,ENWL!AO108, NPgN!AO108, NPgY!AO108, WMID!AO108, EMID!AO108, SWALES!AO108, SWEST!AO108, LPN!AO108,SPN!AO108,EPN!AO108,SPD!AO108,SPMW!AO108,SSEH!AO108,SSES!AO108)</f>
        <v>0</v>
      </c>
      <c r="AP108" s="229">
        <f>CHOOSE(m_identity,ENWL!AP108, NPgN!AP108, NPgY!AP108, WMID!AP108, EMID!AP108, SWALES!AP108, SWEST!AP108, LPN!AP108,SPN!AP108,EPN!AP108,SPD!AP108,SPMW!AP108,SSEH!AP108,SSES!AP108)</f>
        <v>0</v>
      </c>
      <c r="AQ108" s="229">
        <f>CHOOSE(m_identity,ENWL!AQ108, NPgN!AQ108, NPgY!AQ108, WMID!AQ108, EMID!AQ108, SWALES!AQ108, SWEST!AQ108, LPN!AQ108,SPN!AQ108,EPN!AQ108,SPD!AQ108,SPMW!AQ108,SSEH!AQ108,SSES!AQ108)</f>
        <v>0</v>
      </c>
    </row>
    <row r="109" spans="4:43" s="98" customFormat="1" ht="15" customHeight="1">
      <c r="E109" s="249" t="s">
        <v>544</v>
      </c>
      <c r="G109" s="98" t="s">
        <v>47</v>
      </c>
      <c r="I109" s="156"/>
      <c r="AJ109" s="229">
        <f>CHOOSE(m_identity,ENWL!AJ109, NPgN!AJ109, NPgY!AJ109, WMID!AJ109, EMID!AJ109, SWALES!AJ109, SWEST!AJ109, LPN!AJ109,SPN!AJ109,EPN!AJ109,SPD!AJ109,SPMW!AJ109,SSEH!AJ109,SSES!AJ109)</f>
        <v>0.94518636896566333</v>
      </c>
      <c r="AK109" s="229">
        <f>CHOOSE(m_identity,ENWL!AK109, NPgN!AK109, NPgY!AK109, WMID!AK109, EMID!AK109, SWALES!AK109, SWEST!AK109, LPN!AK109,SPN!AK109,EPN!AK109,SPD!AK109,SPMW!AK109,SSEH!AK109,SSES!AK109)</f>
        <v>0.94508237895076208</v>
      </c>
      <c r="AL109" s="229">
        <f>CHOOSE(m_identity,ENWL!AL109, NPgN!AL109, NPgY!AL109, WMID!AL109, EMID!AL109, SWALES!AL109, SWEST!AL109, LPN!AL109,SPN!AL109,EPN!AL109,SPD!AL109,SPMW!AL109,SSEH!AL109,SSES!AL109)</f>
        <v>0.9451246632944198</v>
      </c>
      <c r="AM109" s="229">
        <f>CHOOSE(m_identity,ENWL!AM109, NPgN!AM109, NPgY!AM109, WMID!AM109, EMID!AM109, SWALES!AM109, SWEST!AM109, LPN!AM109,SPN!AM109,EPN!AM109,SPD!AM109,SPMW!AM109,SSEH!AM109,SSES!AM109)</f>
        <v>0.94530249896785068</v>
      </c>
      <c r="AN109" s="229">
        <f>CHOOSE(m_identity,ENWL!AN109, NPgN!AN109, NPgY!AN109, WMID!AN109, EMID!AN109, SWALES!AN109, SWEST!AN109, LPN!AN109,SPN!AN109,EPN!AN109,SPD!AN109,SPMW!AN109,SSEH!AN109,SSES!AN109)</f>
        <v>0.94520436528871432</v>
      </c>
      <c r="AO109" s="229">
        <f>CHOOSE(m_identity,ENWL!AO109, NPgN!AO109, NPgY!AO109, WMID!AO109, EMID!AO109, SWALES!AO109, SWEST!AO109, LPN!AO109,SPN!AO109,EPN!AO109,SPD!AO109,SPMW!AO109,SSEH!AO109,SSES!AO109)</f>
        <v>0.94524302799996551</v>
      </c>
      <c r="AP109" s="229">
        <f>CHOOSE(m_identity,ENWL!AP109, NPgN!AP109, NPgY!AP109, WMID!AP109, EMID!AP109, SWALES!AP109, SWEST!AP109, LPN!AP109,SPN!AP109,EPN!AP109,SPD!AP109,SPMW!AP109,SSEH!AP109,SSES!AP109)</f>
        <v>0.94544622484379348</v>
      </c>
      <c r="AQ109" s="229">
        <f>CHOOSE(m_identity,ENWL!AQ109, NPgN!AQ109, NPgY!AQ109, WMID!AQ109, EMID!AQ109, SWALES!AQ109, SWEST!AQ109, LPN!AQ109,SPN!AQ109,EPN!AQ109,SPD!AQ109,SPMW!AQ109,SSEH!AQ109,SSES!AQ109)</f>
        <v>0.94532505141256196</v>
      </c>
    </row>
    <row r="110" spans="4:43" s="98" customFormat="1" ht="15" customHeight="1">
      <c r="E110" s="249" t="s">
        <v>472</v>
      </c>
      <c r="G110" s="98" t="s">
        <v>47</v>
      </c>
      <c r="I110" s="156"/>
      <c r="AJ110" s="229">
        <f>CHOOSE(m_identity,ENWL!AJ110, NPgN!AJ110, NPgY!AJ110, WMID!AJ110, EMID!AJ110, SWALES!AJ110, SWEST!AJ110, LPN!AJ110,SPN!AJ110,EPN!AJ110,SPD!AJ110,SPMW!AJ110,SSEH!AJ110,SSES!AJ110)</f>
        <v>0</v>
      </c>
      <c r="AK110" s="229">
        <f>CHOOSE(m_identity,ENWL!AK110, NPgN!AK110, NPgY!AK110, WMID!AK110, EMID!AK110, SWALES!AK110, SWEST!AK110, LPN!AK110,SPN!AK110,EPN!AK110,SPD!AK110,SPMW!AK110,SSEH!AK110,SSES!AK110)</f>
        <v>0</v>
      </c>
      <c r="AL110" s="229">
        <f>CHOOSE(m_identity,ENWL!AL110, NPgN!AL110, NPgY!AL110, WMID!AL110, EMID!AL110, SWALES!AL110, SWEST!AL110, LPN!AL110,SPN!AL110,EPN!AL110,SPD!AL110,SPMW!AL110,SSEH!AL110,SSES!AL110)</f>
        <v>0</v>
      </c>
      <c r="AM110" s="229">
        <f>CHOOSE(m_identity,ENWL!AM110, NPgN!AM110, NPgY!AM110, WMID!AM110, EMID!AM110, SWALES!AM110, SWEST!AM110, LPN!AM110,SPN!AM110,EPN!AM110,SPD!AM110,SPMW!AM110,SSEH!AM110,SSES!AM110)</f>
        <v>0</v>
      </c>
      <c r="AN110" s="229">
        <f>CHOOSE(m_identity,ENWL!AN110, NPgN!AN110, NPgY!AN110, WMID!AN110, EMID!AN110, SWALES!AN110, SWEST!AN110, LPN!AN110,SPN!AN110,EPN!AN110,SPD!AN110,SPMW!AN110,SSEH!AN110,SSES!AN110)</f>
        <v>0</v>
      </c>
      <c r="AO110" s="229">
        <f>CHOOSE(m_identity,ENWL!AO110, NPgN!AO110, NPgY!AO110, WMID!AO110, EMID!AO110, SWALES!AO110, SWEST!AO110, LPN!AO110,SPN!AO110,EPN!AO110,SPD!AO110,SPMW!AO110,SSEH!AO110,SSES!AO110)</f>
        <v>0</v>
      </c>
      <c r="AP110" s="229">
        <f>CHOOSE(m_identity,ENWL!AP110, NPgN!AP110, NPgY!AP110, WMID!AP110, EMID!AP110, SWALES!AP110, SWEST!AP110, LPN!AP110,SPN!AP110,EPN!AP110,SPD!AP110,SPMW!AP110,SSEH!AP110,SSES!AP110)</f>
        <v>0</v>
      </c>
      <c r="AQ110" s="229">
        <f>CHOOSE(m_identity,ENWL!AQ110, NPgN!AQ110, NPgY!AQ110, WMID!AQ110, EMID!AQ110, SWALES!AQ110, SWEST!AQ110, LPN!AQ110,SPN!AQ110,EPN!AQ110,SPD!AQ110,SPMW!AQ110,SSEH!AQ110,SSES!AQ110)</f>
        <v>0</v>
      </c>
    </row>
    <row r="111" spans="4:43" s="98" customFormat="1" ht="15" customHeight="1">
      <c r="E111" s="249" t="s">
        <v>572</v>
      </c>
      <c r="G111" s="98" t="s">
        <v>47</v>
      </c>
      <c r="I111" s="156"/>
      <c r="AJ111" s="229">
        <f>CHOOSE(m_identity,ENWL!AJ111, NPgN!AJ111, NPgY!AJ111, WMID!AJ111, EMID!AJ111, SWALES!AJ111, SWEST!AJ111, LPN!AJ111,SPN!AJ111,EPN!AJ111,SPD!AJ111,SPMW!AJ111,SSEH!AJ111,SSES!AJ111)</f>
        <v>0</v>
      </c>
      <c r="AK111" s="229">
        <f>CHOOSE(m_identity,ENWL!AK111, NPgN!AK111, NPgY!AK111, WMID!AK111, EMID!AK111, SWALES!AK111, SWEST!AK111, LPN!AK111,SPN!AK111,EPN!AK111,SPD!AK111,SPMW!AK111,SSEH!AK111,SSES!AK111)</f>
        <v>0</v>
      </c>
      <c r="AL111" s="229">
        <f>CHOOSE(m_identity,ENWL!AL111, NPgN!AL111, NPgY!AL111, WMID!AL111, EMID!AL111, SWALES!AL111, SWEST!AL111, LPN!AL111,SPN!AL111,EPN!AL111,SPD!AL111,SPMW!AL111,SSEH!AL111,SSES!AL111)</f>
        <v>0</v>
      </c>
      <c r="AM111" s="229">
        <f>CHOOSE(m_identity,ENWL!AM111, NPgN!AM111, NPgY!AM111, WMID!AM111, EMID!AM111, SWALES!AM111, SWEST!AM111, LPN!AM111,SPN!AM111,EPN!AM111,SPD!AM111,SPMW!AM111,SSEH!AM111,SSES!AM111)</f>
        <v>0</v>
      </c>
      <c r="AN111" s="229">
        <f>CHOOSE(m_identity,ENWL!AN111, NPgN!AN111, NPgY!AN111, WMID!AN111, EMID!AN111, SWALES!AN111, SWEST!AN111, LPN!AN111,SPN!AN111,EPN!AN111,SPD!AN111,SPMW!AN111,SSEH!AN111,SSES!AN111)</f>
        <v>0</v>
      </c>
      <c r="AO111" s="229">
        <f>CHOOSE(m_identity,ENWL!AO111, NPgN!AO111, NPgY!AO111, WMID!AO111, EMID!AO111, SWALES!AO111, SWEST!AO111, LPN!AO111,SPN!AO111,EPN!AO111,SPD!AO111,SPMW!AO111,SSEH!AO111,SSES!AO111)</f>
        <v>0</v>
      </c>
      <c r="AP111" s="229">
        <f>CHOOSE(m_identity,ENWL!AP111, NPgN!AP111, NPgY!AP111, WMID!AP111, EMID!AP111, SWALES!AP111, SWEST!AP111, LPN!AP111,SPN!AP111,EPN!AP111,SPD!AP111,SPMW!AP111,SSEH!AP111,SSES!AP111)</f>
        <v>0</v>
      </c>
      <c r="AQ111" s="229">
        <f>CHOOSE(m_identity,ENWL!AQ111, NPgN!AQ111, NPgY!AQ111, WMID!AQ111, EMID!AQ111, SWALES!AQ111, SWEST!AQ111, LPN!AQ111,SPN!AQ111,EPN!AQ111,SPD!AQ111,SPMW!AQ111,SSEH!AQ111,SSES!AQ111)</f>
        <v>0</v>
      </c>
    </row>
    <row r="112" spans="4:43" s="98" customFormat="1" ht="15" customHeight="1">
      <c r="E112" s="249" t="s">
        <v>721</v>
      </c>
      <c r="G112" s="98" t="s">
        <v>47</v>
      </c>
      <c r="I112" s="156"/>
      <c r="AJ112" s="229">
        <f>CHOOSE(m_identity,ENWL!AJ112, NPgN!AJ112, NPgY!AJ112, WMID!AJ112, EMID!AJ112, SWALES!AJ112, SWEST!AJ112, LPN!AJ112,SPN!AJ112,EPN!AJ112,SPD!AJ112,SPMW!AJ112,SSEH!AJ112,SSES!AJ112)</f>
        <v>0</v>
      </c>
      <c r="AK112" s="229">
        <f>CHOOSE(m_identity,ENWL!AK112, NPgN!AK112, NPgY!AK112, WMID!AK112, EMID!AK112, SWALES!AK112, SWEST!AK112, LPN!AK112,SPN!AK112,EPN!AK112,SPD!AK112,SPMW!AK112,SSEH!AK112,SSES!AK112)</f>
        <v>0</v>
      </c>
      <c r="AL112" s="229">
        <f>CHOOSE(m_identity,ENWL!AL112, NPgN!AL112, NPgY!AL112, WMID!AL112, EMID!AL112, SWALES!AL112, SWEST!AL112, LPN!AL112,SPN!AL112,EPN!AL112,SPD!AL112,SPMW!AL112,SSEH!AL112,SSES!AL112)</f>
        <v>0</v>
      </c>
      <c r="AM112" s="229">
        <f>CHOOSE(m_identity,ENWL!AM112, NPgN!AM112, NPgY!AM112, WMID!AM112, EMID!AM112, SWALES!AM112, SWEST!AM112, LPN!AM112,SPN!AM112,EPN!AM112,SPD!AM112,SPMW!AM112,SSEH!AM112,SSES!AM112)</f>
        <v>0</v>
      </c>
      <c r="AN112" s="229">
        <f>CHOOSE(m_identity,ENWL!AN112, NPgN!AN112, NPgY!AN112, WMID!AN112, EMID!AN112, SWALES!AN112, SWEST!AN112, LPN!AN112,SPN!AN112,EPN!AN112,SPD!AN112,SPMW!AN112,SSEH!AN112,SSES!AN112)</f>
        <v>0</v>
      </c>
      <c r="AO112" s="229">
        <f>CHOOSE(m_identity,ENWL!AO112, NPgN!AO112, NPgY!AO112, WMID!AO112, EMID!AO112, SWALES!AO112, SWEST!AO112, LPN!AO112,SPN!AO112,EPN!AO112,SPD!AO112,SPMW!AO112,SSEH!AO112,SSES!AO112)</f>
        <v>0</v>
      </c>
      <c r="AP112" s="229">
        <f>CHOOSE(m_identity,ENWL!AP112, NPgN!AP112, NPgY!AP112, WMID!AP112, EMID!AP112, SWALES!AP112, SWEST!AP112, LPN!AP112,SPN!AP112,EPN!AP112,SPD!AP112,SPMW!AP112,SSEH!AP112,SSES!AP112)</f>
        <v>0</v>
      </c>
      <c r="AQ112" s="229">
        <f>CHOOSE(m_identity,ENWL!AQ112, NPgN!AQ112, NPgY!AQ112, WMID!AQ112, EMID!AQ112, SWALES!AQ112, SWEST!AQ112, LPN!AQ112,SPN!AQ112,EPN!AQ112,SPD!AQ112,SPMW!AQ112,SSEH!AQ112,SSES!AQ112)</f>
        <v>0</v>
      </c>
    </row>
    <row r="113" spans="5:43" s="98" customFormat="1" ht="15" customHeight="1">
      <c r="E113" s="249" t="s">
        <v>703</v>
      </c>
      <c r="G113" s="98" t="s">
        <v>47</v>
      </c>
      <c r="I113" s="156"/>
      <c r="AJ113" s="229">
        <f>CHOOSE(m_identity,ENWL!AJ113, NPgN!AJ113, NPgY!AJ113, WMID!AJ113, EMID!AJ113, SWALES!AJ113, SWEST!AJ113, LPN!AJ113,SPN!AJ113,EPN!AJ113,SPD!AJ113,SPMW!AJ113,SSEH!AJ113,SSES!AJ113)</f>
        <v>5.4813631034336674E-2</v>
      </c>
      <c r="AK113" s="229">
        <f>CHOOSE(m_identity,ENWL!AK113, NPgN!AK113, NPgY!AK113, WMID!AK113, EMID!AK113, SWALES!AK113, SWEST!AK113, LPN!AK113,SPN!AK113,EPN!AK113,SPD!AK113,SPMW!AK113,SSEH!AK113,SSES!AK113)</f>
        <v>5.4917621049237919E-2</v>
      </c>
      <c r="AL113" s="229">
        <f>CHOOSE(m_identity,ENWL!AL113, NPgN!AL113, NPgY!AL113, WMID!AL113, EMID!AL113, SWALES!AL113, SWEST!AL113, LPN!AL113,SPN!AL113,EPN!AL113,SPD!AL113,SPMW!AL113,SSEH!AL113,SSES!AL113)</f>
        <v>5.4875336705580202E-2</v>
      </c>
      <c r="AM113" s="229">
        <f>CHOOSE(m_identity,ENWL!AM113, NPgN!AM113, NPgY!AM113, WMID!AM113, EMID!AM113, SWALES!AM113, SWEST!AM113, LPN!AM113,SPN!AM113,EPN!AM113,SPD!AM113,SPMW!AM113,SSEH!AM113,SSES!AM113)</f>
        <v>5.469750103214932E-2</v>
      </c>
      <c r="AN113" s="229">
        <f>CHOOSE(m_identity,ENWL!AN113, NPgN!AN113, NPgY!AN113, WMID!AN113, EMID!AN113, SWALES!AN113, SWEST!AN113, LPN!AN113,SPN!AN113,EPN!AN113,SPD!AN113,SPMW!AN113,SSEH!AN113,SSES!AN113)</f>
        <v>5.4795634711285679E-2</v>
      </c>
      <c r="AO113" s="229">
        <f>CHOOSE(m_identity,ENWL!AO113, NPgN!AO113, NPgY!AO113, WMID!AO113, EMID!AO113, SWALES!AO113, SWEST!AO113, LPN!AO113,SPN!AO113,EPN!AO113,SPD!AO113,SPMW!AO113,SSEH!AO113,SSES!AO113)</f>
        <v>5.4756972000034487E-2</v>
      </c>
      <c r="AP113" s="229">
        <f>CHOOSE(m_identity,ENWL!AP113, NPgN!AP113, NPgY!AP113, WMID!AP113, EMID!AP113, SWALES!AP113, SWEST!AP113, LPN!AP113,SPN!AP113,EPN!AP113,SPD!AP113,SPMW!AP113,SSEH!AP113,SSES!AP113)</f>
        <v>5.4553775156206519E-2</v>
      </c>
      <c r="AQ113" s="229">
        <f>CHOOSE(m_identity,ENWL!AQ113, NPgN!AQ113, NPgY!AQ113, WMID!AQ113, EMID!AQ113, SWALES!AQ113, SWEST!AQ113, LPN!AQ113,SPN!AQ113,EPN!AQ113,SPD!AQ113,SPMW!AQ113,SSEH!AQ113,SSES!AQ113)</f>
        <v>5.4674948587438044E-2</v>
      </c>
    </row>
    <row r="114" spans="5:43" s="98" customFormat="1" ht="15" customHeight="1">
      <c r="E114" s="249" t="s">
        <v>473</v>
      </c>
      <c r="G114" s="98" t="s">
        <v>47</v>
      </c>
      <c r="I114" s="156"/>
      <c r="AJ114" s="229">
        <f>CHOOSE(m_identity,ENWL!AJ114, NPgN!AJ114, NPgY!AJ114, WMID!AJ114, EMID!AJ114, SWALES!AJ114, SWEST!AJ114, LPN!AJ114,SPN!AJ114,EPN!AJ114,SPD!AJ114,SPMW!AJ114,SSEH!AJ114,SSES!AJ114)</f>
        <v>0</v>
      </c>
      <c r="AK114" s="229">
        <f>CHOOSE(m_identity,ENWL!AK114, NPgN!AK114, NPgY!AK114, WMID!AK114, EMID!AK114, SWALES!AK114, SWEST!AK114, LPN!AK114,SPN!AK114,EPN!AK114,SPD!AK114,SPMW!AK114,SSEH!AK114,SSES!AK114)</f>
        <v>0</v>
      </c>
      <c r="AL114" s="229">
        <f>CHOOSE(m_identity,ENWL!AL114, NPgN!AL114, NPgY!AL114, WMID!AL114, EMID!AL114, SWALES!AL114, SWEST!AL114, LPN!AL114,SPN!AL114,EPN!AL114,SPD!AL114,SPMW!AL114,SSEH!AL114,SSES!AL114)</f>
        <v>0</v>
      </c>
      <c r="AM114" s="229">
        <f>CHOOSE(m_identity,ENWL!AM114, NPgN!AM114, NPgY!AM114, WMID!AM114, EMID!AM114, SWALES!AM114, SWEST!AM114, LPN!AM114,SPN!AM114,EPN!AM114,SPD!AM114,SPMW!AM114,SSEH!AM114,SSES!AM114)</f>
        <v>0</v>
      </c>
      <c r="AN114" s="229">
        <f>CHOOSE(m_identity,ENWL!AN114, NPgN!AN114, NPgY!AN114, WMID!AN114, EMID!AN114, SWALES!AN114, SWEST!AN114, LPN!AN114,SPN!AN114,EPN!AN114,SPD!AN114,SPMW!AN114,SSEH!AN114,SSES!AN114)</f>
        <v>0</v>
      </c>
      <c r="AO114" s="229">
        <f>CHOOSE(m_identity,ENWL!AO114, NPgN!AO114, NPgY!AO114, WMID!AO114, EMID!AO114, SWALES!AO114, SWEST!AO114, LPN!AO114,SPN!AO114,EPN!AO114,SPD!AO114,SPMW!AO114,SSEH!AO114,SSES!AO114)</f>
        <v>0</v>
      </c>
      <c r="AP114" s="229">
        <f>CHOOSE(m_identity,ENWL!AP114, NPgN!AP114, NPgY!AP114, WMID!AP114, EMID!AP114, SWALES!AP114, SWEST!AP114, LPN!AP114,SPN!AP114,EPN!AP114,SPD!AP114,SPMW!AP114,SSEH!AP114,SSES!AP114)</f>
        <v>0</v>
      </c>
      <c r="AQ114" s="229">
        <f>CHOOSE(m_identity,ENWL!AQ114, NPgN!AQ114, NPgY!AQ114, WMID!AQ114, EMID!AQ114, SWALES!AQ114, SWEST!AQ114, LPN!AQ114,SPN!AQ114,EPN!AQ114,SPD!AQ114,SPMW!AQ114,SSEH!AQ114,SSES!AQ114)</f>
        <v>0</v>
      </c>
    </row>
    <row r="115" spans="5:43" s="98" customFormat="1" ht="15" customHeight="1">
      <c r="E115" s="248"/>
      <c r="I115" s="58"/>
      <c r="AJ115" s="145"/>
      <c r="AK115" s="145"/>
      <c r="AL115" s="145"/>
      <c r="AM115" s="145"/>
      <c r="AN115" s="145"/>
      <c r="AO115" s="145"/>
      <c r="AP115" s="145"/>
      <c r="AQ115" s="145"/>
    </row>
    <row r="116" spans="5:43" s="98" customFormat="1" ht="15" customHeight="1">
      <c r="E116" s="152" t="str">
        <f>E20</f>
        <v>Allowed Expenditure - High Value Projects</v>
      </c>
      <c r="G116" s="98" t="s">
        <v>657</v>
      </c>
      <c r="I116" s="58"/>
      <c r="AJ116" s="213">
        <f t="shared" ref="AJ116:AQ116" si="3">AJ20</f>
        <v>4.4331989648722203</v>
      </c>
      <c r="AK116" s="213">
        <f t="shared" si="3"/>
        <v>4.4218476063663132</v>
      </c>
      <c r="AL116" s="213">
        <f t="shared" si="3"/>
        <v>8.8267849169105244</v>
      </c>
      <c r="AM116" s="213">
        <f t="shared" si="3"/>
        <v>8.7584621512741183</v>
      </c>
      <c r="AN116" s="213">
        <f t="shared" si="3"/>
        <v>0</v>
      </c>
      <c r="AO116" s="213">
        <f t="shared" si="3"/>
        <v>0</v>
      </c>
      <c r="AP116" s="213">
        <f t="shared" si="3"/>
        <v>0</v>
      </c>
      <c r="AQ116" s="213">
        <f t="shared" si="3"/>
        <v>0</v>
      </c>
    </row>
    <row r="117" spans="5:43" s="98" customFormat="1" ht="15" customHeight="1">
      <c r="E117" s="249" t="s">
        <v>471</v>
      </c>
      <c r="G117" s="98" t="s">
        <v>47</v>
      </c>
      <c r="I117" s="156"/>
      <c r="AJ117" s="229">
        <f>CHOOSE(m_identity,ENWL!AJ117, NPgN!AJ117, NPgY!AJ117, WMID!AJ117, EMID!AJ117, SWALES!AJ117, SWEST!AJ117, LPN!AJ117,SPN!AJ117,EPN!AJ117,SPD!AJ117,SPMW!AJ117,SSEH!AJ117,SSES!AJ117)</f>
        <v>1</v>
      </c>
      <c r="AK117" s="229">
        <f>CHOOSE(m_identity,ENWL!AK117, NPgN!AK117, NPgY!AK117, WMID!AK117, EMID!AK117, SWALES!AK117, SWEST!AK117, LPN!AK117,SPN!AK117,EPN!AK117,SPD!AK117,SPMW!AK117,SSEH!AK117,SSES!AK117)</f>
        <v>1</v>
      </c>
      <c r="AL117" s="229">
        <f>CHOOSE(m_identity,ENWL!AL117, NPgN!AL117, NPgY!AL117, WMID!AL117, EMID!AL117, SWALES!AL117, SWEST!AL117, LPN!AL117,SPN!AL117,EPN!AL117,SPD!AL117,SPMW!AL117,SSEH!AL117,SSES!AL117)</f>
        <v>1</v>
      </c>
      <c r="AM117" s="229">
        <f>CHOOSE(m_identity,ENWL!AM117, NPgN!AM117, NPgY!AM117, WMID!AM117, EMID!AM117, SWALES!AM117, SWEST!AM117, LPN!AM117,SPN!AM117,EPN!AM117,SPD!AM117,SPMW!AM117,SSEH!AM117,SSES!AM117)</f>
        <v>1</v>
      </c>
      <c r="AN117" s="229">
        <f>CHOOSE(m_identity,ENWL!AN117, NPgN!AN117, NPgY!AN117, WMID!AN117, EMID!AN117, SWALES!AN117, SWEST!AN117, LPN!AN117,SPN!AN117,EPN!AN117,SPD!AN117,SPMW!AN117,SSEH!AN117,SSES!AN117)</f>
        <v>0.99</v>
      </c>
      <c r="AO117" s="229">
        <f>CHOOSE(m_identity,ENWL!AO117, NPgN!AO117, NPgY!AO117, WMID!AO117, EMID!AO117, SWALES!AO117, SWEST!AO117, LPN!AO117,SPN!AO117,EPN!AO117,SPD!AO117,SPMW!AO117,SSEH!AO117,SSES!AO117)</f>
        <v>0.99</v>
      </c>
      <c r="AP117" s="229">
        <f>CHOOSE(m_identity,ENWL!AP117, NPgN!AP117, NPgY!AP117, WMID!AP117, EMID!AP117, SWALES!AP117, SWEST!AP117, LPN!AP117,SPN!AP117,EPN!AP117,SPD!AP117,SPMW!AP117,SSEH!AP117,SSES!AP117)</f>
        <v>0.99</v>
      </c>
      <c r="AQ117" s="229">
        <f>CHOOSE(m_identity,ENWL!AQ117, NPgN!AQ117, NPgY!AQ117, WMID!AQ117, EMID!AQ117, SWALES!AQ117, SWEST!AQ117, LPN!AQ117,SPN!AQ117,EPN!AQ117,SPD!AQ117,SPMW!AQ117,SSEH!AQ117,SSES!AQ117)</f>
        <v>0.99</v>
      </c>
    </row>
    <row r="118" spans="5:43" s="98" customFormat="1" ht="15" customHeight="1">
      <c r="E118" s="249" t="s">
        <v>544</v>
      </c>
      <c r="G118" s="98" t="s">
        <v>47</v>
      </c>
      <c r="I118" s="156"/>
      <c r="AJ118" s="229">
        <f>CHOOSE(m_identity,ENWL!AJ118, NPgN!AJ118, NPgY!AJ118, WMID!AJ118, EMID!AJ118, SWALES!AJ118, SWEST!AJ118, LPN!AJ118,SPN!AJ118,EPN!AJ118,SPD!AJ118,SPMW!AJ118,SSEH!AJ118,SSES!AJ118)</f>
        <v>0</v>
      </c>
      <c r="AK118" s="229">
        <f>CHOOSE(m_identity,ENWL!AK118, NPgN!AK118, NPgY!AK118, WMID!AK118, EMID!AK118, SWALES!AK118, SWEST!AK118, LPN!AK118,SPN!AK118,EPN!AK118,SPD!AK118,SPMW!AK118,SSEH!AK118,SSES!AK118)</f>
        <v>0</v>
      </c>
      <c r="AL118" s="229">
        <f>CHOOSE(m_identity,ENWL!AL118, NPgN!AL118, NPgY!AL118, WMID!AL118, EMID!AL118, SWALES!AL118, SWEST!AL118, LPN!AL118,SPN!AL118,EPN!AL118,SPD!AL118,SPMW!AL118,SSEH!AL118,SSES!AL118)</f>
        <v>0</v>
      </c>
      <c r="AM118" s="229">
        <f>CHOOSE(m_identity,ENWL!AM118, NPgN!AM118, NPgY!AM118, WMID!AM118, EMID!AM118, SWALES!AM118, SWEST!AM118, LPN!AM118,SPN!AM118,EPN!AM118,SPD!AM118,SPMW!AM118,SSEH!AM118,SSES!AM118)</f>
        <v>0</v>
      </c>
      <c r="AN118" s="229">
        <f>CHOOSE(m_identity,ENWL!AN118, NPgN!AN118, NPgY!AN118, WMID!AN118, EMID!AN118, SWALES!AN118, SWEST!AN118, LPN!AN118,SPN!AN118,EPN!AN118,SPD!AN118,SPMW!AN118,SSEH!AN118,SSES!AN118)</f>
        <v>0</v>
      </c>
      <c r="AO118" s="229">
        <f>CHOOSE(m_identity,ENWL!AO118, NPgN!AO118, NPgY!AO118, WMID!AO118, EMID!AO118, SWALES!AO118, SWEST!AO118, LPN!AO118,SPN!AO118,EPN!AO118,SPD!AO118,SPMW!AO118,SSEH!AO118,SSES!AO118)</f>
        <v>0</v>
      </c>
      <c r="AP118" s="229">
        <f>CHOOSE(m_identity,ENWL!AP118, NPgN!AP118, NPgY!AP118, WMID!AP118, EMID!AP118, SWALES!AP118, SWEST!AP118, LPN!AP118,SPN!AP118,EPN!AP118,SPD!AP118,SPMW!AP118,SSEH!AP118,SSES!AP118)</f>
        <v>0</v>
      </c>
      <c r="AQ118" s="229">
        <f>CHOOSE(m_identity,ENWL!AQ118, NPgN!AQ118, NPgY!AQ118, WMID!AQ118, EMID!AQ118, SWALES!AQ118, SWEST!AQ118, LPN!AQ118,SPN!AQ118,EPN!AQ118,SPD!AQ118,SPMW!AQ118,SSEH!AQ118,SSES!AQ118)</f>
        <v>0</v>
      </c>
    </row>
    <row r="119" spans="5:43" s="98" customFormat="1" ht="15" customHeight="1">
      <c r="E119" s="249" t="s">
        <v>472</v>
      </c>
      <c r="G119" s="98" t="s">
        <v>47</v>
      </c>
      <c r="I119" s="156"/>
      <c r="AJ119" s="229">
        <f>CHOOSE(m_identity,ENWL!AJ119, NPgN!AJ119, NPgY!AJ119, WMID!AJ119, EMID!AJ119, SWALES!AJ119, SWEST!AJ119, LPN!AJ119,SPN!AJ119,EPN!AJ119,SPD!AJ119,SPMW!AJ119,SSEH!AJ119,SSES!AJ119)</f>
        <v>0</v>
      </c>
      <c r="AK119" s="229">
        <f>CHOOSE(m_identity,ENWL!AK119, NPgN!AK119, NPgY!AK119, WMID!AK119, EMID!AK119, SWALES!AK119, SWEST!AK119, LPN!AK119,SPN!AK119,EPN!AK119,SPD!AK119,SPMW!AK119,SSEH!AK119,SSES!AK119)</f>
        <v>0</v>
      </c>
      <c r="AL119" s="229">
        <f>CHOOSE(m_identity,ENWL!AL119, NPgN!AL119, NPgY!AL119, WMID!AL119, EMID!AL119, SWALES!AL119, SWEST!AL119, LPN!AL119,SPN!AL119,EPN!AL119,SPD!AL119,SPMW!AL119,SSEH!AL119,SSES!AL119)</f>
        <v>0</v>
      </c>
      <c r="AM119" s="229">
        <f>CHOOSE(m_identity,ENWL!AM119, NPgN!AM119, NPgY!AM119, WMID!AM119, EMID!AM119, SWALES!AM119, SWEST!AM119, LPN!AM119,SPN!AM119,EPN!AM119,SPD!AM119,SPMW!AM119,SSEH!AM119,SSES!AM119)</f>
        <v>0</v>
      </c>
      <c r="AN119" s="229">
        <f>CHOOSE(m_identity,ENWL!AN119, NPgN!AN119, NPgY!AN119, WMID!AN119, EMID!AN119, SWALES!AN119, SWEST!AN119, LPN!AN119,SPN!AN119,EPN!AN119,SPD!AN119,SPMW!AN119,SSEH!AN119,SSES!AN119)</f>
        <v>0</v>
      </c>
      <c r="AO119" s="229">
        <f>CHOOSE(m_identity,ENWL!AO119, NPgN!AO119, NPgY!AO119, WMID!AO119, EMID!AO119, SWALES!AO119, SWEST!AO119, LPN!AO119,SPN!AO119,EPN!AO119,SPD!AO119,SPMW!AO119,SSEH!AO119,SSES!AO119)</f>
        <v>0</v>
      </c>
      <c r="AP119" s="229">
        <f>CHOOSE(m_identity,ENWL!AP119, NPgN!AP119, NPgY!AP119, WMID!AP119, EMID!AP119, SWALES!AP119, SWEST!AP119, LPN!AP119,SPN!AP119,EPN!AP119,SPD!AP119,SPMW!AP119,SSEH!AP119,SSES!AP119)</f>
        <v>0</v>
      </c>
      <c r="AQ119" s="229">
        <f>CHOOSE(m_identity,ENWL!AQ119, NPgN!AQ119, NPgY!AQ119, WMID!AQ119, EMID!AQ119, SWALES!AQ119, SWEST!AQ119, LPN!AQ119,SPN!AQ119,EPN!AQ119,SPD!AQ119,SPMW!AQ119,SSEH!AQ119,SSES!AQ119)</f>
        <v>0</v>
      </c>
    </row>
    <row r="120" spans="5:43" s="98" customFormat="1" ht="15" customHeight="1">
      <c r="E120" s="249" t="s">
        <v>572</v>
      </c>
      <c r="G120" s="98" t="s">
        <v>47</v>
      </c>
      <c r="I120" s="156"/>
      <c r="AJ120" s="229">
        <f>CHOOSE(m_identity,ENWL!AJ120, NPgN!AJ120, NPgY!AJ120, WMID!AJ120, EMID!AJ120, SWALES!AJ120, SWEST!AJ120, LPN!AJ120,SPN!AJ120,EPN!AJ120,SPD!AJ120,SPMW!AJ120,SSEH!AJ120,SSES!AJ120)</f>
        <v>0</v>
      </c>
      <c r="AK120" s="229">
        <f>CHOOSE(m_identity,ENWL!AK120, NPgN!AK120, NPgY!AK120, WMID!AK120, EMID!AK120, SWALES!AK120, SWEST!AK120, LPN!AK120,SPN!AK120,EPN!AK120,SPD!AK120,SPMW!AK120,SSEH!AK120,SSES!AK120)</f>
        <v>0</v>
      </c>
      <c r="AL120" s="229">
        <f>CHOOSE(m_identity,ENWL!AL120, NPgN!AL120, NPgY!AL120, WMID!AL120, EMID!AL120, SWALES!AL120, SWEST!AL120, LPN!AL120,SPN!AL120,EPN!AL120,SPD!AL120,SPMW!AL120,SSEH!AL120,SSES!AL120)</f>
        <v>0</v>
      </c>
      <c r="AM120" s="229">
        <f>CHOOSE(m_identity,ENWL!AM120, NPgN!AM120, NPgY!AM120, WMID!AM120, EMID!AM120, SWALES!AM120, SWEST!AM120, LPN!AM120,SPN!AM120,EPN!AM120,SPD!AM120,SPMW!AM120,SSEH!AM120,SSES!AM120)</f>
        <v>0</v>
      </c>
      <c r="AN120" s="229">
        <f>CHOOSE(m_identity,ENWL!AN120, NPgN!AN120, NPgY!AN120, WMID!AN120, EMID!AN120, SWALES!AN120, SWEST!AN120, LPN!AN120,SPN!AN120,EPN!AN120,SPD!AN120,SPMW!AN120,SSEH!AN120,SSES!AN120)</f>
        <v>0</v>
      </c>
      <c r="AO120" s="229">
        <f>CHOOSE(m_identity,ENWL!AO120, NPgN!AO120, NPgY!AO120, WMID!AO120, EMID!AO120, SWALES!AO120, SWEST!AO120, LPN!AO120,SPN!AO120,EPN!AO120,SPD!AO120,SPMW!AO120,SSEH!AO120,SSES!AO120)</f>
        <v>0</v>
      </c>
      <c r="AP120" s="229">
        <f>CHOOSE(m_identity,ENWL!AP120, NPgN!AP120, NPgY!AP120, WMID!AP120, EMID!AP120, SWALES!AP120, SWEST!AP120, LPN!AP120,SPN!AP120,EPN!AP120,SPD!AP120,SPMW!AP120,SSEH!AP120,SSES!AP120)</f>
        <v>0</v>
      </c>
      <c r="AQ120" s="229">
        <f>CHOOSE(m_identity,ENWL!AQ120, NPgN!AQ120, NPgY!AQ120, WMID!AQ120, EMID!AQ120, SWALES!AQ120, SWEST!AQ120, LPN!AQ120,SPN!AQ120,EPN!AQ120,SPD!AQ120,SPMW!AQ120,SSEH!AQ120,SSES!AQ120)</f>
        <v>0</v>
      </c>
    </row>
    <row r="121" spans="5:43" s="98" customFormat="1" ht="15" customHeight="1">
      <c r="E121" s="249" t="s">
        <v>721</v>
      </c>
      <c r="G121" s="98" t="s">
        <v>47</v>
      </c>
      <c r="I121" s="156"/>
      <c r="AJ121" s="229">
        <f>CHOOSE(m_identity,ENWL!AJ121, NPgN!AJ121, NPgY!AJ121, WMID!AJ121, EMID!AJ121, SWALES!AJ121, SWEST!AJ121, LPN!AJ121,SPN!AJ121,EPN!AJ121,SPD!AJ121,SPMW!AJ121,SSEH!AJ121,SSES!AJ121)</f>
        <v>0</v>
      </c>
      <c r="AK121" s="229">
        <f>CHOOSE(m_identity,ENWL!AK121, NPgN!AK121, NPgY!AK121, WMID!AK121, EMID!AK121, SWALES!AK121, SWEST!AK121, LPN!AK121,SPN!AK121,EPN!AK121,SPD!AK121,SPMW!AK121,SSEH!AK121,SSES!AK121)</f>
        <v>0</v>
      </c>
      <c r="AL121" s="229">
        <f>CHOOSE(m_identity,ENWL!AL121, NPgN!AL121, NPgY!AL121, WMID!AL121, EMID!AL121, SWALES!AL121, SWEST!AL121, LPN!AL121,SPN!AL121,EPN!AL121,SPD!AL121,SPMW!AL121,SSEH!AL121,SSES!AL121)</f>
        <v>0</v>
      </c>
      <c r="AM121" s="229">
        <f>CHOOSE(m_identity,ENWL!AM121, NPgN!AM121, NPgY!AM121, WMID!AM121, EMID!AM121, SWALES!AM121, SWEST!AM121, LPN!AM121,SPN!AM121,EPN!AM121,SPD!AM121,SPMW!AM121,SSEH!AM121,SSES!AM121)</f>
        <v>0</v>
      </c>
      <c r="AN121" s="229">
        <f>CHOOSE(m_identity,ENWL!AN121, NPgN!AN121, NPgY!AN121, WMID!AN121, EMID!AN121, SWALES!AN121, SWEST!AN121, LPN!AN121,SPN!AN121,EPN!AN121,SPD!AN121,SPMW!AN121,SSEH!AN121,SSES!AN121)</f>
        <v>0</v>
      </c>
      <c r="AO121" s="229">
        <f>CHOOSE(m_identity,ENWL!AO121, NPgN!AO121, NPgY!AO121, WMID!AO121, EMID!AO121, SWALES!AO121, SWEST!AO121, LPN!AO121,SPN!AO121,EPN!AO121,SPD!AO121,SPMW!AO121,SSEH!AO121,SSES!AO121)</f>
        <v>0</v>
      </c>
      <c r="AP121" s="229">
        <f>CHOOSE(m_identity,ENWL!AP121, NPgN!AP121, NPgY!AP121, WMID!AP121, EMID!AP121, SWALES!AP121, SWEST!AP121, LPN!AP121,SPN!AP121,EPN!AP121,SPD!AP121,SPMW!AP121,SSEH!AP121,SSES!AP121)</f>
        <v>0</v>
      </c>
      <c r="AQ121" s="229">
        <f>CHOOSE(m_identity,ENWL!AQ121, NPgN!AQ121, NPgY!AQ121, WMID!AQ121, EMID!AQ121, SWALES!AQ121, SWEST!AQ121, LPN!AQ121,SPN!AQ121,EPN!AQ121,SPD!AQ121,SPMW!AQ121,SSEH!AQ121,SSES!AQ121)</f>
        <v>0</v>
      </c>
    </row>
    <row r="122" spans="5:43" s="98" customFormat="1" ht="15" customHeight="1">
      <c r="E122" s="249" t="s">
        <v>703</v>
      </c>
      <c r="G122" s="98" t="s">
        <v>47</v>
      </c>
      <c r="I122" s="156"/>
      <c r="AJ122" s="229">
        <f>CHOOSE(m_identity,ENWL!AJ122, NPgN!AJ122, NPgY!AJ122, WMID!AJ122, EMID!AJ122, SWALES!AJ122, SWEST!AJ122, LPN!AJ122,SPN!AJ122,EPN!AJ122,SPD!AJ122,SPMW!AJ122,SSEH!AJ122,SSES!AJ122)</f>
        <v>0</v>
      </c>
      <c r="AK122" s="229">
        <f>CHOOSE(m_identity,ENWL!AK122, NPgN!AK122, NPgY!AK122, WMID!AK122, EMID!AK122, SWALES!AK122, SWEST!AK122, LPN!AK122,SPN!AK122,EPN!AK122,SPD!AK122,SPMW!AK122,SSEH!AK122,SSES!AK122)</f>
        <v>0</v>
      </c>
      <c r="AL122" s="229">
        <f>CHOOSE(m_identity,ENWL!AL122, NPgN!AL122, NPgY!AL122, WMID!AL122, EMID!AL122, SWALES!AL122, SWEST!AL122, LPN!AL122,SPN!AL122,EPN!AL122,SPD!AL122,SPMW!AL122,SSEH!AL122,SSES!AL122)</f>
        <v>0</v>
      </c>
      <c r="AM122" s="229">
        <f>CHOOSE(m_identity,ENWL!AM122, NPgN!AM122, NPgY!AM122, WMID!AM122, EMID!AM122, SWALES!AM122, SWEST!AM122, LPN!AM122,SPN!AM122,EPN!AM122,SPD!AM122,SPMW!AM122,SSEH!AM122,SSES!AM122)</f>
        <v>0</v>
      </c>
      <c r="AN122" s="229">
        <f>CHOOSE(m_identity,ENWL!AN122, NPgN!AN122, NPgY!AN122, WMID!AN122, EMID!AN122, SWALES!AN122, SWEST!AN122, LPN!AN122,SPN!AN122,EPN!AN122,SPD!AN122,SPMW!AN122,SSEH!AN122,SSES!AN122)</f>
        <v>0.01</v>
      </c>
      <c r="AO122" s="229">
        <f>CHOOSE(m_identity,ENWL!AO122, NPgN!AO122, NPgY!AO122, WMID!AO122, EMID!AO122, SWALES!AO122, SWEST!AO122, LPN!AO122,SPN!AO122,EPN!AO122,SPD!AO122,SPMW!AO122,SSEH!AO122,SSES!AO122)</f>
        <v>0.01</v>
      </c>
      <c r="AP122" s="229">
        <f>CHOOSE(m_identity,ENWL!AP122, NPgN!AP122, NPgY!AP122, WMID!AP122, EMID!AP122, SWALES!AP122, SWEST!AP122, LPN!AP122,SPN!AP122,EPN!AP122,SPD!AP122,SPMW!AP122,SSEH!AP122,SSES!AP122)</f>
        <v>0.01</v>
      </c>
      <c r="AQ122" s="229">
        <f>CHOOSE(m_identity,ENWL!AQ122, NPgN!AQ122, NPgY!AQ122, WMID!AQ122, EMID!AQ122, SWALES!AQ122, SWEST!AQ122, LPN!AQ122,SPN!AQ122,EPN!AQ122,SPD!AQ122,SPMW!AQ122,SSEH!AQ122,SSES!AQ122)</f>
        <v>0.01</v>
      </c>
    </row>
    <row r="123" spans="5:43" s="98" customFormat="1" ht="15" customHeight="1">
      <c r="E123" s="249" t="s">
        <v>473</v>
      </c>
      <c r="G123" s="98" t="s">
        <v>47</v>
      </c>
      <c r="I123" s="156"/>
      <c r="AJ123" s="229">
        <f>CHOOSE(m_identity,ENWL!AJ123, NPgN!AJ123, NPgY!AJ123, WMID!AJ123, EMID!AJ123, SWALES!AJ123, SWEST!AJ123, LPN!AJ123,SPN!AJ123,EPN!AJ123,SPD!AJ123,SPMW!AJ123,SSEH!AJ123,SSES!AJ123)</f>
        <v>0</v>
      </c>
      <c r="AK123" s="229">
        <f>CHOOSE(m_identity,ENWL!AK123, NPgN!AK123, NPgY!AK123, WMID!AK123, EMID!AK123, SWALES!AK123, SWEST!AK123, LPN!AK123,SPN!AK123,EPN!AK123,SPD!AK123,SPMW!AK123,SSEH!AK123,SSES!AK123)</f>
        <v>0</v>
      </c>
      <c r="AL123" s="229">
        <f>CHOOSE(m_identity,ENWL!AL123, NPgN!AL123, NPgY!AL123, WMID!AL123, EMID!AL123, SWALES!AL123, SWEST!AL123, LPN!AL123,SPN!AL123,EPN!AL123,SPD!AL123,SPMW!AL123,SSEH!AL123,SSES!AL123)</f>
        <v>0</v>
      </c>
      <c r="AM123" s="229">
        <f>CHOOSE(m_identity,ENWL!AM123, NPgN!AM123, NPgY!AM123, WMID!AM123, EMID!AM123, SWALES!AM123, SWEST!AM123, LPN!AM123,SPN!AM123,EPN!AM123,SPD!AM123,SPMW!AM123,SSEH!AM123,SSES!AM123)</f>
        <v>0</v>
      </c>
      <c r="AN123" s="229">
        <f>CHOOSE(m_identity,ENWL!AN123, NPgN!AN123, NPgY!AN123, WMID!AN123, EMID!AN123, SWALES!AN123, SWEST!AN123, LPN!AN123,SPN!AN123,EPN!AN123,SPD!AN123,SPMW!AN123,SSEH!AN123,SSES!AN123)</f>
        <v>0</v>
      </c>
      <c r="AO123" s="229">
        <f>CHOOSE(m_identity,ENWL!AO123, NPgN!AO123, NPgY!AO123, WMID!AO123, EMID!AO123, SWALES!AO123, SWEST!AO123, LPN!AO123,SPN!AO123,EPN!AO123,SPD!AO123,SPMW!AO123,SSEH!AO123,SSES!AO123)</f>
        <v>0</v>
      </c>
      <c r="AP123" s="229">
        <f>CHOOSE(m_identity,ENWL!AP123, NPgN!AP123, NPgY!AP123, WMID!AP123, EMID!AP123, SWALES!AP123, SWEST!AP123, LPN!AP123,SPN!AP123,EPN!AP123,SPD!AP123,SPMW!AP123,SSEH!AP123,SSES!AP123)</f>
        <v>0</v>
      </c>
      <c r="AQ123" s="229">
        <f>CHOOSE(m_identity,ENWL!AQ123, NPgN!AQ123, NPgY!AQ123, WMID!AQ123, EMID!AQ123, SWALES!AQ123, SWEST!AQ123, LPN!AQ123,SPN!AQ123,EPN!AQ123,SPD!AQ123,SPMW!AQ123,SSEH!AQ123,SSES!AQ123)</f>
        <v>0</v>
      </c>
    </row>
    <row r="124" spans="5:43" ht="15" customHeight="1"/>
    <row r="125" spans="5:43" s="98" customFormat="1" ht="15" customHeight="1">
      <c r="E125" s="152" t="str">
        <f>E21</f>
        <v xml:space="preserve">Allowed Expenditure - Visual Amenity Projects (TIM neutral)                                                                                                      </v>
      </c>
      <c r="G125" s="98" t="s">
        <v>657</v>
      </c>
      <c r="I125" s="58"/>
      <c r="AJ125" s="213">
        <f>AJ21</f>
        <v>0</v>
      </c>
      <c r="AK125" s="213">
        <f t="shared" ref="AK125:AQ125" si="4">AK21</f>
        <v>0</v>
      </c>
      <c r="AL125" s="213">
        <f t="shared" si="4"/>
        <v>0</v>
      </c>
      <c r="AM125" s="213">
        <f t="shared" si="4"/>
        <v>0</v>
      </c>
      <c r="AN125" s="213">
        <f t="shared" si="4"/>
        <v>0</v>
      </c>
      <c r="AO125" s="213">
        <f t="shared" si="4"/>
        <v>0</v>
      </c>
      <c r="AP125" s="213">
        <f t="shared" si="4"/>
        <v>0</v>
      </c>
      <c r="AQ125" s="213">
        <f t="shared" si="4"/>
        <v>0</v>
      </c>
    </row>
    <row r="126" spans="5:43" s="98" customFormat="1" ht="15" customHeight="1">
      <c r="E126" s="249" t="s">
        <v>471</v>
      </c>
      <c r="G126" s="98" t="s">
        <v>47</v>
      </c>
      <c r="I126" s="156"/>
      <c r="AJ126" s="229">
        <f>CHOOSE(m_identity,ENWL!AJ126, NPgN!AJ126, NPgY!AJ126, WMID!AJ126, EMID!AJ126, SWALES!AJ126, SWEST!AJ126, LPN!AJ126,SPN!AJ126,EPN!AJ126,SPD!AJ126,SPMW!AJ126,SSEH!AJ126,SSES!AJ126)</f>
        <v>0</v>
      </c>
      <c r="AK126" s="229">
        <f>CHOOSE(m_identity,ENWL!AK126, NPgN!AK126, NPgY!AK126, WMID!AK126, EMID!AK126, SWALES!AK126, SWEST!AK126, LPN!AK126,SPN!AK126,EPN!AK126,SPD!AK126,SPMW!AK126,SSEH!AK126,SSES!AK126)</f>
        <v>0</v>
      </c>
      <c r="AL126" s="229">
        <f>CHOOSE(m_identity,ENWL!AL126, NPgN!AL126, NPgY!AL126, WMID!AL126, EMID!AL126, SWALES!AL126, SWEST!AL126, LPN!AL126,SPN!AL126,EPN!AL126,SPD!AL126,SPMW!AL126,SSEH!AL126,SSES!AL126)</f>
        <v>0</v>
      </c>
      <c r="AM126" s="229">
        <f>CHOOSE(m_identity,ENWL!AM126, NPgN!AM126, NPgY!AM126, WMID!AM126, EMID!AM126, SWALES!AM126, SWEST!AM126, LPN!AM126,SPN!AM126,EPN!AM126,SPD!AM126,SPMW!AM126,SSEH!AM126,SSES!AM126)</f>
        <v>0</v>
      </c>
      <c r="AN126" s="229">
        <f>CHOOSE(m_identity,ENWL!AN126, NPgN!AN126, NPgY!AN126, WMID!AN126, EMID!AN126, SWALES!AN126, SWEST!AN126, LPN!AN126,SPN!AN126,EPN!AN126,SPD!AN126,SPMW!AN126,SSEH!AN126,SSES!AN126)</f>
        <v>0</v>
      </c>
      <c r="AO126" s="229">
        <f>CHOOSE(m_identity,ENWL!AO126, NPgN!AO126, NPgY!AO126, WMID!AO126, EMID!AO126, SWALES!AO126, SWEST!AO126, LPN!AO126,SPN!AO126,EPN!AO126,SPD!AO126,SPMW!AO126,SSEH!AO126,SSES!AO126)</f>
        <v>0</v>
      </c>
      <c r="AP126" s="229">
        <f>CHOOSE(m_identity,ENWL!AP126, NPgN!AP126, NPgY!AP126, WMID!AP126, EMID!AP126, SWALES!AP126, SWEST!AP126, LPN!AP126,SPN!AP126,EPN!AP126,SPD!AP126,SPMW!AP126,SSEH!AP126,SSES!AP126)</f>
        <v>0</v>
      </c>
      <c r="AQ126" s="229">
        <f>CHOOSE(m_identity,ENWL!AQ126, NPgN!AQ126, NPgY!AQ126, WMID!AQ126, EMID!AQ126, SWALES!AQ126, SWEST!AQ126, LPN!AQ126,SPN!AQ126,EPN!AQ126,SPD!AQ126,SPMW!AQ126,SSEH!AQ126,SSES!AQ126)</f>
        <v>0</v>
      </c>
    </row>
    <row r="127" spans="5:43" s="98" customFormat="1" ht="15" customHeight="1">
      <c r="E127" s="249" t="s">
        <v>544</v>
      </c>
      <c r="G127" s="98" t="s">
        <v>47</v>
      </c>
      <c r="I127" s="156"/>
      <c r="AJ127" s="229">
        <f>CHOOSE(m_identity,ENWL!AJ127, NPgN!AJ127, NPgY!AJ127, WMID!AJ127, EMID!AJ127, SWALES!AJ127, SWEST!AJ127, LPN!AJ127,SPN!AJ127,EPN!AJ127,SPD!AJ127,SPMW!AJ127,SSEH!AJ127,SSES!AJ127)</f>
        <v>0</v>
      </c>
      <c r="AK127" s="229">
        <f>CHOOSE(m_identity,ENWL!AK127, NPgN!AK127, NPgY!AK127, WMID!AK127, EMID!AK127, SWALES!AK127, SWEST!AK127, LPN!AK127,SPN!AK127,EPN!AK127,SPD!AK127,SPMW!AK127,SSEH!AK127,SSES!AK127)</f>
        <v>0</v>
      </c>
      <c r="AL127" s="229">
        <f>CHOOSE(m_identity,ENWL!AL127, NPgN!AL127, NPgY!AL127, WMID!AL127, EMID!AL127, SWALES!AL127, SWEST!AL127, LPN!AL127,SPN!AL127,EPN!AL127,SPD!AL127,SPMW!AL127,SSEH!AL127,SSES!AL127)</f>
        <v>0</v>
      </c>
      <c r="AM127" s="229">
        <f>CHOOSE(m_identity,ENWL!AM127, NPgN!AM127, NPgY!AM127, WMID!AM127, EMID!AM127, SWALES!AM127, SWEST!AM127, LPN!AM127,SPN!AM127,EPN!AM127,SPD!AM127,SPMW!AM127,SSEH!AM127,SSES!AM127)</f>
        <v>0</v>
      </c>
      <c r="AN127" s="229">
        <f>CHOOSE(m_identity,ENWL!AN127, NPgN!AN127, NPgY!AN127, WMID!AN127, EMID!AN127, SWALES!AN127, SWEST!AN127, LPN!AN127,SPN!AN127,EPN!AN127,SPD!AN127,SPMW!AN127,SSEH!AN127,SSES!AN127)</f>
        <v>0</v>
      </c>
      <c r="AO127" s="229">
        <f>CHOOSE(m_identity,ENWL!AO127, NPgN!AO127, NPgY!AO127, WMID!AO127, EMID!AO127, SWALES!AO127, SWEST!AO127, LPN!AO127,SPN!AO127,EPN!AO127,SPD!AO127,SPMW!AO127,SSEH!AO127,SSES!AO127)</f>
        <v>0</v>
      </c>
      <c r="AP127" s="229">
        <f>CHOOSE(m_identity,ENWL!AP127, NPgN!AP127, NPgY!AP127, WMID!AP127, EMID!AP127, SWALES!AP127, SWEST!AP127, LPN!AP127,SPN!AP127,EPN!AP127,SPD!AP127,SPMW!AP127,SSEH!AP127,SSES!AP127)</f>
        <v>0</v>
      </c>
      <c r="AQ127" s="229">
        <f>CHOOSE(m_identity,ENWL!AQ127, NPgN!AQ127, NPgY!AQ127, WMID!AQ127, EMID!AQ127, SWALES!AQ127, SWEST!AQ127, LPN!AQ127,SPN!AQ127,EPN!AQ127,SPD!AQ127,SPMW!AQ127,SSEH!AQ127,SSES!AQ127)</f>
        <v>0</v>
      </c>
    </row>
    <row r="128" spans="5:43" s="98" customFormat="1" ht="15" customHeight="1">
      <c r="E128" s="249" t="s">
        <v>472</v>
      </c>
      <c r="G128" s="98" t="s">
        <v>47</v>
      </c>
      <c r="I128" s="156"/>
      <c r="AJ128" s="229">
        <f>CHOOSE(m_identity,ENWL!AJ128, NPgN!AJ128, NPgY!AJ128, WMID!AJ128, EMID!AJ128, SWALES!AJ128, SWEST!AJ128, LPN!AJ128,SPN!AJ128,EPN!AJ128,SPD!AJ128,SPMW!AJ128,SSEH!AJ128,SSES!AJ128)</f>
        <v>1</v>
      </c>
      <c r="AK128" s="229">
        <f>CHOOSE(m_identity,ENWL!AK128, NPgN!AK128, NPgY!AK128, WMID!AK128, EMID!AK128, SWALES!AK128, SWEST!AK128, LPN!AK128,SPN!AK128,EPN!AK128,SPD!AK128,SPMW!AK128,SSEH!AK128,SSES!AK128)</f>
        <v>1</v>
      </c>
      <c r="AL128" s="229">
        <f>CHOOSE(m_identity,ENWL!AL128, NPgN!AL128, NPgY!AL128, WMID!AL128, EMID!AL128, SWALES!AL128, SWEST!AL128, LPN!AL128,SPN!AL128,EPN!AL128,SPD!AL128,SPMW!AL128,SSEH!AL128,SSES!AL128)</f>
        <v>1</v>
      </c>
      <c r="AM128" s="229">
        <f>CHOOSE(m_identity,ENWL!AM128, NPgN!AM128, NPgY!AM128, WMID!AM128, EMID!AM128, SWALES!AM128, SWEST!AM128, LPN!AM128,SPN!AM128,EPN!AM128,SPD!AM128,SPMW!AM128,SSEH!AM128,SSES!AM128)</f>
        <v>1</v>
      </c>
      <c r="AN128" s="229">
        <f>CHOOSE(m_identity,ENWL!AN128, NPgN!AN128, NPgY!AN128, WMID!AN128, EMID!AN128, SWALES!AN128, SWEST!AN128, LPN!AN128,SPN!AN128,EPN!AN128,SPD!AN128,SPMW!AN128,SSEH!AN128,SSES!AN128)</f>
        <v>1</v>
      </c>
      <c r="AO128" s="229">
        <f>CHOOSE(m_identity,ENWL!AO128, NPgN!AO128, NPgY!AO128, WMID!AO128, EMID!AO128, SWALES!AO128, SWEST!AO128, LPN!AO128,SPN!AO128,EPN!AO128,SPD!AO128,SPMW!AO128,SSEH!AO128,SSES!AO128)</f>
        <v>1</v>
      </c>
      <c r="AP128" s="229">
        <f>CHOOSE(m_identity,ENWL!AP128, NPgN!AP128, NPgY!AP128, WMID!AP128, EMID!AP128, SWALES!AP128, SWEST!AP128, LPN!AP128,SPN!AP128,EPN!AP128,SPD!AP128,SPMW!AP128,SSEH!AP128,SSES!AP128)</f>
        <v>1</v>
      </c>
      <c r="AQ128" s="229">
        <f>CHOOSE(m_identity,ENWL!AQ128, NPgN!AQ128, NPgY!AQ128, WMID!AQ128, EMID!AQ128, SWALES!AQ128, SWEST!AQ128, LPN!AQ128,SPN!AQ128,EPN!AQ128,SPD!AQ128,SPMW!AQ128,SSEH!AQ128,SSES!AQ128)</f>
        <v>1</v>
      </c>
    </row>
    <row r="129" spans="5:43" s="98" customFormat="1" ht="15" customHeight="1">
      <c r="E129" s="249" t="s">
        <v>572</v>
      </c>
      <c r="G129" s="98" t="s">
        <v>47</v>
      </c>
      <c r="I129" s="156"/>
      <c r="AJ129" s="229">
        <f>CHOOSE(m_identity,ENWL!AJ129, NPgN!AJ129, NPgY!AJ129, WMID!AJ129, EMID!AJ129, SWALES!AJ129, SWEST!AJ129, LPN!AJ129,SPN!AJ129,EPN!AJ129,SPD!AJ129,SPMW!AJ129,SSEH!AJ129,SSES!AJ129)</f>
        <v>0</v>
      </c>
      <c r="AK129" s="229">
        <f>CHOOSE(m_identity,ENWL!AK129, NPgN!AK129, NPgY!AK129, WMID!AK129, EMID!AK129, SWALES!AK129, SWEST!AK129, LPN!AK129,SPN!AK129,EPN!AK129,SPD!AK129,SPMW!AK129,SSEH!AK129,SSES!AK129)</f>
        <v>0</v>
      </c>
      <c r="AL129" s="229">
        <f>CHOOSE(m_identity,ENWL!AL129, NPgN!AL129, NPgY!AL129, WMID!AL129, EMID!AL129, SWALES!AL129, SWEST!AL129, LPN!AL129,SPN!AL129,EPN!AL129,SPD!AL129,SPMW!AL129,SSEH!AL129,SSES!AL129)</f>
        <v>0</v>
      </c>
      <c r="AM129" s="229">
        <f>CHOOSE(m_identity,ENWL!AM129, NPgN!AM129, NPgY!AM129, WMID!AM129, EMID!AM129, SWALES!AM129, SWEST!AM129, LPN!AM129,SPN!AM129,EPN!AM129,SPD!AM129,SPMW!AM129,SSEH!AM129,SSES!AM129)</f>
        <v>0</v>
      </c>
      <c r="AN129" s="229">
        <f>CHOOSE(m_identity,ENWL!AN129, NPgN!AN129, NPgY!AN129, WMID!AN129, EMID!AN129, SWALES!AN129, SWEST!AN129, LPN!AN129,SPN!AN129,EPN!AN129,SPD!AN129,SPMW!AN129,SSEH!AN129,SSES!AN129)</f>
        <v>0</v>
      </c>
      <c r="AO129" s="229">
        <f>CHOOSE(m_identity,ENWL!AO129, NPgN!AO129, NPgY!AO129, WMID!AO129, EMID!AO129, SWALES!AO129, SWEST!AO129, LPN!AO129,SPN!AO129,EPN!AO129,SPD!AO129,SPMW!AO129,SSEH!AO129,SSES!AO129)</f>
        <v>0</v>
      </c>
      <c r="AP129" s="229">
        <f>CHOOSE(m_identity,ENWL!AP129, NPgN!AP129, NPgY!AP129, WMID!AP129, EMID!AP129, SWALES!AP129, SWEST!AP129, LPN!AP129,SPN!AP129,EPN!AP129,SPD!AP129,SPMW!AP129,SSEH!AP129,SSES!AP129)</f>
        <v>0</v>
      </c>
      <c r="AQ129" s="229">
        <f>CHOOSE(m_identity,ENWL!AQ129, NPgN!AQ129, NPgY!AQ129, WMID!AQ129, EMID!AQ129, SWALES!AQ129, SWEST!AQ129, LPN!AQ129,SPN!AQ129,EPN!AQ129,SPD!AQ129,SPMW!AQ129,SSEH!AQ129,SSES!AQ129)</f>
        <v>0</v>
      </c>
    </row>
    <row r="130" spans="5:43" s="98" customFormat="1" ht="15" customHeight="1">
      <c r="E130" s="249" t="s">
        <v>721</v>
      </c>
      <c r="G130" s="98" t="s">
        <v>47</v>
      </c>
      <c r="I130" s="156"/>
      <c r="AJ130" s="229">
        <f>CHOOSE(m_identity,ENWL!AJ130, NPgN!AJ130, NPgY!AJ130, WMID!AJ130, EMID!AJ130, SWALES!AJ130, SWEST!AJ130, LPN!AJ130,SPN!AJ130,EPN!AJ130,SPD!AJ130,SPMW!AJ130,SSEH!AJ130,SSES!AJ130)</f>
        <v>0</v>
      </c>
      <c r="AK130" s="229">
        <f>CHOOSE(m_identity,ENWL!AK130, NPgN!AK130, NPgY!AK130, WMID!AK130, EMID!AK130, SWALES!AK130, SWEST!AK130, LPN!AK130,SPN!AK130,EPN!AK130,SPD!AK130,SPMW!AK130,SSEH!AK130,SSES!AK130)</f>
        <v>0</v>
      </c>
      <c r="AL130" s="229">
        <f>CHOOSE(m_identity,ENWL!AL130, NPgN!AL130, NPgY!AL130, WMID!AL130, EMID!AL130, SWALES!AL130, SWEST!AL130, LPN!AL130,SPN!AL130,EPN!AL130,SPD!AL130,SPMW!AL130,SSEH!AL130,SSES!AL130)</f>
        <v>0</v>
      </c>
      <c r="AM130" s="229">
        <f>CHOOSE(m_identity,ENWL!AM130, NPgN!AM130, NPgY!AM130, WMID!AM130, EMID!AM130, SWALES!AM130, SWEST!AM130, LPN!AM130,SPN!AM130,EPN!AM130,SPD!AM130,SPMW!AM130,SSEH!AM130,SSES!AM130)</f>
        <v>0</v>
      </c>
      <c r="AN130" s="229">
        <f>CHOOSE(m_identity,ENWL!AN130, NPgN!AN130, NPgY!AN130, WMID!AN130, EMID!AN130, SWALES!AN130, SWEST!AN130, LPN!AN130,SPN!AN130,EPN!AN130,SPD!AN130,SPMW!AN130,SSEH!AN130,SSES!AN130)</f>
        <v>0</v>
      </c>
      <c r="AO130" s="229">
        <f>CHOOSE(m_identity,ENWL!AO130, NPgN!AO130, NPgY!AO130, WMID!AO130, EMID!AO130, SWALES!AO130, SWEST!AO130, LPN!AO130,SPN!AO130,EPN!AO130,SPD!AO130,SPMW!AO130,SSEH!AO130,SSES!AO130)</f>
        <v>0</v>
      </c>
      <c r="AP130" s="229">
        <f>CHOOSE(m_identity,ENWL!AP130, NPgN!AP130, NPgY!AP130, WMID!AP130, EMID!AP130, SWALES!AP130, SWEST!AP130, LPN!AP130,SPN!AP130,EPN!AP130,SPD!AP130,SPMW!AP130,SSEH!AP130,SSES!AP130)</f>
        <v>0</v>
      </c>
      <c r="AQ130" s="229">
        <f>CHOOSE(m_identity,ENWL!AQ130, NPgN!AQ130, NPgY!AQ130, WMID!AQ130, EMID!AQ130, SWALES!AQ130, SWEST!AQ130, LPN!AQ130,SPN!AQ130,EPN!AQ130,SPD!AQ130,SPMW!AQ130,SSEH!AQ130,SSES!AQ130)</f>
        <v>0</v>
      </c>
    </row>
    <row r="131" spans="5:43" s="98" customFormat="1" ht="15" customHeight="1">
      <c r="E131" s="249" t="s">
        <v>703</v>
      </c>
      <c r="G131" s="98" t="s">
        <v>47</v>
      </c>
      <c r="I131" s="156"/>
      <c r="AJ131" s="229">
        <f>CHOOSE(m_identity,ENWL!AJ131, NPgN!AJ131, NPgY!AJ131, WMID!AJ131, EMID!AJ131, SWALES!AJ131, SWEST!AJ131, LPN!AJ131,SPN!AJ131,EPN!AJ131,SPD!AJ131,SPMW!AJ131,SSEH!AJ131,SSES!AJ131)</f>
        <v>0</v>
      </c>
      <c r="AK131" s="229">
        <f>CHOOSE(m_identity,ENWL!AK131, NPgN!AK131, NPgY!AK131, WMID!AK131, EMID!AK131, SWALES!AK131, SWEST!AK131, LPN!AK131,SPN!AK131,EPN!AK131,SPD!AK131,SPMW!AK131,SSEH!AK131,SSES!AK131)</f>
        <v>0</v>
      </c>
      <c r="AL131" s="229">
        <f>CHOOSE(m_identity,ENWL!AL131, NPgN!AL131, NPgY!AL131, WMID!AL131, EMID!AL131, SWALES!AL131, SWEST!AL131, LPN!AL131,SPN!AL131,EPN!AL131,SPD!AL131,SPMW!AL131,SSEH!AL131,SSES!AL131)</f>
        <v>0</v>
      </c>
      <c r="AM131" s="229">
        <f>CHOOSE(m_identity,ENWL!AM131, NPgN!AM131, NPgY!AM131, WMID!AM131, EMID!AM131, SWALES!AM131, SWEST!AM131, LPN!AM131,SPN!AM131,EPN!AM131,SPD!AM131,SPMW!AM131,SSEH!AM131,SSES!AM131)</f>
        <v>0</v>
      </c>
      <c r="AN131" s="229">
        <f>CHOOSE(m_identity,ENWL!AN131, NPgN!AN131, NPgY!AN131, WMID!AN131, EMID!AN131, SWALES!AN131, SWEST!AN131, LPN!AN131,SPN!AN131,EPN!AN131,SPD!AN131,SPMW!AN131,SSEH!AN131,SSES!AN131)</f>
        <v>0</v>
      </c>
      <c r="AO131" s="229">
        <f>CHOOSE(m_identity,ENWL!AO131, NPgN!AO131, NPgY!AO131, WMID!AO131, EMID!AO131, SWALES!AO131, SWEST!AO131, LPN!AO131,SPN!AO131,EPN!AO131,SPD!AO131,SPMW!AO131,SSEH!AO131,SSES!AO131)</f>
        <v>0</v>
      </c>
      <c r="AP131" s="229">
        <f>CHOOSE(m_identity,ENWL!AP131, NPgN!AP131, NPgY!AP131, WMID!AP131, EMID!AP131, SWALES!AP131, SWEST!AP131, LPN!AP131,SPN!AP131,EPN!AP131,SPD!AP131,SPMW!AP131,SSEH!AP131,SSES!AP131)</f>
        <v>0</v>
      </c>
      <c r="AQ131" s="229">
        <f>CHOOSE(m_identity,ENWL!AQ131, NPgN!AQ131, NPgY!AQ131, WMID!AQ131, EMID!AQ131, SWALES!AQ131, SWEST!AQ131, LPN!AQ131,SPN!AQ131,EPN!AQ131,SPD!AQ131,SPMW!AQ131,SSEH!AQ131,SSES!AQ131)</f>
        <v>0</v>
      </c>
    </row>
    <row r="132" spans="5:43" s="98" customFormat="1" ht="15" customHeight="1">
      <c r="E132" s="249" t="s">
        <v>473</v>
      </c>
      <c r="G132" s="98" t="s">
        <v>47</v>
      </c>
      <c r="I132" s="156"/>
      <c r="AJ132" s="229">
        <f>CHOOSE(m_identity,ENWL!AJ132, NPgN!AJ132, NPgY!AJ132, WMID!AJ132, EMID!AJ132, SWALES!AJ132, SWEST!AJ132, LPN!AJ132,SPN!AJ132,EPN!AJ132,SPD!AJ132,SPMW!AJ132,SSEH!AJ132,SSES!AJ132)</f>
        <v>0</v>
      </c>
      <c r="AK132" s="229">
        <f>CHOOSE(m_identity,ENWL!AK132, NPgN!AK132, NPgY!AK132, WMID!AK132, EMID!AK132, SWALES!AK132, SWEST!AK132, LPN!AK132,SPN!AK132,EPN!AK132,SPD!AK132,SPMW!AK132,SSEH!AK132,SSES!AK132)</f>
        <v>0</v>
      </c>
      <c r="AL132" s="229">
        <f>CHOOSE(m_identity,ENWL!AL132, NPgN!AL132, NPgY!AL132, WMID!AL132, EMID!AL132, SWALES!AL132, SWEST!AL132, LPN!AL132,SPN!AL132,EPN!AL132,SPD!AL132,SPMW!AL132,SSEH!AL132,SSES!AL132)</f>
        <v>0</v>
      </c>
      <c r="AM132" s="229">
        <f>CHOOSE(m_identity,ENWL!AM132, NPgN!AM132, NPgY!AM132, WMID!AM132, EMID!AM132, SWALES!AM132, SWEST!AM132, LPN!AM132,SPN!AM132,EPN!AM132,SPD!AM132,SPMW!AM132,SSEH!AM132,SSES!AM132)</f>
        <v>0</v>
      </c>
      <c r="AN132" s="229">
        <f>CHOOSE(m_identity,ENWL!AN132, NPgN!AN132, NPgY!AN132, WMID!AN132, EMID!AN132, SWALES!AN132, SWEST!AN132, LPN!AN132,SPN!AN132,EPN!AN132,SPD!AN132,SPMW!AN132,SSEH!AN132,SSES!AN132)</f>
        <v>0</v>
      </c>
      <c r="AO132" s="229">
        <f>CHOOSE(m_identity,ENWL!AO132, NPgN!AO132, NPgY!AO132, WMID!AO132, EMID!AO132, SWALES!AO132, SWEST!AO132, LPN!AO132,SPN!AO132,EPN!AO132,SPD!AO132,SPMW!AO132,SSEH!AO132,SSES!AO132)</f>
        <v>0</v>
      </c>
      <c r="AP132" s="229">
        <f>CHOOSE(m_identity,ENWL!AP132, NPgN!AP132, NPgY!AP132, WMID!AP132, EMID!AP132, SWALES!AP132, SWEST!AP132, LPN!AP132,SPN!AP132,EPN!AP132,SPD!AP132,SPMW!AP132,SSEH!AP132,SSES!AP132)</f>
        <v>0</v>
      </c>
      <c r="AQ132" s="229">
        <f>CHOOSE(m_identity,ENWL!AQ132, NPgN!AQ132, NPgY!AQ132, WMID!AQ132, EMID!AQ132, SWALES!AQ132, SWEST!AQ132, LPN!AQ132,SPN!AQ132,EPN!AQ132,SPD!AQ132,SPMW!AQ132,SSEH!AQ132,SSES!AQ132)</f>
        <v>0</v>
      </c>
    </row>
    <row r="133" spans="5:43" ht="15" customHeight="1"/>
    <row r="134" spans="5:43" s="98" customFormat="1" ht="15" customHeight="1">
      <c r="E134" s="152" t="str">
        <f>E22</f>
        <v>Allowed Expenditure - Worst Served Customer Project (TIM neutral)</v>
      </c>
      <c r="G134" s="98" t="s">
        <v>657</v>
      </c>
      <c r="I134" s="58"/>
      <c r="AJ134" s="213">
        <f>AJ22</f>
        <v>0</v>
      </c>
      <c r="AK134" s="213">
        <f t="shared" ref="AK134:AQ134" si="5">AK22</f>
        <v>0</v>
      </c>
      <c r="AL134" s="213">
        <f t="shared" si="5"/>
        <v>0</v>
      </c>
      <c r="AM134" s="213">
        <f t="shared" si="5"/>
        <v>0</v>
      </c>
      <c r="AN134" s="213">
        <f t="shared" si="5"/>
        <v>0</v>
      </c>
      <c r="AO134" s="213">
        <f t="shared" si="5"/>
        <v>0</v>
      </c>
      <c r="AP134" s="213">
        <f t="shared" si="5"/>
        <v>0</v>
      </c>
      <c r="AQ134" s="213">
        <f t="shared" si="5"/>
        <v>0</v>
      </c>
    </row>
    <row r="135" spans="5:43" s="98" customFormat="1" ht="15" customHeight="1">
      <c r="E135" s="249" t="s">
        <v>471</v>
      </c>
      <c r="G135" s="98" t="s">
        <v>47</v>
      </c>
      <c r="I135" s="156"/>
      <c r="AJ135" s="229">
        <f>CHOOSE(m_identity,ENWL!AJ135, NPgN!AJ135, NPgY!AJ135, WMID!AJ135, EMID!AJ135, SWALES!AJ135, SWEST!AJ135, LPN!AJ135,SPN!AJ135,EPN!AJ135,SPD!AJ135,SPMW!AJ135,SSEH!AJ135,SSES!AJ135)</f>
        <v>0</v>
      </c>
      <c r="AK135" s="229">
        <f>CHOOSE(m_identity,ENWL!AK135, NPgN!AK135, NPgY!AK135, WMID!AK135, EMID!AK135, SWALES!AK135, SWEST!AK135, LPN!AK135,SPN!AK135,EPN!AK135,SPD!AK135,SPMW!AK135,SSEH!AK135,SSES!AK135)</f>
        <v>0</v>
      </c>
      <c r="AL135" s="229">
        <f>CHOOSE(m_identity,ENWL!AL135, NPgN!AL135, NPgY!AL135, WMID!AL135, EMID!AL135, SWALES!AL135, SWEST!AL135, LPN!AL135,SPN!AL135,EPN!AL135,SPD!AL135,SPMW!AL135,SSEH!AL135,SSES!AL135)</f>
        <v>0</v>
      </c>
      <c r="AM135" s="229">
        <f>CHOOSE(m_identity,ENWL!AM135, NPgN!AM135, NPgY!AM135, WMID!AM135, EMID!AM135, SWALES!AM135, SWEST!AM135, LPN!AM135,SPN!AM135,EPN!AM135,SPD!AM135,SPMW!AM135,SSEH!AM135,SSES!AM135)</f>
        <v>0</v>
      </c>
      <c r="AN135" s="229">
        <f>CHOOSE(m_identity,ENWL!AN135, NPgN!AN135, NPgY!AN135, WMID!AN135, EMID!AN135, SWALES!AN135, SWEST!AN135, LPN!AN135,SPN!AN135,EPN!AN135,SPD!AN135,SPMW!AN135,SSEH!AN135,SSES!AN135)</f>
        <v>0</v>
      </c>
      <c r="AO135" s="229">
        <f>CHOOSE(m_identity,ENWL!AO135, NPgN!AO135, NPgY!AO135, WMID!AO135, EMID!AO135, SWALES!AO135, SWEST!AO135, LPN!AO135,SPN!AO135,EPN!AO135,SPD!AO135,SPMW!AO135,SSEH!AO135,SSES!AO135)</f>
        <v>0</v>
      </c>
      <c r="AP135" s="229">
        <f>CHOOSE(m_identity,ENWL!AP135, NPgN!AP135, NPgY!AP135, WMID!AP135, EMID!AP135, SWALES!AP135, SWEST!AP135, LPN!AP135,SPN!AP135,EPN!AP135,SPD!AP135,SPMW!AP135,SSEH!AP135,SSES!AP135)</f>
        <v>0</v>
      </c>
      <c r="AQ135" s="229">
        <f>CHOOSE(m_identity,ENWL!AQ135, NPgN!AQ135, NPgY!AQ135, WMID!AQ135, EMID!AQ135, SWALES!AQ135, SWEST!AQ135, LPN!AQ135,SPN!AQ135,EPN!AQ135,SPD!AQ135,SPMW!AQ135,SSEH!AQ135,SSES!AQ135)</f>
        <v>0</v>
      </c>
    </row>
    <row r="136" spans="5:43" s="98" customFormat="1" ht="15" customHeight="1">
      <c r="E136" s="249" t="s">
        <v>544</v>
      </c>
      <c r="G136" s="98" t="s">
        <v>47</v>
      </c>
      <c r="I136" s="156"/>
      <c r="AJ136" s="229">
        <f>CHOOSE(m_identity,ENWL!AJ136, NPgN!AJ136, NPgY!AJ136, WMID!AJ136, EMID!AJ136, SWALES!AJ136, SWEST!AJ136, LPN!AJ136,SPN!AJ136,EPN!AJ136,SPD!AJ136,SPMW!AJ136,SSEH!AJ136,SSES!AJ136)</f>
        <v>0</v>
      </c>
      <c r="AK136" s="229">
        <f>CHOOSE(m_identity,ENWL!AK136, NPgN!AK136, NPgY!AK136, WMID!AK136, EMID!AK136, SWALES!AK136, SWEST!AK136, LPN!AK136,SPN!AK136,EPN!AK136,SPD!AK136,SPMW!AK136,SSEH!AK136,SSES!AK136)</f>
        <v>0</v>
      </c>
      <c r="AL136" s="229">
        <f>CHOOSE(m_identity,ENWL!AL136, NPgN!AL136, NPgY!AL136, WMID!AL136, EMID!AL136, SWALES!AL136, SWEST!AL136, LPN!AL136,SPN!AL136,EPN!AL136,SPD!AL136,SPMW!AL136,SSEH!AL136,SSES!AL136)</f>
        <v>0</v>
      </c>
      <c r="AM136" s="229">
        <f>CHOOSE(m_identity,ENWL!AM136, NPgN!AM136, NPgY!AM136, WMID!AM136, EMID!AM136, SWALES!AM136, SWEST!AM136, LPN!AM136,SPN!AM136,EPN!AM136,SPD!AM136,SPMW!AM136,SSEH!AM136,SSES!AM136)</f>
        <v>0</v>
      </c>
      <c r="AN136" s="229">
        <f>CHOOSE(m_identity,ENWL!AN136, NPgN!AN136, NPgY!AN136, WMID!AN136, EMID!AN136, SWALES!AN136, SWEST!AN136, LPN!AN136,SPN!AN136,EPN!AN136,SPD!AN136,SPMW!AN136,SSEH!AN136,SSES!AN136)</f>
        <v>0</v>
      </c>
      <c r="AO136" s="229">
        <f>CHOOSE(m_identity,ENWL!AO136, NPgN!AO136, NPgY!AO136, WMID!AO136, EMID!AO136, SWALES!AO136, SWEST!AO136, LPN!AO136,SPN!AO136,EPN!AO136,SPD!AO136,SPMW!AO136,SSEH!AO136,SSES!AO136)</f>
        <v>0</v>
      </c>
      <c r="AP136" s="229">
        <f>CHOOSE(m_identity,ENWL!AP136, NPgN!AP136, NPgY!AP136, WMID!AP136, EMID!AP136, SWALES!AP136, SWEST!AP136, LPN!AP136,SPN!AP136,EPN!AP136,SPD!AP136,SPMW!AP136,SSEH!AP136,SSES!AP136)</f>
        <v>0</v>
      </c>
      <c r="AQ136" s="229">
        <f>CHOOSE(m_identity,ENWL!AQ136, NPgN!AQ136, NPgY!AQ136, WMID!AQ136, EMID!AQ136, SWALES!AQ136, SWEST!AQ136, LPN!AQ136,SPN!AQ136,EPN!AQ136,SPD!AQ136,SPMW!AQ136,SSEH!AQ136,SSES!AQ136)</f>
        <v>0</v>
      </c>
    </row>
    <row r="137" spans="5:43" s="98" customFormat="1" ht="15" customHeight="1">
      <c r="E137" s="249" t="s">
        <v>472</v>
      </c>
      <c r="G137" s="98" t="s">
        <v>47</v>
      </c>
      <c r="I137" s="156"/>
      <c r="AJ137" s="229">
        <f>CHOOSE(m_identity,ENWL!AJ137, NPgN!AJ137, NPgY!AJ137, WMID!AJ137, EMID!AJ137, SWALES!AJ137, SWEST!AJ137, LPN!AJ137,SPN!AJ137,EPN!AJ137,SPD!AJ137,SPMW!AJ137,SSEH!AJ137,SSES!AJ137)</f>
        <v>1</v>
      </c>
      <c r="AK137" s="229">
        <f>CHOOSE(m_identity,ENWL!AK137, NPgN!AK137, NPgY!AK137, WMID!AK137, EMID!AK137, SWALES!AK137, SWEST!AK137, LPN!AK137,SPN!AK137,EPN!AK137,SPD!AK137,SPMW!AK137,SSEH!AK137,SSES!AK137)</f>
        <v>1</v>
      </c>
      <c r="AL137" s="229">
        <f>CHOOSE(m_identity,ENWL!AL137, NPgN!AL137, NPgY!AL137, WMID!AL137, EMID!AL137, SWALES!AL137, SWEST!AL137, LPN!AL137,SPN!AL137,EPN!AL137,SPD!AL137,SPMW!AL137,SSEH!AL137,SSES!AL137)</f>
        <v>1</v>
      </c>
      <c r="AM137" s="229">
        <f>CHOOSE(m_identity,ENWL!AM137, NPgN!AM137, NPgY!AM137, WMID!AM137, EMID!AM137, SWALES!AM137, SWEST!AM137, LPN!AM137,SPN!AM137,EPN!AM137,SPD!AM137,SPMW!AM137,SSEH!AM137,SSES!AM137)</f>
        <v>1</v>
      </c>
      <c r="AN137" s="229">
        <f>CHOOSE(m_identity,ENWL!AN137, NPgN!AN137, NPgY!AN137, WMID!AN137, EMID!AN137, SWALES!AN137, SWEST!AN137, LPN!AN137,SPN!AN137,EPN!AN137,SPD!AN137,SPMW!AN137,SSEH!AN137,SSES!AN137)</f>
        <v>1</v>
      </c>
      <c r="AO137" s="229">
        <f>CHOOSE(m_identity,ENWL!AO137, NPgN!AO137, NPgY!AO137, WMID!AO137, EMID!AO137, SWALES!AO137, SWEST!AO137, LPN!AO137,SPN!AO137,EPN!AO137,SPD!AO137,SPMW!AO137,SSEH!AO137,SSES!AO137)</f>
        <v>1</v>
      </c>
      <c r="AP137" s="229">
        <f>CHOOSE(m_identity,ENWL!AP137, NPgN!AP137, NPgY!AP137, WMID!AP137, EMID!AP137, SWALES!AP137, SWEST!AP137, LPN!AP137,SPN!AP137,EPN!AP137,SPD!AP137,SPMW!AP137,SSEH!AP137,SSES!AP137)</f>
        <v>1</v>
      </c>
      <c r="AQ137" s="229">
        <f>CHOOSE(m_identity,ENWL!AQ137, NPgN!AQ137, NPgY!AQ137, WMID!AQ137, EMID!AQ137, SWALES!AQ137, SWEST!AQ137, LPN!AQ137,SPN!AQ137,EPN!AQ137,SPD!AQ137,SPMW!AQ137,SSEH!AQ137,SSES!AQ137)</f>
        <v>1</v>
      </c>
    </row>
    <row r="138" spans="5:43" s="98" customFormat="1" ht="15" customHeight="1">
      <c r="E138" s="249" t="s">
        <v>572</v>
      </c>
      <c r="G138" s="98" t="s">
        <v>47</v>
      </c>
      <c r="I138" s="156"/>
      <c r="AJ138" s="229">
        <f>CHOOSE(m_identity,ENWL!AJ138, NPgN!AJ138, NPgY!AJ138, WMID!AJ138, EMID!AJ138, SWALES!AJ138, SWEST!AJ138, LPN!AJ138,SPN!AJ138,EPN!AJ138,SPD!AJ138,SPMW!AJ138,SSEH!AJ138,SSES!AJ138)</f>
        <v>0</v>
      </c>
      <c r="AK138" s="229">
        <f>CHOOSE(m_identity,ENWL!AK138, NPgN!AK138, NPgY!AK138, WMID!AK138, EMID!AK138, SWALES!AK138, SWEST!AK138, LPN!AK138,SPN!AK138,EPN!AK138,SPD!AK138,SPMW!AK138,SSEH!AK138,SSES!AK138)</f>
        <v>0</v>
      </c>
      <c r="AL138" s="229">
        <f>CHOOSE(m_identity,ENWL!AL138, NPgN!AL138, NPgY!AL138, WMID!AL138, EMID!AL138, SWALES!AL138, SWEST!AL138, LPN!AL138,SPN!AL138,EPN!AL138,SPD!AL138,SPMW!AL138,SSEH!AL138,SSES!AL138)</f>
        <v>0</v>
      </c>
      <c r="AM138" s="229">
        <f>CHOOSE(m_identity,ENWL!AM138, NPgN!AM138, NPgY!AM138, WMID!AM138, EMID!AM138, SWALES!AM138, SWEST!AM138, LPN!AM138,SPN!AM138,EPN!AM138,SPD!AM138,SPMW!AM138,SSEH!AM138,SSES!AM138)</f>
        <v>0</v>
      </c>
      <c r="AN138" s="229">
        <f>CHOOSE(m_identity,ENWL!AN138, NPgN!AN138, NPgY!AN138, WMID!AN138, EMID!AN138, SWALES!AN138, SWEST!AN138, LPN!AN138,SPN!AN138,EPN!AN138,SPD!AN138,SPMW!AN138,SSEH!AN138,SSES!AN138)</f>
        <v>0</v>
      </c>
      <c r="AO138" s="229">
        <f>CHOOSE(m_identity,ENWL!AO138, NPgN!AO138, NPgY!AO138, WMID!AO138, EMID!AO138, SWALES!AO138, SWEST!AO138, LPN!AO138,SPN!AO138,EPN!AO138,SPD!AO138,SPMW!AO138,SSEH!AO138,SSES!AO138)</f>
        <v>0</v>
      </c>
      <c r="AP138" s="229">
        <f>CHOOSE(m_identity,ENWL!AP138, NPgN!AP138, NPgY!AP138, WMID!AP138, EMID!AP138, SWALES!AP138, SWEST!AP138, LPN!AP138,SPN!AP138,EPN!AP138,SPD!AP138,SPMW!AP138,SSEH!AP138,SSES!AP138)</f>
        <v>0</v>
      </c>
      <c r="AQ138" s="229">
        <f>CHOOSE(m_identity,ENWL!AQ138, NPgN!AQ138, NPgY!AQ138, WMID!AQ138, EMID!AQ138, SWALES!AQ138, SWEST!AQ138, LPN!AQ138,SPN!AQ138,EPN!AQ138,SPD!AQ138,SPMW!AQ138,SSEH!AQ138,SSES!AQ138)</f>
        <v>0</v>
      </c>
    </row>
    <row r="139" spans="5:43" s="98" customFormat="1" ht="15" customHeight="1">
      <c r="E139" s="249" t="s">
        <v>721</v>
      </c>
      <c r="G139" s="98" t="s">
        <v>47</v>
      </c>
      <c r="I139" s="156"/>
      <c r="AJ139" s="229">
        <f>CHOOSE(m_identity,ENWL!AJ139, NPgN!AJ139, NPgY!AJ139, WMID!AJ139, EMID!AJ139, SWALES!AJ139, SWEST!AJ139, LPN!AJ139,SPN!AJ139,EPN!AJ139,SPD!AJ139,SPMW!AJ139,SSEH!AJ139,SSES!AJ139)</f>
        <v>0</v>
      </c>
      <c r="AK139" s="229">
        <f>CHOOSE(m_identity,ENWL!AK139, NPgN!AK139, NPgY!AK139, WMID!AK139, EMID!AK139, SWALES!AK139, SWEST!AK139, LPN!AK139,SPN!AK139,EPN!AK139,SPD!AK139,SPMW!AK139,SSEH!AK139,SSES!AK139)</f>
        <v>0</v>
      </c>
      <c r="AL139" s="229">
        <f>CHOOSE(m_identity,ENWL!AL139, NPgN!AL139, NPgY!AL139, WMID!AL139, EMID!AL139, SWALES!AL139, SWEST!AL139, LPN!AL139,SPN!AL139,EPN!AL139,SPD!AL139,SPMW!AL139,SSEH!AL139,SSES!AL139)</f>
        <v>0</v>
      </c>
      <c r="AM139" s="229">
        <f>CHOOSE(m_identity,ENWL!AM139, NPgN!AM139, NPgY!AM139, WMID!AM139, EMID!AM139, SWALES!AM139, SWEST!AM139, LPN!AM139,SPN!AM139,EPN!AM139,SPD!AM139,SPMW!AM139,SSEH!AM139,SSES!AM139)</f>
        <v>0</v>
      </c>
      <c r="AN139" s="229">
        <f>CHOOSE(m_identity,ENWL!AN139, NPgN!AN139, NPgY!AN139, WMID!AN139, EMID!AN139, SWALES!AN139, SWEST!AN139, LPN!AN139,SPN!AN139,EPN!AN139,SPD!AN139,SPMW!AN139,SSEH!AN139,SSES!AN139)</f>
        <v>0</v>
      </c>
      <c r="AO139" s="229">
        <f>CHOOSE(m_identity,ENWL!AO139, NPgN!AO139, NPgY!AO139, WMID!AO139, EMID!AO139, SWALES!AO139, SWEST!AO139, LPN!AO139,SPN!AO139,EPN!AO139,SPD!AO139,SPMW!AO139,SSEH!AO139,SSES!AO139)</f>
        <v>0</v>
      </c>
      <c r="AP139" s="229">
        <f>CHOOSE(m_identity,ENWL!AP139, NPgN!AP139, NPgY!AP139, WMID!AP139, EMID!AP139, SWALES!AP139, SWEST!AP139, LPN!AP139,SPN!AP139,EPN!AP139,SPD!AP139,SPMW!AP139,SSEH!AP139,SSES!AP139)</f>
        <v>0</v>
      </c>
      <c r="AQ139" s="229">
        <f>CHOOSE(m_identity,ENWL!AQ139, NPgN!AQ139, NPgY!AQ139, WMID!AQ139, EMID!AQ139, SWALES!AQ139, SWEST!AQ139, LPN!AQ139,SPN!AQ139,EPN!AQ139,SPD!AQ139,SPMW!AQ139,SSEH!AQ139,SSES!AQ139)</f>
        <v>0</v>
      </c>
    </row>
    <row r="140" spans="5:43" s="98" customFormat="1" ht="15" customHeight="1">
      <c r="E140" s="249" t="s">
        <v>703</v>
      </c>
      <c r="G140" s="98" t="s">
        <v>47</v>
      </c>
      <c r="I140" s="156"/>
      <c r="AJ140" s="229">
        <f>CHOOSE(m_identity,ENWL!AJ140, NPgN!AJ140, NPgY!AJ140, WMID!AJ140, EMID!AJ140, SWALES!AJ140, SWEST!AJ140, LPN!AJ140,SPN!AJ140,EPN!AJ140,SPD!AJ140,SPMW!AJ140,SSEH!AJ140,SSES!AJ140)</f>
        <v>0</v>
      </c>
      <c r="AK140" s="229">
        <f>CHOOSE(m_identity,ENWL!AK140, NPgN!AK140, NPgY!AK140, WMID!AK140, EMID!AK140, SWALES!AK140, SWEST!AK140, LPN!AK140,SPN!AK140,EPN!AK140,SPD!AK140,SPMW!AK140,SSEH!AK140,SSES!AK140)</f>
        <v>0</v>
      </c>
      <c r="AL140" s="229">
        <f>CHOOSE(m_identity,ENWL!AL140, NPgN!AL140, NPgY!AL140, WMID!AL140, EMID!AL140, SWALES!AL140, SWEST!AL140, LPN!AL140,SPN!AL140,EPN!AL140,SPD!AL140,SPMW!AL140,SSEH!AL140,SSES!AL140)</f>
        <v>0</v>
      </c>
      <c r="AM140" s="229">
        <f>CHOOSE(m_identity,ENWL!AM140, NPgN!AM140, NPgY!AM140, WMID!AM140, EMID!AM140, SWALES!AM140, SWEST!AM140, LPN!AM140,SPN!AM140,EPN!AM140,SPD!AM140,SPMW!AM140,SSEH!AM140,SSES!AM140)</f>
        <v>0</v>
      </c>
      <c r="AN140" s="229">
        <f>CHOOSE(m_identity,ENWL!AN140, NPgN!AN140, NPgY!AN140, WMID!AN140, EMID!AN140, SWALES!AN140, SWEST!AN140, LPN!AN140,SPN!AN140,EPN!AN140,SPD!AN140,SPMW!AN140,SSEH!AN140,SSES!AN140)</f>
        <v>0</v>
      </c>
      <c r="AO140" s="229">
        <f>CHOOSE(m_identity,ENWL!AO140, NPgN!AO140, NPgY!AO140, WMID!AO140, EMID!AO140, SWALES!AO140, SWEST!AO140, LPN!AO140,SPN!AO140,EPN!AO140,SPD!AO140,SPMW!AO140,SSEH!AO140,SSES!AO140)</f>
        <v>0</v>
      </c>
      <c r="AP140" s="229">
        <f>CHOOSE(m_identity,ENWL!AP140, NPgN!AP140, NPgY!AP140, WMID!AP140, EMID!AP140, SWALES!AP140, SWEST!AP140, LPN!AP140,SPN!AP140,EPN!AP140,SPD!AP140,SPMW!AP140,SSEH!AP140,SSES!AP140)</f>
        <v>0</v>
      </c>
      <c r="AQ140" s="229">
        <f>CHOOSE(m_identity,ENWL!AQ140, NPgN!AQ140, NPgY!AQ140, WMID!AQ140, EMID!AQ140, SWALES!AQ140, SWEST!AQ140, LPN!AQ140,SPN!AQ140,EPN!AQ140,SPD!AQ140,SPMW!AQ140,SSEH!AQ140,SSES!AQ140)</f>
        <v>0</v>
      </c>
    </row>
    <row r="141" spans="5:43" s="98" customFormat="1" ht="15" customHeight="1">
      <c r="E141" s="249" t="s">
        <v>473</v>
      </c>
      <c r="G141" s="98" t="s">
        <v>47</v>
      </c>
      <c r="I141" s="156"/>
      <c r="AJ141" s="229">
        <f>CHOOSE(m_identity,ENWL!AJ141, NPgN!AJ141, NPgY!AJ141, WMID!AJ141, EMID!AJ141, SWALES!AJ141, SWEST!AJ141, LPN!AJ141,SPN!AJ141,EPN!AJ141,SPD!AJ141,SPMW!AJ141,SSEH!AJ141,SSES!AJ141)</f>
        <v>0</v>
      </c>
      <c r="AK141" s="229">
        <f>CHOOSE(m_identity,ENWL!AK141, NPgN!AK141, NPgY!AK141, WMID!AK141, EMID!AK141, SWALES!AK141, SWEST!AK141, LPN!AK141,SPN!AK141,EPN!AK141,SPD!AK141,SPMW!AK141,SSEH!AK141,SSES!AK141)</f>
        <v>0</v>
      </c>
      <c r="AL141" s="229">
        <f>CHOOSE(m_identity,ENWL!AL141, NPgN!AL141, NPgY!AL141, WMID!AL141, EMID!AL141, SWALES!AL141, SWEST!AL141, LPN!AL141,SPN!AL141,EPN!AL141,SPD!AL141,SPMW!AL141,SSEH!AL141,SSES!AL141)</f>
        <v>0</v>
      </c>
      <c r="AM141" s="229">
        <f>CHOOSE(m_identity,ENWL!AM141, NPgN!AM141, NPgY!AM141, WMID!AM141, EMID!AM141, SWALES!AM141, SWEST!AM141, LPN!AM141,SPN!AM141,EPN!AM141,SPD!AM141,SPMW!AM141,SSEH!AM141,SSES!AM141)</f>
        <v>0</v>
      </c>
      <c r="AN141" s="229">
        <f>CHOOSE(m_identity,ENWL!AN141, NPgN!AN141, NPgY!AN141, WMID!AN141, EMID!AN141, SWALES!AN141, SWEST!AN141, LPN!AN141,SPN!AN141,EPN!AN141,SPD!AN141,SPMW!AN141,SSEH!AN141,SSES!AN141)</f>
        <v>0</v>
      </c>
      <c r="AO141" s="229">
        <f>CHOOSE(m_identity,ENWL!AO141, NPgN!AO141, NPgY!AO141, WMID!AO141, EMID!AO141, SWALES!AO141, SWEST!AO141, LPN!AO141,SPN!AO141,EPN!AO141,SPD!AO141,SPMW!AO141,SSEH!AO141,SSES!AO141)</f>
        <v>0</v>
      </c>
      <c r="AP141" s="229">
        <f>CHOOSE(m_identity,ENWL!AP141, NPgN!AP141, NPgY!AP141, WMID!AP141, EMID!AP141, SWALES!AP141, SWEST!AP141, LPN!AP141,SPN!AP141,EPN!AP141,SPD!AP141,SPMW!AP141,SSEH!AP141,SSES!AP141)</f>
        <v>0</v>
      </c>
      <c r="AQ141" s="229">
        <f>CHOOSE(m_identity,ENWL!AQ141, NPgN!AQ141, NPgY!AQ141, WMID!AQ141, EMID!AQ141, SWALES!AQ141, SWEST!AQ141, LPN!AQ141,SPN!AQ141,EPN!AQ141,SPD!AQ141,SPMW!AQ141,SSEH!AQ141,SSES!AQ141)</f>
        <v>0</v>
      </c>
    </row>
    <row r="142" spans="5:43" ht="15" customHeight="1"/>
    <row r="143" spans="5:43" s="98" customFormat="1" ht="15" customHeight="1">
      <c r="E143" s="152" t="str">
        <f>E23</f>
        <v xml:space="preserve">Allowed Expenditure - Smart Meter Roll-out costs                               </v>
      </c>
      <c r="G143" s="98" t="s">
        <v>657</v>
      </c>
      <c r="I143" s="58"/>
      <c r="AJ143" s="213">
        <f t="shared" ref="AJ143:AQ143" si="6">AJ23</f>
        <v>1.2550932743566807</v>
      </c>
      <c r="AK143" s="213">
        <f t="shared" si="6"/>
        <v>2.3971371281907183</v>
      </c>
      <c r="AL143" s="213">
        <f t="shared" si="6"/>
        <v>3.4016662363092602</v>
      </c>
      <c r="AM143" s="213">
        <f t="shared" si="6"/>
        <v>3.7877373888249091</v>
      </c>
      <c r="AN143" s="213">
        <f t="shared" si="6"/>
        <v>3.5918771334728357</v>
      </c>
      <c r="AO143" s="213">
        <f t="shared" si="6"/>
        <v>2.5231788834817466</v>
      </c>
      <c r="AP143" s="213">
        <f t="shared" si="6"/>
        <v>0</v>
      </c>
      <c r="AQ143" s="213">
        <f t="shared" si="6"/>
        <v>0</v>
      </c>
    </row>
    <row r="144" spans="5:43" s="98" customFormat="1" ht="15" customHeight="1">
      <c r="E144" s="249" t="s">
        <v>471</v>
      </c>
      <c r="G144" s="98" t="s">
        <v>47</v>
      </c>
      <c r="I144" s="156"/>
      <c r="AJ144" s="229">
        <f>CHOOSE(m_identity,ENWL!AJ144, NPgN!AJ144, NPgY!AJ144, WMID!AJ144, EMID!AJ144, SWALES!AJ144, SWEST!AJ144, LPN!AJ144,SPN!AJ144,EPN!AJ144,SPD!AJ144,SPMW!AJ144,SSEH!AJ144,SSES!AJ144)</f>
        <v>0</v>
      </c>
      <c r="AK144" s="229">
        <f>CHOOSE(m_identity,ENWL!AK144, NPgN!AK144, NPgY!AK144, WMID!AK144, EMID!AK144, SWALES!AK144, SWEST!AK144, LPN!AK144,SPN!AK144,EPN!AK144,SPD!AK144,SPMW!AK144,SSEH!AK144,SSES!AK144)</f>
        <v>0</v>
      </c>
      <c r="AL144" s="229">
        <f>CHOOSE(m_identity,ENWL!AL144, NPgN!AL144, NPgY!AL144, WMID!AL144, EMID!AL144, SWALES!AL144, SWEST!AL144, LPN!AL144,SPN!AL144,EPN!AL144,SPD!AL144,SPMW!AL144,SSEH!AL144,SSES!AL144)</f>
        <v>0</v>
      </c>
      <c r="AM144" s="229">
        <f>CHOOSE(m_identity,ENWL!AM144, NPgN!AM144, NPgY!AM144, WMID!AM144, EMID!AM144, SWALES!AM144, SWEST!AM144, LPN!AM144,SPN!AM144,EPN!AM144,SPD!AM144,SPMW!AM144,SSEH!AM144,SSES!AM144)</f>
        <v>0</v>
      </c>
      <c r="AN144" s="229">
        <f>CHOOSE(m_identity,ENWL!AN144, NPgN!AN144, NPgY!AN144, WMID!AN144, EMID!AN144, SWALES!AN144, SWEST!AN144, LPN!AN144,SPN!AN144,EPN!AN144,SPD!AN144,SPMW!AN144,SSEH!AN144,SSES!AN144)</f>
        <v>0</v>
      </c>
      <c r="AO144" s="229">
        <f>CHOOSE(m_identity,ENWL!AO144, NPgN!AO144, NPgY!AO144, WMID!AO144, EMID!AO144, SWALES!AO144, SWEST!AO144, LPN!AO144,SPN!AO144,EPN!AO144,SPD!AO144,SPMW!AO144,SSEH!AO144,SSES!AO144)</f>
        <v>0</v>
      </c>
      <c r="AP144" s="229">
        <f>CHOOSE(m_identity,ENWL!AP144, NPgN!AP144, NPgY!AP144, WMID!AP144, EMID!AP144, SWALES!AP144, SWEST!AP144, LPN!AP144,SPN!AP144,EPN!AP144,SPD!AP144,SPMW!AP144,SSEH!AP144,SSES!AP144)</f>
        <v>0</v>
      </c>
      <c r="AQ144" s="229">
        <f>CHOOSE(m_identity,ENWL!AQ144, NPgN!AQ144, NPgY!AQ144, WMID!AQ144, EMID!AQ144, SWALES!AQ144, SWEST!AQ144, LPN!AQ144,SPN!AQ144,EPN!AQ144,SPD!AQ144,SPMW!AQ144,SSEH!AQ144,SSES!AQ144)</f>
        <v>0</v>
      </c>
    </row>
    <row r="145" spans="5:43" s="98" customFormat="1" ht="15" customHeight="1">
      <c r="E145" s="249" t="s">
        <v>544</v>
      </c>
      <c r="G145" s="98" t="s">
        <v>47</v>
      </c>
      <c r="I145" s="156"/>
      <c r="AJ145" s="229">
        <f>CHOOSE(m_identity,ENWL!AJ145, NPgN!AJ145, NPgY!AJ145, WMID!AJ145, EMID!AJ145, SWALES!AJ145, SWEST!AJ145, LPN!AJ145,SPN!AJ145,EPN!AJ145,SPD!AJ145,SPMW!AJ145,SSEH!AJ145,SSES!AJ145)</f>
        <v>0</v>
      </c>
      <c r="AK145" s="229">
        <f>CHOOSE(m_identity,ENWL!AK145, NPgN!AK145, NPgY!AK145, WMID!AK145, EMID!AK145, SWALES!AK145, SWEST!AK145, LPN!AK145,SPN!AK145,EPN!AK145,SPD!AK145,SPMW!AK145,SSEH!AK145,SSES!AK145)</f>
        <v>0</v>
      </c>
      <c r="AL145" s="229">
        <f>CHOOSE(m_identity,ENWL!AL145, NPgN!AL145, NPgY!AL145, WMID!AL145, EMID!AL145, SWALES!AL145, SWEST!AL145, LPN!AL145,SPN!AL145,EPN!AL145,SPD!AL145,SPMW!AL145,SSEH!AL145,SSES!AL145)</f>
        <v>0</v>
      </c>
      <c r="AM145" s="229">
        <f>CHOOSE(m_identity,ENWL!AM145, NPgN!AM145, NPgY!AM145, WMID!AM145, EMID!AM145, SWALES!AM145, SWEST!AM145, LPN!AM145,SPN!AM145,EPN!AM145,SPD!AM145,SPMW!AM145,SSEH!AM145,SSES!AM145)</f>
        <v>0</v>
      </c>
      <c r="AN145" s="229">
        <f>CHOOSE(m_identity,ENWL!AN145, NPgN!AN145, NPgY!AN145, WMID!AN145, EMID!AN145, SWALES!AN145, SWEST!AN145, LPN!AN145,SPN!AN145,EPN!AN145,SPD!AN145,SPMW!AN145,SSEH!AN145,SSES!AN145)</f>
        <v>0</v>
      </c>
      <c r="AO145" s="229">
        <f>CHOOSE(m_identity,ENWL!AO145, NPgN!AO145, NPgY!AO145, WMID!AO145, EMID!AO145, SWALES!AO145, SWEST!AO145, LPN!AO145,SPN!AO145,EPN!AO145,SPD!AO145,SPMW!AO145,SSEH!AO145,SSES!AO145)</f>
        <v>0</v>
      </c>
      <c r="AP145" s="229">
        <f>CHOOSE(m_identity,ENWL!AP145, NPgN!AP145, NPgY!AP145, WMID!AP145, EMID!AP145, SWALES!AP145, SWEST!AP145, LPN!AP145,SPN!AP145,EPN!AP145,SPD!AP145,SPMW!AP145,SSEH!AP145,SSES!AP145)</f>
        <v>0</v>
      </c>
      <c r="AQ145" s="229">
        <f>CHOOSE(m_identity,ENWL!AQ145, NPgN!AQ145, NPgY!AQ145, WMID!AQ145, EMID!AQ145, SWALES!AQ145, SWEST!AQ145, LPN!AQ145,SPN!AQ145,EPN!AQ145,SPD!AQ145,SPMW!AQ145,SSEH!AQ145,SSES!AQ145)</f>
        <v>0</v>
      </c>
    </row>
    <row r="146" spans="5:43" s="98" customFormat="1" ht="15" customHeight="1">
      <c r="E146" s="249" t="s">
        <v>472</v>
      </c>
      <c r="G146" s="98" t="s">
        <v>47</v>
      </c>
      <c r="I146" s="156"/>
      <c r="AJ146" s="229">
        <f>CHOOSE(m_identity,ENWL!AJ146, NPgN!AJ146, NPgY!AJ146, WMID!AJ146, EMID!AJ146, SWALES!AJ146, SWEST!AJ146, LPN!AJ146,SPN!AJ146,EPN!AJ146,SPD!AJ146,SPMW!AJ146,SSEH!AJ146,SSES!AJ146)</f>
        <v>0</v>
      </c>
      <c r="AK146" s="229">
        <f>CHOOSE(m_identity,ENWL!AK146, NPgN!AK146, NPgY!AK146, WMID!AK146, EMID!AK146, SWALES!AK146, SWEST!AK146, LPN!AK146,SPN!AK146,EPN!AK146,SPD!AK146,SPMW!AK146,SSEH!AK146,SSES!AK146)</f>
        <v>0</v>
      </c>
      <c r="AL146" s="229">
        <f>CHOOSE(m_identity,ENWL!AL146, NPgN!AL146, NPgY!AL146, WMID!AL146, EMID!AL146, SWALES!AL146, SWEST!AL146, LPN!AL146,SPN!AL146,EPN!AL146,SPD!AL146,SPMW!AL146,SSEH!AL146,SSES!AL146)</f>
        <v>0</v>
      </c>
      <c r="AM146" s="229">
        <f>CHOOSE(m_identity,ENWL!AM146, NPgN!AM146, NPgY!AM146, WMID!AM146, EMID!AM146, SWALES!AM146, SWEST!AM146, LPN!AM146,SPN!AM146,EPN!AM146,SPD!AM146,SPMW!AM146,SSEH!AM146,SSES!AM146)</f>
        <v>0</v>
      </c>
      <c r="AN146" s="229">
        <f>CHOOSE(m_identity,ENWL!AN146, NPgN!AN146, NPgY!AN146, WMID!AN146, EMID!AN146, SWALES!AN146, SWEST!AN146, LPN!AN146,SPN!AN146,EPN!AN146,SPD!AN146,SPMW!AN146,SSEH!AN146,SSES!AN146)</f>
        <v>0</v>
      </c>
      <c r="AO146" s="229">
        <f>CHOOSE(m_identity,ENWL!AO146, NPgN!AO146, NPgY!AO146, WMID!AO146, EMID!AO146, SWALES!AO146, SWEST!AO146, LPN!AO146,SPN!AO146,EPN!AO146,SPD!AO146,SPMW!AO146,SSEH!AO146,SSES!AO146)</f>
        <v>0</v>
      </c>
      <c r="AP146" s="229">
        <f>CHOOSE(m_identity,ENWL!AP146, NPgN!AP146, NPgY!AP146, WMID!AP146, EMID!AP146, SWALES!AP146, SWEST!AP146, LPN!AP146,SPN!AP146,EPN!AP146,SPD!AP146,SPMW!AP146,SSEH!AP146,SSES!AP146)</f>
        <v>0</v>
      </c>
      <c r="AQ146" s="229">
        <f>CHOOSE(m_identity,ENWL!AQ146, NPgN!AQ146, NPgY!AQ146, WMID!AQ146, EMID!AQ146, SWALES!AQ146, SWEST!AQ146, LPN!AQ146,SPN!AQ146,EPN!AQ146,SPD!AQ146,SPMW!AQ146,SSEH!AQ146,SSES!AQ146)</f>
        <v>0</v>
      </c>
    </row>
    <row r="147" spans="5:43" s="98" customFormat="1" ht="15" customHeight="1">
      <c r="E147" s="249" t="s">
        <v>572</v>
      </c>
      <c r="G147" s="98" t="s">
        <v>47</v>
      </c>
      <c r="I147" s="156"/>
      <c r="AJ147" s="229">
        <f>CHOOSE(m_identity,ENWL!AJ147, NPgN!AJ147, NPgY!AJ147, WMID!AJ147, EMID!AJ147, SWALES!AJ147, SWEST!AJ147, LPN!AJ147,SPN!AJ147,EPN!AJ147,SPD!AJ147,SPMW!AJ147,SSEH!AJ147,SSES!AJ147)</f>
        <v>0</v>
      </c>
      <c r="AK147" s="229">
        <f>CHOOSE(m_identity,ENWL!AK147, NPgN!AK147, NPgY!AK147, WMID!AK147, EMID!AK147, SWALES!AK147, SWEST!AK147, LPN!AK147,SPN!AK147,EPN!AK147,SPD!AK147,SPMW!AK147,SSEH!AK147,SSES!AK147)</f>
        <v>0</v>
      </c>
      <c r="AL147" s="229">
        <f>CHOOSE(m_identity,ENWL!AL147, NPgN!AL147, NPgY!AL147, WMID!AL147, EMID!AL147, SWALES!AL147, SWEST!AL147, LPN!AL147,SPN!AL147,EPN!AL147,SPD!AL147,SPMW!AL147,SSEH!AL147,SSES!AL147)</f>
        <v>0</v>
      </c>
      <c r="AM147" s="229">
        <f>CHOOSE(m_identity,ENWL!AM147, NPgN!AM147, NPgY!AM147, WMID!AM147, EMID!AM147, SWALES!AM147, SWEST!AM147, LPN!AM147,SPN!AM147,EPN!AM147,SPD!AM147,SPMW!AM147,SSEH!AM147,SSES!AM147)</f>
        <v>0</v>
      </c>
      <c r="AN147" s="229">
        <f>CHOOSE(m_identity,ENWL!AN147, NPgN!AN147, NPgY!AN147, WMID!AN147, EMID!AN147, SWALES!AN147, SWEST!AN147, LPN!AN147,SPN!AN147,EPN!AN147,SPD!AN147,SPMW!AN147,SSEH!AN147,SSES!AN147)</f>
        <v>0</v>
      </c>
      <c r="AO147" s="229">
        <f>CHOOSE(m_identity,ENWL!AO147, NPgN!AO147, NPgY!AO147, WMID!AO147, EMID!AO147, SWALES!AO147, SWEST!AO147, LPN!AO147,SPN!AO147,EPN!AO147,SPD!AO147,SPMW!AO147,SSEH!AO147,SSES!AO147)</f>
        <v>0</v>
      </c>
      <c r="AP147" s="229">
        <f>CHOOSE(m_identity,ENWL!AP147, NPgN!AP147, NPgY!AP147, WMID!AP147, EMID!AP147, SWALES!AP147, SWEST!AP147, LPN!AP147,SPN!AP147,EPN!AP147,SPD!AP147,SPMW!AP147,SSEH!AP147,SSES!AP147)</f>
        <v>0</v>
      </c>
      <c r="AQ147" s="229">
        <f>CHOOSE(m_identity,ENWL!AQ147, NPgN!AQ147, NPgY!AQ147, WMID!AQ147, EMID!AQ147, SWALES!AQ147, SWEST!AQ147, LPN!AQ147,SPN!AQ147,EPN!AQ147,SPD!AQ147,SPMW!AQ147,SSEH!AQ147,SSES!AQ147)</f>
        <v>0</v>
      </c>
    </row>
    <row r="148" spans="5:43" s="98" customFormat="1" ht="15" customHeight="1">
      <c r="E148" s="249" t="s">
        <v>721</v>
      </c>
      <c r="G148" s="98" t="s">
        <v>47</v>
      </c>
      <c r="I148" s="156"/>
      <c r="AJ148" s="229">
        <f>CHOOSE(m_identity,ENWL!AJ148, NPgN!AJ148, NPgY!AJ148, WMID!AJ148, EMID!AJ148, SWALES!AJ148, SWEST!AJ148, LPN!AJ148,SPN!AJ148,EPN!AJ148,SPD!AJ148,SPMW!AJ148,SSEH!AJ148,SSES!AJ148)</f>
        <v>0</v>
      </c>
      <c r="AK148" s="229">
        <f>CHOOSE(m_identity,ENWL!AK148, NPgN!AK148, NPgY!AK148, WMID!AK148, EMID!AK148, SWALES!AK148, SWEST!AK148, LPN!AK148,SPN!AK148,EPN!AK148,SPD!AK148,SPMW!AK148,SSEH!AK148,SSES!AK148)</f>
        <v>0</v>
      </c>
      <c r="AL148" s="229">
        <f>CHOOSE(m_identity,ENWL!AL148, NPgN!AL148, NPgY!AL148, WMID!AL148, EMID!AL148, SWALES!AL148, SWEST!AL148, LPN!AL148,SPN!AL148,EPN!AL148,SPD!AL148,SPMW!AL148,SSEH!AL148,SSES!AL148)</f>
        <v>0</v>
      </c>
      <c r="AM148" s="229">
        <f>CHOOSE(m_identity,ENWL!AM148, NPgN!AM148, NPgY!AM148, WMID!AM148, EMID!AM148, SWALES!AM148, SWEST!AM148, LPN!AM148,SPN!AM148,EPN!AM148,SPD!AM148,SPMW!AM148,SSEH!AM148,SSES!AM148)</f>
        <v>0</v>
      </c>
      <c r="AN148" s="229">
        <f>CHOOSE(m_identity,ENWL!AN148, NPgN!AN148, NPgY!AN148, WMID!AN148, EMID!AN148, SWALES!AN148, SWEST!AN148, LPN!AN148,SPN!AN148,EPN!AN148,SPD!AN148,SPMW!AN148,SSEH!AN148,SSES!AN148)</f>
        <v>0</v>
      </c>
      <c r="AO148" s="229">
        <f>CHOOSE(m_identity,ENWL!AO148, NPgN!AO148, NPgY!AO148, WMID!AO148, EMID!AO148, SWALES!AO148, SWEST!AO148, LPN!AO148,SPN!AO148,EPN!AO148,SPD!AO148,SPMW!AO148,SSEH!AO148,SSES!AO148)</f>
        <v>0</v>
      </c>
      <c r="AP148" s="229">
        <f>CHOOSE(m_identity,ENWL!AP148, NPgN!AP148, NPgY!AP148, WMID!AP148, EMID!AP148, SWALES!AP148, SWEST!AP148, LPN!AP148,SPN!AP148,EPN!AP148,SPD!AP148,SPMW!AP148,SSEH!AP148,SSES!AP148)</f>
        <v>0</v>
      </c>
      <c r="AQ148" s="229">
        <f>CHOOSE(m_identity,ENWL!AQ148, NPgN!AQ148, NPgY!AQ148, WMID!AQ148, EMID!AQ148, SWALES!AQ148, SWEST!AQ148, LPN!AQ148,SPN!AQ148,EPN!AQ148,SPD!AQ148,SPMW!AQ148,SSEH!AQ148,SSES!AQ148)</f>
        <v>0</v>
      </c>
    </row>
    <row r="149" spans="5:43" s="98" customFormat="1" ht="15" customHeight="1">
      <c r="E149" s="249" t="s">
        <v>703</v>
      </c>
      <c r="G149" s="98" t="s">
        <v>47</v>
      </c>
      <c r="I149" s="156"/>
      <c r="AJ149" s="229">
        <f>CHOOSE(m_identity,ENWL!AJ149, NPgN!AJ149, NPgY!AJ149, WMID!AJ149, EMID!AJ149, SWALES!AJ149, SWEST!AJ149, LPN!AJ149,SPN!AJ149,EPN!AJ149,SPD!AJ149,SPMW!AJ149,SSEH!AJ149,SSES!AJ149)</f>
        <v>3.9494470774091635E-2</v>
      </c>
      <c r="AK149" s="229">
        <f>CHOOSE(m_identity,ENWL!AK149, NPgN!AK149, NPgY!AK149, WMID!AK149, EMID!AK149, SWALES!AK149, SWEST!AK149, LPN!AK149,SPN!AK149,EPN!AK149,SPD!AK149,SPMW!AK149,SSEH!AK149,SSES!AK149)</f>
        <v>4.1525652471814459E-2</v>
      </c>
      <c r="AL149" s="229">
        <f>CHOOSE(m_identity,ENWL!AL149, NPgN!AL149, NPgY!AL149, WMID!AL149, EMID!AL149, SWALES!AL149, SWEST!AL149, LPN!AL149,SPN!AL149,EPN!AL149,SPD!AL149,SPMW!AL149,SSEH!AL149,SSES!AL149)</f>
        <v>3.6797173977038557E-2</v>
      </c>
      <c r="AM149" s="229">
        <f>CHOOSE(m_identity,ENWL!AM149, NPgN!AM149, NPgY!AM149, WMID!AM149, EMID!AM149, SWALES!AM149, SWEST!AM149, LPN!AM149,SPN!AM149,EPN!AM149,SPD!AM149,SPMW!AM149,SSEH!AM149,SSES!AM149)</f>
        <v>3.9793076004775163E-2</v>
      </c>
      <c r="AN149" s="229">
        <f>CHOOSE(m_identity,ENWL!AN149, NPgN!AN149, NPgY!AN149, WMID!AN149, EMID!AN149, SWALES!AN149, SWEST!AN149, LPN!AN149,SPN!AN149,EPN!AN149,SPD!AN149,SPMW!AN149,SSEH!AN149,SSES!AN149)</f>
        <v>4.0845070422535205E-2</v>
      </c>
      <c r="AO149" s="229">
        <f>CHOOSE(m_identity,ENWL!AO149, NPgN!AO149, NPgY!AO149, WMID!AO149, EMID!AO149, SWALES!AO149, SWEST!AO149, LPN!AO149,SPN!AO149,EPN!AO149,SPD!AO149,SPMW!AO149,SSEH!AO149,SSES!AO149)</f>
        <v>4.6427129592248699E-2</v>
      </c>
      <c r="AP149" s="229">
        <f>CHOOSE(m_identity,ENWL!AP149, NPgN!AP149, NPgY!AP149, WMID!AP149, EMID!AP149, SWALES!AP149, SWEST!AP149, LPN!AP149,SPN!AP149,EPN!AP149,SPD!AP149,SPMW!AP149,SSEH!AP149,SSES!AP149)</f>
        <v>0</v>
      </c>
      <c r="AQ149" s="229">
        <f>CHOOSE(m_identity,ENWL!AQ149, NPgN!AQ149, NPgY!AQ149, WMID!AQ149, EMID!AQ149, SWALES!AQ149, SWEST!AQ149, LPN!AQ149,SPN!AQ149,EPN!AQ149,SPD!AQ149,SPMW!AQ149,SSEH!AQ149,SSES!AQ149)</f>
        <v>0</v>
      </c>
    </row>
    <row r="150" spans="5:43" s="98" customFormat="1" ht="15" customHeight="1">
      <c r="E150" s="249" t="s">
        <v>473</v>
      </c>
      <c r="G150" s="98" t="s">
        <v>47</v>
      </c>
      <c r="I150" s="156"/>
      <c r="AJ150" s="229">
        <f>CHOOSE(m_identity,ENWL!AJ150, NPgN!AJ150, NPgY!AJ150, WMID!AJ150, EMID!AJ150, SWALES!AJ150, SWEST!AJ150, LPN!AJ150,SPN!AJ150,EPN!AJ150,SPD!AJ150,SPMW!AJ150,SSEH!AJ150,SSES!AJ150)</f>
        <v>0.96050552922590826</v>
      </c>
      <c r="AK150" s="229">
        <f>CHOOSE(m_identity,ENWL!AK150, NPgN!AK150, NPgY!AK150, WMID!AK150, EMID!AK150, SWALES!AK150, SWEST!AK150, LPN!AK150,SPN!AK150,EPN!AK150,SPD!AK150,SPMW!AK150,SSEH!AK150,SSES!AK150)</f>
        <v>0.9584743475281855</v>
      </c>
      <c r="AL150" s="229">
        <f>CHOOSE(m_identity,ENWL!AL150, NPgN!AL150, NPgY!AL150, WMID!AL150, EMID!AL150, SWALES!AL150, SWEST!AL150, LPN!AL150,SPN!AL150,EPN!AL150,SPD!AL150,SPMW!AL150,SSEH!AL150,SSES!AL150)</f>
        <v>0.96320282602296148</v>
      </c>
      <c r="AM150" s="229">
        <f>CHOOSE(m_identity,ENWL!AM150, NPgN!AM150, NPgY!AM150, WMID!AM150, EMID!AM150, SWALES!AM150, SWEST!AM150, LPN!AM150,SPN!AM150,EPN!AM150,SPD!AM150,SPMW!AM150,SSEH!AM150,SSES!AM150)</f>
        <v>0.96020692399522478</v>
      </c>
      <c r="AN150" s="229">
        <f>CHOOSE(m_identity,ENWL!AN150, NPgN!AN150, NPgY!AN150, WMID!AN150, EMID!AN150, SWALES!AN150, SWEST!AN150, LPN!AN150,SPN!AN150,EPN!AN150,SPD!AN150,SPMW!AN150,SSEH!AN150,SSES!AN150)</f>
        <v>0.95915492957746484</v>
      </c>
      <c r="AO150" s="229">
        <f>CHOOSE(m_identity,ENWL!AO150, NPgN!AO150, NPgY!AO150, WMID!AO150, EMID!AO150, SWALES!AO150, SWEST!AO150, LPN!AO150,SPN!AO150,EPN!AO150,SPD!AO150,SPMW!AO150,SSEH!AO150,SSES!AO150)</f>
        <v>0.95357287040775129</v>
      </c>
      <c r="AP150" s="229">
        <f>CHOOSE(m_identity,ENWL!AP150, NPgN!AP150, NPgY!AP150, WMID!AP150, EMID!AP150, SWALES!AP150, SWEST!AP150, LPN!AP150,SPN!AP150,EPN!AP150,SPD!AP150,SPMW!AP150,SSEH!AP150,SSES!AP150)</f>
        <v>0</v>
      </c>
      <c r="AQ150" s="229">
        <f>CHOOSE(m_identity,ENWL!AQ150, NPgN!AQ150, NPgY!AQ150, WMID!AQ150, EMID!AQ150, SWALES!AQ150, SWEST!AQ150, LPN!AQ150,SPN!AQ150,EPN!AQ150,SPD!AQ150,SPMW!AQ150,SSEH!AQ150,SSES!AQ150)</f>
        <v>0</v>
      </c>
    </row>
    <row r="151" spans="5:43" ht="15" customHeight="1"/>
    <row r="152" spans="5:43" s="98" customFormat="1" ht="15" customHeight="1">
      <c r="E152" s="152" t="str">
        <f>E24</f>
        <v>Allowed Expenditure - Specified Street Works</v>
      </c>
      <c r="G152" s="98" t="s">
        <v>657</v>
      </c>
      <c r="I152" s="58"/>
      <c r="AJ152" s="213">
        <f t="shared" ref="AJ152:AQ152" si="7">AJ24</f>
        <v>0</v>
      </c>
      <c r="AK152" s="213">
        <f t="shared" si="7"/>
        <v>0</v>
      </c>
      <c r="AL152" s="213">
        <f t="shared" si="7"/>
        <v>0</v>
      </c>
      <c r="AM152" s="213">
        <f t="shared" si="7"/>
        <v>0</v>
      </c>
      <c r="AN152" s="213">
        <f t="shared" si="7"/>
        <v>0</v>
      </c>
      <c r="AO152" s="213">
        <f t="shared" si="7"/>
        <v>0</v>
      </c>
      <c r="AP152" s="213">
        <f t="shared" si="7"/>
        <v>0</v>
      </c>
      <c r="AQ152" s="213">
        <f t="shared" si="7"/>
        <v>0</v>
      </c>
    </row>
    <row r="153" spans="5:43" s="98" customFormat="1" ht="15" customHeight="1">
      <c r="E153" s="249" t="s">
        <v>471</v>
      </c>
      <c r="G153" s="98" t="s">
        <v>47</v>
      </c>
      <c r="I153" s="156"/>
      <c r="AJ153" s="229">
        <f>CHOOSE(m_identity,ENWL!AJ153, NPgN!AJ153, NPgY!AJ153, WMID!AJ153, EMID!AJ153, SWALES!AJ153, SWEST!AJ153, LPN!AJ153,SPN!AJ153,EPN!AJ153,SPD!AJ153,SPMW!AJ153,SSEH!AJ153,SSES!AJ153)</f>
        <v>0.35</v>
      </c>
      <c r="AK153" s="229">
        <f>CHOOSE(m_identity,ENWL!AK153, NPgN!AK153, NPgY!AK153, WMID!AK153, EMID!AK153, SWALES!AK153, SWEST!AK153, LPN!AK153,SPN!AK153,EPN!AK153,SPD!AK153,SPMW!AK153,SSEH!AK153,SSES!AK153)</f>
        <v>0.35</v>
      </c>
      <c r="AL153" s="229">
        <f>CHOOSE(m_identity,ENWL!AL153, NPgN!AL153, NPgY!AL153, WMID!AL153, EMID!AL153, SWALES!AL153, SWEST!AL153, LPN!AL153,SPN!AL153,EPN!AL153,SPD!AL153,SPMW!AL153,SSEH!AL153,SSES!AL153)</f>
        <v>0.35</v>
      </c>
      <c r="AM153" s="229">
        <f>CHOOSE(m_identity,ENWL!AM153, NPgN!AM153, NPgY!AM153, WMID!AM153, EMID!AM153, SWALES!AM153, SWEST!AM153, LPN!AM153,SPN!AM153,EPN!AM153,SPD!AM153,SPMW!AM153,SSEH!AM153,SSES!AM153)</f>
        <v>0.35</v>
      </c>
      <c r="AN153" s="229">
        <f>CHOOSE(m_identity,ENWL!AN153, NPgN!AN153, NPgY!AN153, WMID!AN153, EMID!AN153, SWALES!AN153, SWEST!AN153, LPN!AN153,SPN!AN153,EPN!AN153,SPD!AN153,SPMW!AN153,SSEH!AN153,SSES!AN153)</f>
        <v>0.35</v>
      </c>
      <c r="AO153" s="229">
        <f>CHOOSE(m_identity,ENWL!AO153, NPgN!AO153, NPgY!AO153, WMID!AO153, EMID!AO153, SWALES!AO153, SWEST!AO153, LPN!AO153,SPN!AO153,EPN!AO153,SPD!AO153,SPMW!AO153,SSEH!AO153,SSES!AO153)</f>
        <v>0.35</v>
      </c>
      <c r="AP153" s="229">
        <f>CHOOSE(m_identity,ENWL!AP153, NPgN!AP153, NPgY!AP153, WMID!AP153, EMID!AP153, SWALES!AP153, SWEST!AP153, LPN!AP153,SPN!AP153,EPN!AP153,SPD!AP153,SPMW!AP153,SSEH!AP153,SSES!AP153)</f>
        <v>0.35</v>
      </c>
      <c r="AQ153" s="229">
        <f>CHOOSE(m_identity,ENWL!AQ153, NPgN!AQ153, NPgY!AQ153, WMID!AQ153, EMID!AQ153, SWALES!AQ153, SWEST!AQ153, LPN!AQ153,SPN!AQ153,EPN!AQ153,SPD!AQ153,SPMW!AQ153,SSEH!AQ153,SSES!AQ153)</f>
        <v>0.35</v>
      </c>
    </row>
    <row r="154" spans="5:43" s="98" customFormat="1" ht="15" customHeight="1">
      <c r="E154" s="249" t="s">
        <v>544</v>
      </c>
      <c r="G154" s="98" t="s">
        <v>47</v>
      </c>
      <c r="I154" s="156"/>
      <c r="AJ154" s="229">
        <f>CHOOSE(m_identity,ENWL!AJ154, NPgN!AJ154, NPgY!AJ154, WMID!AJ154, EMID!AJ154, SWALES!AJ154, SWEST!AJ154, LPN!AJ154,SPN!AJ154,EPN!AJ154,SPD!AJ154,SPMW!AJ154,SSEH!AJ154,SSES!AJ154)</f>
        <v>0</v>
      </c>
      <c r="AK154" s="229">
        <f>CHOOSE(m_identity,ENWL!AK154, NPgN!AK154, NPgY!AK154, WMID!AK154, EMID!AK154, SWALES!AK154, SWEST!AK154, LPN!AK154,SPN!AK154,EPN!AK154,SPD!AK154,SPMW!AK154,SSEH!AK154,SSES!AK154)</f>
        <v>0</v>
      </c>
      <c r="AL154" s="229">
        <f>CHOOSE(m_identity,ENWL!AL154, NPgN!AL154, NPgY!AL154, WMID!AL154, EMID!AL154, SWALES!AL154, SWEST!AL154, LPN!AL154,SPN!AL154,EPN!AL154,SPD!AL154,SPMW!AL154,SSEH!AL154,SSES!AL154)</f>
        <v>0</v>
      </c>
      <c r="AM154" s="229">
        <f>CHOOSE(m_identity,ENWL!AM154, NPgN!AM154, NPgY!AM154, WMID!AM154, EMID!AM154, SWALES!AM154, SWEST!AM154, LPN!AM154,SPN!AM154,EPN!AM154,SPD!AM154,SPMW!AM154,SSEH!AM154,SSES!AM154)</f>
        <v>0</v>
      </c>
      <c r="AN154" s="229">
        <f>CHOOSE(m_identity,ENWL!AN154, NPgN!AN154, NPgY!AN154, WMID!AN154, EMID!AN154, SWALES!AN154, SWEST!AN154, LPN!AN154,SPN!AN154,EPN!AN154,SPD!AN154,SPMW!AN154,SSEH!AN154,SSES!AN154)</f>
        <v>0</v>
      </c>
      <c r="AO154" s="229">
        <f>CHOOSE(m_identity,ENWL!AO154, NPgN!AO154, NPgY!AO154, WMID!AO154, EMID!AO154, SWALES!AO154, SWEST!AO154, LPN!AO154,SPN!AO154,EPN!AO154,SPD!AO154,SPMW!AO154,SSEH!AO154,SSES!AO154)</f>
        <v>0</v>
      </c>
      <c r="AP154" s="229">
        <f>CHOOSE(m_identity,ENWL!AP154, NPgN!AP154, NPgY!AP154, WMID!AP154, EMID!AP154, SWALES!AP154, SWEST!AP154, LPN!AP154,SPN!AP154,EPN!AP154,SPD!AP154,SPMW!AP154,SSEH!AP154,SSES!AP154)</f>
        <v>0</v>
      </c>
      <c r="AQ154" s="229">
        <f>CHOOSE(m_identity,ENWL!AQ154, NPgN!AQ154, NPgY!AQ154, WMID!AQ154, EMID!AQ154, SWALES!AQ154, SWEST!AQ154, LPN!AQ154,SPN!AQ154,EPN!AQ154,SPD!AQ154,SPMW!AQ154,SSEH!AQ154,SSES!AQ154)</f>
        <v>0</v>
      </c>
    </row>
    <row r="155" spans="5:43" s="98" customFormat="1" ht="15" customHeight="1">
      <c r="E155" s="249" t="s">
        <v>472</v>
      </c>
      <c r="G155" s="98" t="s">
        <v>47</v>
      </c>
      <c r="I155" s="156"/>
      <c r="AJ155" s="229">
        <f>CHOOSE(m_identity,ENWL!AJ155, NPgN!AJ155, NPgY!AJ155, WMID!AJ155, EMID!AJ155, SWALES!AJ155, SWEST!AJ155, LPN!AJ155,SPN!AJ155,EPN!AJ155,SPD!AJ155,SPMW!AJ155,SSEH!AJ155,SSES!AJ155)</f>
        <v>0</v>
      </c>
      <c r="AK155" s="229">
        <f>CHOOSE(m_identity,ENWL!AK155, NPgN!AK155, NPgY!AK155, WMID!AK155, EMID!AK155, SWALES!AK155, SWEST!AK155, LPN!AK155,SPN!AK155,EPN!AK155,SPD!AK155,SPMW!AK155,SSEH!AK155,SSES!AK155)</f>
        <v>0</v>
      </c>
      <c r="AL155" s="229">
        <f>CHOOSE(m_identity,ENWL!AL155, NPgN!AL155, NPgY!AL155, WMID!AL155, EMID!AL155, SWALES!AL155, SWEST!AL155, LPN!AL155,SPN!AL155,EPN!AL155,SPD!AL155,SPMW!AL155,SSEH!AL155,SSES!AL155)</f>
        <v>0</v>
      </c>
      <c r="AM155" s="229">
        <f>CHOOSE(m_identity,ENWL!AM155, NPgN!AM155, NPgY!AM155, WMID!AM155, EMID!AM155, SWALES!AM155, SWEST!AM155, LPN!AM155,SPN!AM155,EPN!AM155,SPD!AM155,SPMW!AM155,SSEH!AM155,SSES!AM155)</f>
        <v>0</v>
      </c>
      <c r="AN155" s="229">
        <f>CHOOSE(m_identity,ENWL!AN155, NPgN!AN155, NPgY!AN155, WMID!AN155, EMID!AN155, SWALES!AN155, SWEST!AN155, LPN!AN155,SPN!AN155,EPN!AN155,SPD!AN155,SPMW!AN155,SSEH!AN155,SSES!AN155)</f>
        <v>0</v>
      </c>
      <c r="AO155" s="229">
        <f>CHOOSE(m_identity,ENWL!AO155, NPgN!AO155, NPgY!AO155, WMID!AO155, EMID!AO155, SWALES!AO155, SWEST!AO155, LPN!AO155,SPN!AO155,EPN!AO155,SPD!AO155,SPMW!AO155,SSEH!AO155,SSES!AO155)</f>
        <v>0</v>
      </c>
      <c r="AP155" s="229">
        <f>CHOOSE(m_identity,ENWL!AP155, NPgN!AP155, NPgY!AP155, WMID!AP155, EMID!AP155, SWALES!AP155, SWEST!AP155, LPN!AP155,SPN!AP155,EPN!AP155,SPD!AP155,SPMW!AP155,SSEH!AP155,SSES!AP155)</f>
        <v>0</v>
      </c>
      <c r="AQ155" s="229">
        <f>CHOOSE(m_identity,ENWL!AQ155, NPgN!AQ155, NPgY!AQ155, WMID!AQ155, EMID!AQ155, SWALES!AQ155, SWEST!AQ155, LPN!AQ155,SPN!AQ155,EPN!AQ155,SPD!AQ155,SPMW!AQ155,SSEH!AQ155,SSES!AQ155)</f>
        <v>0</v>
      </c>
    </row>
    <row r="156" spans="5:43" s="98" customFormat="1" ht="15" customHeight="1">
      <c r="E156" s="249" t="s">
        <v>572</v>
      </c>
      <c r="G156" s="98" t="s">
        <v>47</v>
      </c>
      <c r="I156" s="156"/>
      <c r="AJ156" s="229">
        <f>CHOOSE(m_identity,ENWL!AJ156, NPgN!AJ156, NPgY!AJ156, WMID!AJ156, EMID!AJ156, SWALES!AJ156, SWEST!AJ156, LPN!AJ156,SPN!AJ156,EPN!AJ156,SPD!AJ156,SPMW!AJ156,SSEH!AJ156,SSES!AJ156)</f>
        <v>0.47</v>
      </c>
      <c r="AK156" s="229">
        <f>CHOOSE(m_identity,ENWL!AK156, NPgN!AK156, NPgY!AK156, WMID!AK156, EMID!AK156, SWALES!AK156, SWEST!AK156, LPN!AK156,SPN!AK156,EPN!AK156,SPD!AK156,SPMW!AK156,SSEH!AK156,SSES!AK156)</f>
        <v>0.47</v>
      </c>
      <c r="AL156" s="229">
        <f>CHOOSE(m_identity,ENWL!AL156, NPgN!AL156, NPgY!AL156, WMID!AL156, EMID!AL156, SWALES!AL156, SWEST!AL156, LPN!AL156,SPN!AL156,EPN!AL156,SPD!AL156,SPMW!AL156,SSEH!AL156,SSES!AL156)</f>
        <v>0.47</v>
      </c>
      <c r="AM156" s="229">
        <f>CHOOSE(m_identity,ENWL!AM156, NPgN!AM156, NPgY!AM156, WMID!AM156, EMID!AM156, SWALES!AM156, SWEST!AM156, LPN!AM156,SPN!AM156,EPN!AM156,SPD!AM156,SPMW!AM156,SSEH!AM156,SSES!AM156)</f>
        <v>0.47</v>
      </c>
      <c r="AN156" s="229">
        <f>CHOOSE(m_identity,ENWL!AN156, NPgN!AN156, NPgY!AN156, WMID!AN156, EMID!AN156, SWALES!AN156, SWEST!AN156, LPN!AN156,SPN!AN156,EPN!AN156,SPD!AN156,SPMW!AN156,SSEH!AN156,SSES!AN156)</f>
        <v>0.47</v>
      </c>
      <c r="AO156" s="229">
        <f>CHOOSE(m_identity,ENWL!AO156, NPgN!AO156, NPgY!AO156, WMID!AO156, EMID!AO156, SWALES!AO156, SWEST!AO156, LPN!AO156,SPN!AO156,EPN!AO156,SPD!AO156,SPMW!AO156,SSEH!AO156,SSES!AO156)</f>
        <v>0.47</v>
      </c>
      <c r="AP156" s="229">
        <f>CHOOSE(m_identity,ENWL!AP156, NPgN!AP156, NPgY!AP156, WMID!AP156, EMID!AP156, SWALES!AP156, SWEST!AP156, LPN!AP156,SPN!AP156,EPN!AP156,SPD!AP156,SPMW!AP156,SSEH!AP156,SSES!AP156)</f>
        <v>0.47</v>
      </c>
      <c r="AQ156" s="229">
        <f>CHOOSE(m_identity,ENWL!AQ156, NPgN!AQ156, NPgY!AQ156, WMID!AQ156, EMID!AQ156, SWALES!AQ156, SWEST!AQ156, LPN!AQ156,SPN!AQ156,EPN!AQ156,SPD!AQ156,SPMW!AQ156,SSEH!AQ156,SSES!AQ156)</f>
        <v>0.47</v>
      </c>
    </row>
    <row r="157" spans="5:43" s="98" customFormat="1" ht="15" customHeight="1">
      <c r="E157" s="249" t="s">
        <v>721</v>
      </c>
      <c r="G157" s="98" t="s">
        <v>47</v>
      </c>
      <c r="I157" s="156"/>
      <c r="AJ157" s="229">
        <f>CHOOSE(m_identity,ENWL!AJ157, NPgN!AJ157, NPgY!AJ157, WMID!AJ157, EMID!AJ157, SWALES!AJ157, SWEST!AJ157, LPN!AJ157,SPN!AJ157,EPN!AJ157,SPD!AJ157,SPMW!AJ157,SSEH!AJ157,SSES!AJ157)</f>
        <v>0</v>
      </c>
      <c r="AK157" s="229">
        <f>CHOOSE(m_identity,ENWL!AK157, NPgN!AK157, NPgY!AK157, WMID!AK157, EMID!AK157, SWALES!AK157, SWEST!AK157, LPN!AK157,SPN!AK157,EPN!AK157,SPD!AK157,SPMW!AK157,SSEH!AK157,SSES!AK157)</f>
        <v>0</v>
      </c>
      <c r="AL157" s="229">
        <f>CHOOSE(m_identity,ENWL!AL157, NPgN!AL157, NPgY!AL157, WMID!AL157, EMID!AL157, SWALES!AL157, SWEST!AL157, LPN!AL157,SPN!AL157,EPN!AL157,SPD!AL157,SPMW!AL157,SSEH!AL157,SSES!AL157)</f>
        <v>0</v>
      </c>
      <c r="AM157" s="229">
        <f>CHOOSE(m_identity,ENWL!AM157, NPgN!AM157, NPgY!AM157, WMID!AM157, EMID!AM157, SWALES!AM157, SWEST!AM157, LPN!AM157,SPN!AM157,EPN!AM157,SPD!AM157,SPMW!AM157,SSEH!AM157,SSES!AM157)</f>
        <v>0</v>
      </c>
      <c r="AN157" s="229">
        <f>CHOOSE(m_identity,ENWL!AN157, NPgN!AN157, NPgY!AN157, WMID!AN157, EMID!AN157, SWALES!AN157, SWEST!AN157, LPN!AN157,SPN!AN157,EPN!AN157,SPD!AN157,SPMW!AN157,SSEH!AN157,SSES!AN157)</f>
        <v>0</v>
      </c>
      <c r="AO157" s="229">
        <f>CHOOSE(m_identity,ENWL!AO157, NPgN!AO157, NPgY!AO157, WMID!AO157, EMID!AO157, SWALES!AO157, SWEST!AO157, LPN!AO157,SPN!AO157,EPN!AO157,SPD!AO157,SPMW!AO157,SSEH!AO157,SSES!AO157)</f>
        <v>0</v>
      </c>
      <c r="AP157" s="229">
        <f>CHOOSE(m_identity,ENWL!AP157, NPgN!AP157, NPgY!AP157, WMID!AP157, EMID!AP157, SWALES!AP157, SWEST!AP157, LPN!AP157,SPN!AP157,EPN!AP157,SPD!AP157,SPMW!AP157,SSEH!AP157,SSES!AP157)</f>
        <v>0</v>
      </c>
      <c r="AQ157" s="229">
        <f>CHOOSE(m_identity,ENWL!AQ157, NPgN!AQ157, NPgY!AQ157, WMID!AQ157, EMID!AQ157, SWALES!AQ157, SWEST!AQ157, LPN!AQ157,SPN!AQ157,EPN!AQ157,SPD!AQ157,SPMW!AQ157,SSEH!AQ157,SSES!AQ157)</f>
        <v>0</v>
      </c>
    </row>
    <row r="158" spans="5:43" s="98" customFormat="1" ht="15" customHeight="1">
      <c r="E158" s="249" t="s">
        <v>703</v>
      </c>
      <c r="G158" s="98" t="s">
        <v>47</v>
      </c>
      <c r="I158" s="156"/>
      <c r="AJ158" s="229">
        <f>CHOOSE(m_identity,ENWL!AJ158, NPgN!AJ158, NPgY!AJ158, WMID!AJ158, EMID!AJ158, SWALES!AJ158, SWEST!AJ158, LPN!AJ158,SPN!AJ158,EPN!AJ158,SPD!AJ158,SPMW!AJ158,SSEH!AJ158,SSES!AJ158)</f>
        <v>0.04</v>
      </c>
      <c r="AK158" s="229">
        <f>CHOOSE(m_identity,ENWL!AK158, NPgN!AK158, NPgY!AK158, WMID!AK158, EMID!AK158, SWALES!AK158, SWEST!AK158, LPN!AK158,SPN!AK158,EPN!AK158,SPD!AK158,SPMW!AK158,SSEH!AK158,SSES!AK158)</f>
        <v>0.04</v>
      </c>
      <c r="AL158" s="229">
        <f>CHOOSE(m_identity,ENWL!AL158, NPgN!AL158, NPgY!AL158, WMID!AL158, EMID!AL158, SWALES!AL158, SWEST!AL158, LPN!AL158,SPN!AL158,EPN!AL158,SPD!AL158,SPMW!AL158,SSEH!AL158,SSES!AL158)</f>
        <v>0.04</v>
      </c>
      <c r="AM158" s="229">
        <f>CHOOSE(m_identity,ENWL!AM158, NPgN!AM158, NPgY!AM158, WMID!AM158, EMID!AM158, SWALES!AM158, SWEST!AM158, LPN!AM158,SPN!AM158,EPN!AM158,SPD!AM158,SPMW!AM158,SSEH!AM158,SSES!AM158)</f>
        <v>0.04</v>
      </c>
      <c r="AN158" s="229">
        <f>CHOOSE(m_identity,ENWL!AN158, NPgN!AN158, NPgY!AN158, WMID!AN158, EMID!AN158, SWALES!AN158, SWEST!AN158, LPN!AN158,SPN!AN158,EPN!AN158,SPD!AN158,SPMW!AN158,SSEH!AN158,SSES!AN158)</f>
        <v>0.04</v>
      </c>
      <c r="AO158" s="229">
        <f>CHOOSE(m_identity,ENWL!AO158, NPgN!AO158, NPgY!AO158, WMID!AO158, EMID!AO158, SWALES!AO158, SWEST!AO158, LPN!AO158,SPN!AO158,EPN!AO158,SPD!AO158,SPMW!AO158,SSEH!AO158,SSES!AO158)</f>
        <v>0.04</v>
      </c>
      <c r="AP158" s="229">
        <f>CHOOSE(m_identity,ENWL!AP158, NPgN!AP158, NPgY!AP158, WMID!AP158, EMID!AP158, SWALES!AP158, SWEST!AP158, LPN!AP158,SPN!AP158,EPN!AP158,SPD!AP158,SPMW!AP158,SSEH!AP158,SSES!AP158)</f>
        <v>0.04</v>
      </c>
      <c r="AQ158" s="229">
        <f>CHOOSE(m_identity,ENWL!AQ158, NPgN!AQ158, NPgY!AQ158, WMID!AQ158, EMID!AQ158, SWALES!AQ158, SWEST!AQ158, LPN!AQ158,SPN!AQ158,EPN!AQ158,SPD!AQ158,SPMW!AQ158,SSEH!AQ158,SSES!AQ158)</f>
        <v>0.04</v>
      </c>
    </row>
    <row r="159" spans="5:43" s="98" customFormat="1" ht="15" customHeight="1">
      <c r="E159" s="249" t="s">
        <v>473</v>
      </c>
      <c r="G159" s="98" t="s">
        <v>47</v>
      </c>
      <c r="I159" s="156"/>
      <c r="AJ159" s="229">
        <f>CHOOSE(m_identity,ENWL!AJ159, NPgN!AJ159, NPgY!AJ159, WMID!AJ159, EMID!AJ159, SWALES!AJ159, SWEST!AJ159, LPN!AJ159,SPN!AJ159,EPN!AJ159,SPD!AJ159,SPMW!AJ159,SSEH!AJ159,SSES!AJ159)</f>
        <v>0.14000000000000001</v>
      </c>
      <c r="AK159" s="229">
        <f>CHOOSE(m_identity,ENWL!AK159, NPgN!AK159, NPgY!AK159, WMID!AK159, EMID!AK159, SWALES!AK159, SWEST!AK159, LPN!AK159,SPN!AK159,EPN!AK159,SPD!AK159,SPMW!AK159,SSEH!AK159,SSES!AK159)</f>
        <v>0.14000000000000001</v>
      </c>
      <c r="AL159" s="229">
        <f>CHOOSE(m_identity,ENWL!AL159, NPgN!AL159, NPgY!AL159, WMID!AL159, EMID!AL159, SWALES!AL159, SWEST!AL159, LPN!AL159,SPN!AL159,EPN!AL159,SPD!AL159,SPMW!AL159,SSEH!AL159,SSES!AL159)</f>
        <v>0.14000000000000001</v>
      </c>
      <c r="AM159" s="229">
        <f>CHOOSE(m_identity,ENWL!AM159, NPgN!AM159, NPgY!AM159, WMID!AM159, EMID!AM159, SWALES!AM159, SWEST!AM159, LPN!AM159,SPN!AM159,EPN!AM159,SPD!AM159,SPMW!AM159,SSEH!AM159,SSES!AM159)</f>
        <v>0.14000000000000001</v>
      </c>
      <c r="AN159" s="229">
        <f>CHOOSE(m_identity,ENWL!AN159, NPgN!AN159, NPgY!AN159, WMID!AN159, EMID!AN159, SWALES!AN159, SWEST!AN159, LPN!AN159,SPN!AN159,EPN!AN159,SPD!AN159,SPMW!AN159,SSEH!AN159,SSES!AN159)</f>
        <v>0.14000000000000001</v>
      </c>
      <c r="AO159" s="229">
        <f>CHOOSE(m_identity,ENWL!AO159, NPgN!AO159, NPgY!AO159, WMID!AO159, EMID!AO159, SWALES!AO159, SWEST!AO159, LPN!AO159,SPN!AO159,EPN!AO159,SPD!AO159,SPMW!AO159,SSEH!AO159,SSES!AO159)</f>
        <v>0.14000000000000001</v>
      </c>
      <c r="AP159" s="229">
        <f>CHOOSE(m_identity,ENWL!AP159, NPgN!AP159, NPgY!AP159, WMID!AP159, EMID!AP159, SWALES!AP159, SWEST!AP159, LPN!AP159,SPN!AP159,EPN!AP159,SPD!AP159,SPMW!AP159,SSEH!AP159,SSES!AP159)</f>
        <v>0.14000000000000001</v>
      </c>
      <c r="AQ159" s="229">
        <f>CHOOSE(m_identity,ENWL!AQ159, NPgN!AQ159, NPgY!AQ159, WMID!AQ159, EMID!AQ159, SWALES!AQ159, SWEST!AQ159, LPN!AQ159,SPN!AQ159,EPN!AQ159,SPD!AQ159,SPMW!AQ159,SSEH!AQ159,SSES!AQ159)</f>
        <v>0.14000000000000001</v>
      </c>
    </row>
    <row r="160" spans="5:43" ht="15" customHeight="1"/>
    <row r="161" spans="5:43" s="98" customFormat="1" ht="15" customHeight="1">
      <c r="E161" s="152" t="str">
        <f>E25</f>
        <v>Allowed Expenditure - Load Related</v>
      </c>
      <c r="G161" s="98" t="s">
        <v>657</v>
      </c>
      <c r="I161" s="58"/>
      <c r="AJ161" s="213">
        <f>AJ25</f>
        <v>25.832019863691382</v>
      </c>
      <c r="AK161" s="213">
        <f t="shared" ref="AK161:AQ161" si="8">AK25</f>
        <v>32.820003984751018</v>
      </c>
      <c r="AL161" s="213">
        <f t="shared" si="8"/>
        <v>26.241942606122297</v>
      </c>
      <c r="AM161" s="213">
        <f t="shared" si="8"/>
        <v>29.952919167105037</v>
      </c>
      <c r="AN161" s="213">
        <f t="shared" si="8"/>
        <v>18.265004942154651</v>
      </c>
      <c r="AO161" s="213">
        <f t="shared" si="8"/>
        <v>27.473887362664815</v>
      </c>
      <c r="AP161" s="213">
        <f t="shared" si="8"/>
        <v>38.740428934150096</v>
      </c>
      <c r="AQ161" s="213">
        <f t="shared" si="8"/>
        <v>33.809334586305127</v>
      </c>
    </row>
    <row r="162" spans="5:43" s="98" customFormat="1" ht="15" customHeight="1">
      <c r="E162" s="249" t="s">
        <v>471</v>
      </c>
      <c r="G162" s="98" t="s">
        <v>47</v>
      </c>
      <c r="I162" s="156"/>
      <c r="AJ162" s="229">
        <f>CHOOSE(m_identity,ENWL!AJ162, NPgN!AJ162, NPgY!AJ162, WMID!AJ162, EMID!AJ162, SWALES!AJ162, SWEST!AJ162, LPN!AJ162,SPN!AJ162,EPN!AJ162,SPD!AJ162,SPMW!AJ162,SSEH!AJ162,SSES!AJ162)</f>
        <v>0.98967522979111489</v>
      </c>
      <c r="AK162" s="229">
        <f>CHOOSE(m_identity,ENWL!AK162, NPgN!AK162, NPgY!AK162, WMID!AK162, EMID!AK162, SWALES!AK162, SWEST!AK162, LPN!AK162,SPN!AK162,EPN!AK162,SPD!AK162,SPMW!AK162,SSEH!AK162,SSES!AK162)</f>
        <v>0.98847178260626845</v>
      </c>
      <c r="AL162" s="229">
        <f>CHOOSE(m_identity,ENWL!AL162, NPgN!AL162, NPgY!AL162, WMID!AL162, EMID!AL162, SWALES!AL162, SWEST!AL162, LPN!AL162,SPN!AL162,EPN!AL162,SPD!AL162,SPMW!AL162,SSEH!AL162,SSES!AL162)</f>
        <v>0.98901128666532401</v>
      </c>
      <c r="AM162" s="229">
        <f>CHOOSE(m_identity,ENWL!AM162, NPgN!AM162, NPgY!AM162, WMID!AM162, EMID!AM162, SWALES!AM162, SWEST!AM162, LPN!AM162,SPN!AM162,EPN!AM162,SPD!AM162,SPMW!AM162,SSEH!AM162,SSES!AM162)</f>
        <v>0.98946430990098899</v>
      </c>
      <c r="AN162" s="229">
        <f>CHOOSE(m_identity,ENWL!AN162, NPgN!AN162, NPgY!AN162, WMID!AN162, EMID!AN162, SWALES!AN162, SWEST!AN162, LPN!AN162,SPN!AN162,EPN!AN162,SPD!AN162,SPMW!AN162,SSEH!AN162,SSES!AN162)</f>
        <v>0.98866486741848913</v>
      </c>
      <c r="AO162" s="229">
        <f>CHOOSE(m_identity,ENWL!AO162, NPgN!AO162, NPgY!AO162, WMID!AO162, EMID!AO162, SWALES!AO162, SWEST!AO162, LPN!AO162,SPN!AO162,EPN!AO162,SPD!AO162,SPMW!AO162,SSEH!AO162,SSES!AO162)</f>
        <v>0.98878112711370836</v>
      </c>
      <c r="AP162" s="229">
        <f>CHOOSE(m_identity,ENWL!AP162, NPgN!AP162, NPgY!AP162, WMID!AP162, EMID!AP162, SWALES!AP162, SWEST!AP162, LPN!AP162,SPN!AP162,EPN!AP162,SPD!AP162,SPMW!AP162,SSEH!AP162,SSES!AP162)</f>
        <v>0.98935621204915003</v>
      </c>
      <c r="AQ162" s="229">
        <f>CHOOSE(m_identity,ENWL!AQ162, NPgN!AQ162, NPgY!AQ162, WMID!AQ162, EMID!AQ162, SWALES!AQ162, SWEST!AQ162, LPN!AQ162,SPN!AQ162,EPN!AQ162,SPD!AQ162,SPMW!AQ162,SSEH!AQ162,SSES!AQ162)</f>
        <v>0.98924861954458043</v>
      </c>
    </row>
    <row r="163" spans="5:43" s="98" customFormat="1" ht="15" customHeight="1">
      <c r="E163" s="249" t="s">
        <v>544</v>
      </c>
      <c r="G163" s="98" t="s">
        <v>47</v>
      </c>
      <c r="I163" s="156"/>
      <c r="AJ163" s="229">
        <f>CHOOSE(m_identity,ENWL!AJ163, NPgN!AJ163, NPgY!AJ163, WMID!AJ163, EMID!AJ163, SWALES!AJ163, SWEST!AJ163, LPN!AJ163,SPN!AJ163,EPN!AJ163,SPD!AJ163,SPMW!AJ163,SSEH!AJ163,SSES!AJ163)</f>
        <v>0</v>
      </c>
      <c r="AK163" s="229">
        <f>CHOOSE(m_identity,ENWL!AK163, NPgN!AK163, NPgY!AK163, WMID!AK163, EMID!AK163, SWALES!AK163, SWEST!AK163, LPN!AK163,SPN!AK163,EPN!AK163,SPD!AK163,SPMW!AK163,SSEH!AK163,SSES!AK163)</f>
        <v>0</v>
      </c>
      <c r="AL163" s="229">
        <f>CHOOSE(m_identity,ENWL!AL163, NPgN!AL163, NPgY!AL163, WMID!AL163, EMID!AL163, SWALES!AL163, SWEST!AL163, LPN!AL163,SPN!AL163,EPN!AL163,SPD!AL163,SPMW!AL163,SSEH!AL163,SSES!AL163)</f>
        <v>0</v>
      </c>
      <c r="AM163" s="229">
        <f>CHOOSE(m_identity,ENWL!AM163, NPgN!AM163, NPgY!AM163, WMID!AM163, EMID!AM163, SWALES!AM163, SWEST!AM163, LPN!AM163,SPN!AM163,EPN!AM163,SPD!AM163,SPMW!AM163,SSEH!AM163,SSES!AM163)</f>
        <v>0</v>
      </c>
      <c r="AN163" s="229">
        <f>CHOOSE(m_identity,ENWL!AN163, NPgN!AN163, NPgY!AN163, WMID!AN163, EMID!AN163, SWALES!AN163, SWEST!AN163, LPN!AN163,SPN!AN163,EPN!AN163,SPD!AN163,SPMW!AN163,SSEH!AN163,SSES!AN163)</f>
        <v>0</v>
      </c>
      <c r="AO163" s="229">
        <f>CHOOSE(m_identity,ENWL!AO163, NPgN!AO163, NPgY!AO163, WMID!AO163, EMID!AO163, SWALES!AO163, SWEST!AO163, LPN!AO163,SPN!AO163,EPN!AO163,SPD!AO163,SPMW!AO163,SSEH!AO163,SSES!AO163)</f>
        <v>0</v>
      </c>
      <c r="AP163" s="229">
        <f>CHOOSE(m_identity,ENWL!AP163, NPgN!AP163, NPgY!AP163, WMID!AP163, EMID!AP163, SWALES!AP163, SWEST!AP163, LPN!AP163,SPN!AP163,EPN!AP163,SPD!AP163,SPMW!AP163,SSEH!AP163,SSES!AP163)</f>
        <v>0</v>
      </c>
      <c r="AQ163" s="229">
        <f>CHOOSE(m_identity,ENWL!AQ163, NPgN!AQ163, NPgY!AQ163, WMID!AQ163, EMID!AQ163, SWALES!AQ163, SWEST!AQ163, LPN!AQ163,SPN!AQ163,EPN!AQ163,SPD!AQ163,SPMW!AQ163,SSEH!AQ163,SSES!AQ163)</f>
        <v>0</v>
      </c>
    </row>
    <row r="164" spans="5:43" s="98" customFormat="1" ht="15" customHeight="1">
      <c r="E164" s="249" t="s">
        <v>472</v>
      </c>
      <c r="G164" s="98" t="s">
        <v>47</v>
      </c>
      <c r="I164" s="156"/>
      <c r="AJ164" s="229">
        <f>CHOOSE(m_identity,ENWL!AJ164, NPgN!AJ164, NPgY!AJ164, WMID!AJ164, EMID!AJ164, SWALES!AJ164, SWEST!AJ164, LPN!AJ164,SPN!AJ164,EPN!AJ164,SPD!AJ164,SPMW!AJ164,SSEH!AJ164,SSES!AJ164)</f>
        <v>0</v>
      </c>
      <c r="AK164" s="229">
        <f>CHOOSE(m_identity,ENWL!AK164, NPgN!AK164, NPgY!AK164, WMID!AK164, EMID!AK164, SWALES!AK164, SWEST!AK164, LPN!AK164,SPN!AK164,EPN!AK164,SPD!AK164,SPMW!AK164,SSEH!AK164,SSES!AK164)</f>
        <v>0</v>
      </c>
      <c r="AL164" s="229">
        <f>CHOOSE(m_identity,ENWL!AL164, NPgN!AL164, NPgY!AL164, WMID!AL164, EMID!AL164, SWALES!AL164, SWEST!AL164, LPN!AL164,SPN!AL164,EPN!AL164,SPD!AL164,SPMW!AL164,SSEH!AL164,SSES!AL164)</f>
        <v>0</v>
      </c>
      <c r="AM164" s="229">
        <f>CHOOSE(m_identity,ENWL!AM164, NPgN!AM164, NPgY!AM164, WMID!AM164, EMID!AM164, SWALES!AM164, SWEST!AM164, LPN!AM164,SPN!AM164,EPN!AM164,SPD!AM164,SPMW!AM164,SSEH!AM164,SSES!AM164)</f>
        <v>0</v>
      </c>
      <c r="AN164" s="229">
        <f>CHOOSE(m_identity,ENWL!AN164, NPgN!AN164, NPgY!AN164, WMID!AN164, EMID!AN164, SWALES!AN164, SWEST!AN164, LPN!AN164,SPN!AN164,EPN!AN164,SPD!AN164,SPMW!AN164,SSEH!AN164,SSES!AN164)</f>
        <v>0</v>
      </c>
      <c r="AO164" s="229">
        <f>CHOOSE(m_identity,ENWL!AO164, NPgN!AO164, NPgY!AO164, WMID!AO164, EMID!AO164, SWALES!AO164, SWEST!AO164, LPN!AO164,SPN!AO164,EPN!AO164,SPD!AO164,SPMW!AO164,SSEH!AO164,SSES!AO164)</f>
        <v>0</v>
      </c>
      <c r="AP164" s="229">
        <f>CHOOSE(m_identity,ENWL!AP164, NPgN!AP164, NPgY!AP164, WMID!AP164, EMID!AP164, SWALES!AP164, SWEST!AP164, LPN!AP164,SPN!AP164,EPN!AP164,SPD!AP164,SPMW!AP164,SSEH!AP164,SSES!AP164)</f>
        <v>0</v>
      </c>
      <c r="AQ164" s="229">
        <f>CHOOSE(m_identity,ENWL!AQ164, NPgN!AQ164, NPgY!AQ164, WMID!AQ164, EMID!AQ164, SWALES!AQ164, SWEST!AQ164, LPN!AQ164,SPN!AQ164,EPN!AQ164,SPD!AQ164,SPMW!AQ164,SSEH!AQ164,SSES!AQ164)</f>
        <v>0</v>
      </c>
    </row>
    <row r="165" spans="5:43" s="98" customFormat="1" ht="15" customHeight="1">
      <c r="E165" s="249" t="s">
        <v>572</v>
      </c>
      <c r="G165" s="98" t="s">
        <v>47</v>
      </c>
      <c r="I165" s="156"/>
      <c r="AJ165" s="229">
        <f>CHOOSE(m_identity,ENWL!AJ165, NPgN!AJ165, NPgY!AJ165, WMID!AJ165, EMID!AJ165, SWALES!AJ165, SWEST!AJ165, LPN!AJ165,SPN!AJ165,EPN!AJ165,SPD!AJ165,SPMW!AJ165,SSEH!AJ165,SSES!AJ165)</f>
        <v>0</v>
      </c>
      <c r="AK165" s="229">
        <f>CHOOSE(m_identity,ENWL!AK165, NPgN!AK165, NPgY!AK165, WMID!AK165, EMID!AK165, SWALES!AK165, SWEST!AK165, LPN!AK165,SPN!AK165,EPN!AK165,SPD!AK165,SPMW!AK165,SSEH!AK165,SSES!AK165)</f>
        <v>0</v>
      </c>
      <c r="AL165" s="229">
        <f>CHOOSE(m_identity,ENWL!AL165, NPgN!AL165, NPgY!AL165, WMID!AL165, EMID!AL165, SWALES!AL165, SWEST!AL165, LPN!AL165,SPN!AL165,EPN!AL165,SPD!AL165,SPMW!AL165,SSEH!AL165,SSES!AL165)</f>
        <v>0</v>
      </c>
      <c r="AM165" s="229">
        <f>CHOOSE(m_identity,ENWL!AM165, NPgN!AM165, NPgY!AM165, WMID!AM165, EMID!AM165, SWALES!AM165, SWEST!AM165, LPN!AM165,SPN!AM165,EPN!AM165,SPD!AM165,SPMW!AM165,SSEH!AM165,SSES!AM165)</f>
        <v>0</v>
      </c>
      <c r="AN165" s="229">
        <f>CHOOSE(m_identity,ENWL!AN165, NPgN!AN165, NPgY!AN165, WMID!AN165, EMID!AN165, SWALES!AN165, SWEST!AN165, LPN!AN165,SPN!AN165,EPN!AN165,SPD!AN165,SPMW!AN165,SSEH!AN165,SSES!AN165)</f>
        <v>0</v>
      </c>
      <c r="AO165" s="229">
        <f>CHOOSE(m_identity,ENWL!AO165, NPgN!AO165, NPgY!AO165, WMID!AO165, EMID!AO165, SWALES!AO165, SWEST!AO165, LPN!AO165,SPN!AO165,EPN!AO165,SPD!AO165,SPMW!AO165,SSEH!AO165,SSES!AO165)</f>
        <v>0</v>
      </c>
      <c r="AP165" s="229">
        <f>CHOOSE(m_identity,ENWL!AP165, NPgN!AP165, NPgY!AP165, WMID!AP165, EMID!AP165, SWALES!AP165, SWEST!AP165, LPN!AP165,SPN!AP165,EPN!AP165,SPD!AP165,SPMW!AP165,SSEH!AP165,SSES!AP165)</f>
        <v>0</v>
      </c>
      <c r="AQ165" s="229">
        <f>CHOOSE(m_identity,ENWL!AQ165, NPgN!AQ165, NPgY!AQ165, WMID!AQ165, EMID!AQ165, SWALES!AQ165, SWEST!AQ165, LPN!AQ165,SPN!AQ165,EPN!AQ165,SPD!AQ165,SPMW!AQ165,SSEH!AQ165,SSES!AQ165)</f>
        <v>0</v>
      </c>
    </row>
    <row r="166" spans="5:43" s="98" customFormat="1" ht="15" customHeight="1">
      <c r="E166" s="249" t="s">
        <v>721</v>
      </c>
      <c r="G166" s="98" t="s">
        <v>47</v>
      </c>
      <c r="I166" s="156"/>
      <c r="AJ166" s="229">
        <f>CHOOSE(m_identity,ENWL!AJ166, NPgN!AJ166, NPgY!AJ166, WMID!AJ166, EMID!AJ166, SWALES!AJ166, SWEST!AJ166, LPN!AJ166,SPN!AJ166,EPN!AJ166,SPD!AJ166,SPMW!AJ166,SSEH!AJ166,SSES!AJ166)</f>
        <v>0</v>
      </c>
      <c r="AK166" s="229">
        <f>CHOOSE(m_identity,ENWL!AK166, NPgN!AK166, NPgY!AK166, WMID!AK166, EMID!AK166, SWALES!AK166, SWEST!AK166, LPN!AK166,SPN!AK166,EPN!AK166,SPD!AK166,SPMW!AK166,SSEH!AK166,SSES!AK166)</f>
        <v>0</v>
      </c>
      <c r="AL166" s="229">
        <f>CHOOSE(m_identity,ENWL!AL166, NPgN!AL166, NPgY!AL166, WMID!AL166, EMID!AL166, SWALES!AL166, SWEST!AL166, LPN!AL166,SPN!AL166,EPN!AL166,SPD!AL166,SPMW!AL166,SSEH!AL166,SSES!AL166)</f>
        <v>0</v>
      </c>
      <c r="AM166" s="229">
        <f>CHOOSE(m_identity,ENWL!AM166, NPgN!AM166, NPgY!AM166, WMID!AM166, EMID!AM166, SWALES!AM166, SWEST!AM166, LPN!AM166,SPN!AM166,EPN!AM166,SPD!AM166,SPMW!AM166,SSEH!AM166,SSES!AM166)</f>
        <v>0</v>
      </c>
      <c r="AN166" s="229">
        <f>CHOOSE(m_identity,ENWL!AN166, NPgN!AN166, NPgY!AN166, WMID!AN166, EMID!AN166, SWALES!AN166, SWEST!AN166, LPN!AN166,SPN!AN166,EPN!AN166,SPD!AN166,SPMW!AN166,SSEH!AN166,SSES!AN166)</f>
        <v>0</v>
      </c>
      <c r="AO166" s="229">
        <f>CHOOSE(m_identity,ENWL!AO166, NPgN!AO166, NPgY!AO166, WMID!AO166, EMID!AO166, SWALES!AO166, SWEST!AO166, LPN!AO166,SPN!AO166,EPN!AO166,SPD!AO166,SPMW!AO166,SSEH!AO166,SSES!AO166)</f>
        <v>0</v>
      </c>
      <c r="AP166" s="229">
        <f>CHOOSE(m_identity,ENWL!AP166, NPgN!AP166, NPgY!AP166, WMID!AP166, EMID!AP166, SWALES!AP166, SWEST!AP166, LPN!AP166,SPN!AP166,EPN!AP166,SPD!AP166,SPMW!AP166,SSEH!AP166,SSES!AP166)</f>
        <v>0</v>
      </c>
      <c r="AQ166" s="229">
        <f>CHOOSE(m_identity,ENWL!AQ166, NPgN!AQ166, NPgY!AQ166, WMID!AQ166, EMID!AQ166, SWALES!AQ166, SWEST!AQ166, LPN!AQ166,SPN!AQ166,EPN!AQ166,SPD!AQ166,SPMW!AQ166,SSEH!AQ166,SSES!AQ166)</f>
        <v>0</v>
      </c>
    </row>
    <row r="167" spans="5:43" s="98" customFormat="1" ht="15" customHeight="1">
      <c r="E167" s="249" t="s">
        <v>703</v>
      </c>
      <c r="G167" s="98" t="s">
        <v>47</v>
      </c>
      <c r="I167" s="156"/>
      <c r="AJ167" s="229">
        <f>CHOOSE(m_identity,ENWL!AJ167, NPgN!AJ167, NPgY!AJ167, WMID!AJ167, EMID!AJ167, SWALES!AJ167, SWEST!AJ167, LPN!AJ167,SPN!AJ167,EPN!AJ167,SPD!AJ167,SPMW!AJ167,SSEH!AJ167,SSES!AJ167)</f>
        <v>1.0324770208885115E-2</v>
      </c>
      <c r="AK167" s="229">
        <f>CHOOSE(m_identity,ENWL!AK167, NPgN!AK167, NPgY!AK167, WMID!AK167, EMID!AK167, SWALES!AK167, SWEST!AK167, LPN!AK167,SPN!AK167,EPN!AK167,SPD!AK167,SPMW!AK167,SSEH!AK167,SSES!AK167)</f>
        <v>1.1528217393731555E-2</v>
      </c>
      <c r="AL167" s="229">
        <f>CHOOSE(m_identity,ENWL!AL167, NPgN!AL167, NPgY!AL167, WMID!AL167, EMID!AL167, SWALES!AL167, SWEST!AL167, LPN!AL167,SPN!AL167,EPN!AL167,SPD!AL167,SPMW!AL167,SSEH!AL167,SSES!AL167)</f>
        <v>1.0988713334675992E-2</v>
      </c>
      <c r="AM167" s="229">
        <f>CHOOSE(m_identity,ENWL!AM167, NPgN!AM167, NPgY!AM167, WMID!AM167, EMID!AM167, SWALES!AM167, SWEST!AM167, LPN!AM167,SPN!AM167,EPN!AM167,SPD!AM167,SPMW!AM167,SSEH!AM167,SSES!AM167)</f>
        <v>1.0535690099011008E-2</v>
      </c>
      <c r="AN167" s="229">
        <f>CHOOSE(m_identity,ENWL!AN167, NPgN!AN167, NPgY!AN167, WMID!AN167, EMID!AN167, SWALES!AN167, SWEST!AN167, LPN!AN167,SPN!AN167,EPN!AN167,SPD!AN167,SPMW!AN167,SSEH!AN167,SSES!AN167)</f>
        <v>1.1335132581510865E-2</v>
      </c>
      <c r="AO167" s="229">
        <f>CHOOSE(m_identity,ENWL!AO167, NPgN!AO167, NPgY!AO167, WMID!AO167, EMID!AO167, SWALES!AO167, SWEST!AO167, LPN!AO167,SPN!AO167,EPN!AO167,SPD!AO167,SPMW!AO167,SSEH!AO167,SSES!AO167)</f>
        <v>1.1218872886291642E-2</v>
      </c>
      <c r="AP167" s="229">
        <f>CHOOSE(m_identity,ENWL!AP167, NPgN!AP167, NPgY!AP167, WMID!AP167, EMID!AP167, SWALES!AP167, SWEST!AP167, LPN!AP167,SPN!AP167,EPN!AP167,SPD!AP167,SPMW!AP167,SSEH!AP167,SSES!AP167)</f>
        <v>1.064378795084997E-2</v>
      </c>
      <c r="AQ167" s="229">
        <f>CHOOSE(m_identity,ENWL!AQ167, NPgN!AQ167, NPgY!AQ167, WMID!AQ167, EMID!AQ167, SWALES!AQ167, SWEST!AQ167, LPN!AQ167,SPN!AQ167,EPN!AQ167,SPD!AQ167,SPMW!AQ167,SSEH!AQ167,SSES!AQ167)</f>
        <v>1.0751380455419568E-2</v>
      </c>
    </row>
    <row r="168" spans="5:43" s="98" customFormat="1" ht="15" customHeight="1">
      <c r="E168" s="249" t="s">
        <v>473</v>
      </c>
      <c r="G168" s="98" t="s">
        <v>47</v>
      </c>
      <c r="I168" s="156"/>
      <c r="AJ168" s="229">
        <f>CHOOSE(m_identity,ENWL!AJ168, NPgN!AJ168, NPgY!AJ168, WMID!AJ168, EMID!AJ168, SWALES!AJ168, SWEST!AJ168, LPN!AJ168,SPN!AJ168,EPN!AJ168,SPD!AJ168,SPMW!AJ168,SSEH!AJ168,SSES!AJ168)</f>
        <v>0</v>
      </c>
      <c r="AK168" s="229">
        <f>CHOOSE(m_identity,ENWL!AK168, NPgN!AK168, NPgY!AK168, WMID!AK168, EMID!AK168, SWALES!AK168, SWEST!AK168, LPN!AK168,SPN!AK168,EPN!AK168,SPD!AK168,SPMW!AK168,SSEH!AK168,SSES!AK168)</f>
        <v>0</v>
      </c>
      <c r="AL168" s="229">
        <f>CHOOSE(m_identity,ENWL!AL168, NPgN!AL168, NPgY!AL168, WMID!AL168, EMID!AL168, SWALES!AL168, SWEST!AL168, LPN!AL168,SPN!AL168,EPN!AL168,SPD!AL168,SPMW!AL168,SSEH!AL168,SSES!AL168)</f>
        <v>0</v>
      </c>
      <c r="AM168" s="229">
        <f>CHOOSE(m_identity,ENWL!AM168, NPgN!AM168, NPgY!AM168, WMID!AM168, EMID!AM168, SWALES!AM168, SWEST!AM168, LPN!AM168,SPN!AM168,EPN!AM168,SPD!AM168,SPMW!AM168,SSEH!AM168,SSES!AM168)</f>
        <v>0</v>
      </c>
      <c r="AN168" s="229">
        <f>CHOOSE(m_identity,ENWL!AN168, NPgN!AN168, NPgY!AN168, WMID!AN168, EMID!AN168, SWALES!AN168, SWEST!AN168, LPN!AN168,SPN!AN168,EPN!AN168,SPD!AN168,SPMW!AN168,SSEH!AN168,SSES!AN168)</f>
        <v>0</v>
      </c>
      <c r="AO168" s="229">
        <f>CHOOSE(m_identity,ENWL!AO168, NPgN!AO168, NPgY!AO168, WMID!AO168, EMID!AO168, SWALES!AO168, SWEST!AO168, LPN!AO168,SPN!AO168,EPN!AO168,SPD!AO168,SPMW!AO168,SSEH!AO168,SSES!AO168)</f>
        <v>0</v>
      </c>
      <c r="AP168" s="229">
        <f>CHOOSE(m_identity,ENWL!AP168, NPgN!AP168, NPgY!AP168, WMID!AP168, EMID!AP168, SWALES!AP168, SWEST!AP168, LPN!AP168,SPN!AP168,EPN!AP168,SPD!AP168,SPMW!AP168,SSEH!AP168,SSES!AP168)</f>
        <v>0</v>
      </c>
      <c r="AQ168" s="229">
        <f>CHOOSE(m_identity,ENWL!AQ168, NPgN!AQ168, NPgY!AQ168, WMID!AQ168, EMID!AQ168, SWALES!AQ168, SWEST!AQ168, LPN!AQ168,SPN!AQ168,EPN!AQ168,SPD!AQ168,SPMW!AQ168,SSEH!AQ168,SSES!AQ168)</f>
        <v>0</v>
      </c>
    </row>
    <row r="169" spans="5:43" ht="15" customHeight="1"/>
    <row r="170" spans="5:43" s="156" customFormat="1" ht="15" customHeight="1">
      <c r="E170" s="152" t="str">
        <f>E26</f>
        <v>Allowed Expenditure - Rail Electrification (WPD)</v>
      </c>
      <c r="G170" s="98" t="s">
        <v>657</v>
      </c>
      <c r="AJ170" s="213">
        <f>AJ26</f>
        <v>0</v>
      </c>
      <c r="AK170" s="213">
        <f t="shared" ref="AK170:AQ170" si="9">AK26</f>
        <v>0</v>
      </c>
      <c r="AL170" s="213">
        <f t="shared" si="9"/>
        <v>0</v>
      </c>
      <c r="AM170" s="213">
        <f t="shared" si="9"/>
        <v>0</v>
      </c>
      <c r="AN170" s="213">
        <f t="shared" si="9"/>
        <v>0</v>
      </c>
      <c r="AO170" s="213">
        <f t="shared" si="9"/>
        <v>0</v>
      </c>
      <c r="AP170" s="213">
        <f t="shared" si="9"/>
        <v>0</v>
      </c>
      <c r="AQ170" s="213">
        <f t="shared" si="9"/>
        <v>0</v>
      </c>
    </row>
    <row r="171" spans="5:43" s="156" customFormat="1" ht="15" customHeight="1">
      <c r="E171" s="249" t="s">
        <v>471</v>
      </c>
      <c r="F171" s="98"/>
      <c r="G171" s="98" t="s">
        <v>47</v>
      </c>
      <c r="AJ171" s="229">
        <f>CHOOSE(m_identity,ENWL!AJ171, NPgN!AJ171, NPgY!AJ171, WMID!AJ171, EMID!AJ171, SWALES!AJ171, SWEST!AJ171, LPN!AJ171,SPN!AJ171,EPN!AJ171,SPD!AJ171,SPMW!AJ171,SSEH!AJ171,SSES!AJ171)</f>
        <v>0</v>
      </c>
      <c r="AK171" s="229">
        <f>CHOOSE(m_identity,ENWL!AK171, NPgN!AK171, NPgY!AK171, WMID!AK171, EMID!AK171, SWALES!AK171, SWEST!AK171, LPN!AK171,SPN!AK171,EPN!AK171,SPD!AK171,SPMW!AK171,SSEH!AK171,SSES!AK171)</f>
        <v>0</v>
      </c>
      <c r="AL171" s="229">
        <f>CHOOSE(m_identity,ENWL!AL171, NPgN!AL171, NPgY!AL171, WMID!AL171, EMID!AL171, SWALES!AL171, SWEST!AL171, LPN!AL171,SPN!AL171,EPN!AL171,SPD!AL171,SPMW!AL171,SSEH!AL171,SSES!AL171)</f>
        <v>0</v>
      </c>
      <c r="AM171" s="229">
        <f>CHOOSE(m_identity,ENWL!AM171, NPgN!AM171, NPgY!AM171, WMID!AM171, EMID!AM171, SWALES!AM171, SWEST!AM171, LPN!AM171,SPN!AM171,EPN!AM171,SPD!AM171,SPMW!AM171,SSEH!AM171,SSES!AM171)</f>
        <v>0</v>
      </c>
      <c r="AN171" s="229">
        <f>CHOOSE(m_identity,ENWL!AN171, NPgN!AN171, NPgY!AN171, WMID!AN171, EMID!AN171, SWALES!AN171, SWEST!AN171, LPN!AN171,SPN!AN171,EPN!AN171,SPD!AN171,SPMW!AN171,SSEH!AN171,SSES!AN171)</f>
        <v>0</v>
      </c>
      <c r="AO171" s="229">
        <f>CHOOSE(m_identity,ENWL!AO171, NPgN!AO171, NPgY!AO171, WMID!AO171, EMID!AO171, SWALES!AO171, SWEST!AO171, LPN!AO171,SPN!AO171,EPN!AO171,SPD!AO171,SPMW!AO171,SSEH!AO171,SSES!AO171)</f>
        <v>0</v>
      </c>
      <c r="AP171" s="229">
        <f>CHOOSE(m_identity,ENWL!AP171, NPgN!AP171, NPgY!AP171, WMID!AP171, EMID!AP171, SWALES!AP171, SWEST!AP171, LPN!AP171,SPN!AP171,EPN!AP171,SPD!AP171,SPMW!AP171,SSEH!AP171,SSES!AP171)</f>
        <v>0</v>
      </c>
      <c r="AQ171" s="229">
        <f>CHOOSE(m_identity,ENWL!AQ171, NPgN!AQ171, NPgY!AQ171, WMID!AQ171, EMID!AQ171, SWALES!AQ171, SWEST!AQ171, LPN!AQ171,SPN!AQ171,EPN!AQ171,SPD!AQ171,SPMW!AQ171,SSEH!AQ171,SSES!AQ171)</f>
        <v>0</v>
      </c>
    </row>
    <row r="172" spans="5:43" s="156" customFormat="1" ht="15" customHeight="1">
      <c r="E172" s="249" t="s">
        <v>544</v>
      </c>
      <c r="F172" s="98"/>
      <c r="G172" s="98" t="s">
        <v>47</v>
      </c>
      <c r="AJ172" s="229">
        <f>CHOOSE(m_identity,ENWL!AJ172, NPgN!AJ172, NPgY!AJ172, WMID!AJ172, EMID!AJ172, SWALES!AJ172, SWEST!AJ172, LPN!AJ172,SPN!AJ172,EPN!AJ172,SPD!AJ172,SPMW!AJ172,SSEH!AJ172,SSES!AJ172)</f>
        <v>0.99691884319005442</v>
      </c>
      <c r="AK172" s="229">
        <f>CHOOSE(m_identity,ENWL!AK172, NPgN!AK172, NPgY!AK172, WMID!AK172, EMID!AK172, SWALES!AK172, SWEST!AK172, LPN!AK172,SPN!AK172,EPN!AK172,SPD!AK172,SPMW!AK172,SSEH!AK172,SSES!AK172)</f>
        <v>0.99688581798579623</v>
      </c>
      <c r="AL172" s="229">
        <f>CHOOSE(m_identity,ENWL!AL172, NPgN!AL172, NPgY!AL172, WMID!AL172, EMID!AL172, SWALES!AL172, SWEST!AL172, LPN!AL172,SPN!AL172,EPN!AL172,SPD!AL172,SPMW!AL172,SSEH!AL172,SSES!AL172)</f>
        <v>0.9968601885124726</v>
      </c>
      <c r="AM172" s="229">
        <f>CHOOSE(m_identity,ENWL!AM172, NPgN!AM172, NPgY!AM172, WMID!AM172, EMID!AM172, SWALES!AM172, SWEST!AM172, LPN!AM172,SPN!AM172,EPN!AM172,SPD!AM172,SPMW!AM172,SSEH!AM172,SSES!AM172)</f>
        <v>0.99680684966587663</v>
      </c>
      <c r="AN172" s="229">
        <f>CHOOSE(m_identity,ENWL!AN172, NPgN!AN172, NPgY!AN172, WMID!AN172, EMID!AN172, SWALES!AN172, SWEST!AN172, LPN!AN172,SPN!AN172,EPN!AN172,SPD!AN172,SPMW!AN172,SSEH!AN172,SSES!AN172)</f>
        <v>0.99676581749878101</v>
      </c>
      <c r="AO172" s="229">
        <f>CHOOSE(m_identity,ENWL!AO172, NPgN!AO172, NPgY!AO172, WMID!AO172, EMID!AO172, SWALES!AO172, SWEST!AO172, LPN!AO172,SPN!AO172,EPN!AO172,SPD!AO172,SPMW!AO172,SSEH!AO172,SSES!AO172)</f>
        <v>0.99672442479963053</v>
      </c>
      <c r="AP172" s="229">
        <f>CHOOSE(m_identity,ENWL!AP172, NPgN!AP172, NPgY!AP172, WMID!AP172, EMID!AP172, SWALES!AP172, SWEST!AP172, LPN!AP172,SPN!AP172,EPN!AP172,SPD!AP172,SPMW!AP172,SSEH!AP172,SSES!AP172)</f>
        <v>0.99668282507874928</v>
      </c>
      <c r="AQ172" s="229">
        <f>CHOOSE(m_identity,ENWL!AQ172, NPgN!AQ172, NPgY!AQ172, WMID!AQ172, EMID!AQ172, SWALES!AQ172, SWEST!AQ172, LPN!AQ172,SPN!AQ172,EPN!AQ172,SPD!AQ172,SPMW!AQ172,SSEH!AQ172,SSES!AQ172)</f>
        <v>0.99664786013554596</v>
      </c>
    </row>
    <row r="173" spans="5:43" s="156" customFormat="1" ht="15" customHeight="1">
      <c r="E173" s="249" t="s">
        <v>472</v>
      </c>
      <c r="F173" s="98"/>
      <c r="G173" s="98" t="s">
        <v>47</v>
      </c>
      <c r="AJ173" s="229">
        <f>CHOOSE(m_identity,ENWL!AJ173, NPgN!AJ173, NPgY!AJ173, WMID!AJ173, EMID!AJ173, SWALES!AJ173, SWEST!AJ173, LPN!AJ173,SPN!AJ173,EPN!AJ173,SPD!AJ173,SPMW!AJ173,SSEH!AJ173,SSES!AJ173)</f>
        <v>0</v>
      </c>
      <c r="AK173" s="229">
        <f>CHOOSE(m_identity,ENWL!AK173, NPgN!AK173, NPgY!AK173, WMID!AK173, EMID!AK173, SWALES!AK173, SWEST!AK173, LPN!AK173,SPN!AK173,EPN!AK173,SPD!AK173,SPMW!AK173,SSEH!AK173,SSES!AK173)</f>
        <v>0</v>
      </c>
      <c r="AL173" s="229">
        <f>CHOOSE(m_identity,ENWL!AL173, NPgN!AL173, NPgY!AL173, WMID!AL173, EMID!AL173, SWALES!AL173, SWEST!AL173, LPN!AL173,SPN!AL173,EPN!AL173,SPD!AL173,SPMW!AL173,SSEH!AL173,SSES!AL173)</f>
        <v>0</v>
      </c>
      <c r="AM173" s="229">
        <f>CHOOSE(m_identity,ENWL!AM173, NPgN!AM173, NPgY!AM173, WMID!AM173, EMID!AM173, SWALES!AM173, SWEST!AM173, LPN!AM173,SPN!AM173,EPN!AM173,SPD!AM173,SPMW!AM173,SSEH!AM173,SSES!AM173)</f>
        <v>0</v>
      </c>
      <c r="AN173" s="229">
        <f>CHOOSE(m_identity,ENWL!AN173, NPgN!AN173, NPgY!AN173, WMID!AN173, EMID!AN173, SWALES!AN173, SWEST!AN173, LPN!AN173,SPN!AN173,EPN!AN173,SPD!AN173,SPMW!AN173,SSEH!AN173,SSES!AN173)</f>
        <v>0</v>
      </c>
      <c r="AO173" s="229">
        <f>CHOOSE(m_identity,ENWL!AO173, NPgN!AO173, NPgY!AO173, WMID!AO173, EMID!AO173, SWALES!AO173, SWEST!AO173, LPN!AO173,SPN!AO173,EPN!AO173,SPD!AO173,SPMW!AO173,SSEH!AO173,SSES!AO173)</f>
        <v>0</v>
      </c>
      <c r="AP173" s="229">
        <f>CHOOSE(m_identity,ENWL!AP173, NPgN!AP173, NPgY!AP173, WMID!AP173, EMID!AP173, SWALES!AP173, SWEST!AP173, LPN!AP173,SPN!AP173,EPN!AP173,SPD!AP173,SPMW!AP173,SSEH!AP173,SSES!AP173)</f>
        <v>0</v>
      </c>
      <c r="AQ173" s="229">
        <f>CHOOSE(m_identity,ENWL!AQ173, NPgN!AQ173, NPgY!AQ173, WMID!AQ173, EMID!AQ173, SWALES!AQ173, SWEST!AQ173, LPN!AQ173,SPN!AQ173,EPN!AQ173,SPD!AQ173,SPMW!AQ173,SSEH!AQ173,SSES!AQ173)</f>
        <v>0</v>
      </c>
    </row>
    <row r="174" spans="5:43" s="156" customFormat="1" ht="15" customHeight="1">
      <c r="E174" s="249" t="s">
        <v>572</v>
      </c>
      <c r="F174" s="98"/>
      <c r="G174" s="98" t="s">
        <v>47</v>
      </c>
      <c r="AJ174" s="229">
        <f>CHOOSE(m_identity,ENWL!AJ174, NPgN!AJ174, NPgY!AJ174, WMID!AJ174, EMID!AJ174, SWALES!AJ174, SWEST!AJ174, LPN!AJ174,SPN!AJ174,EPN!AJ174,SPD!AJ174,SPMW!AJ174,SSEH!AJ174,SSES!AJ174)</f>
        <v>0</v>
      </c>
      <c r="AK174" s="229">
        <f>CHOOSE(m_identity,ENWL!AK174, NPgN!AK174, NPgY!AK174, WMID!AK174, EMID!AK174, SWALES!AK174, SWEST!AK174, LPN!AK174,SPN!AK174,EPN!AK174,SPD!AK174,SPMW!AK174,SSEH!AK174,SSES!AK174)</f>
        <v>0</v>
      </c>
      <c r="AL174" s="229">
        <f>CHOOSE(m_identity,ENWL!AL174, NPgN!AL174, NPgY!AL174, WMID!AL174, EMID!AL174, SWALES!AL174, SWEST!AL174, LPN!AL174,SPN!AL174,EPN!AL174,SPD!AL174,SPMW!AL174,SSEH!AL174,SSES!AL174)</f>
        <v>0</v>
      </c>
      <c r="AM174" s="229">
        <f>CHOOSE(m_identity,ENWL!AM174, NPgN!AM174, NPgY!AM174, WMID!AM174, EMID!AM174, SWALES!AM174, SWEST!AM174, LPN!AM174,SPN!AM174,EPN!AM174,SPD!AM174,SPMW!AM174,SSEH!AM174,SSES!AM174)</f>
        <v>0</v>
      </c>
      <c r="AN174" s="229">
        <f>CHOOSE(m_identity,ENWL!AN174, NPgN!AN174, NPgY!AN174, WMID!AN174, EMID!AN174, SWALES!AN174, SWEST!AN174, LPN!AN174,SPN!AN174,EPN!AN174,SPD!AN174,SPMW!AN174,SSEH!AN174,SSES!AN174)</f>
        <v>0</v>
      </c>
      <c r="AO174" s="229">
        <f>CHOOSE(m_identity,ENWL!AO174, NPgN!AO174, NPgY!AO174, WMID!AO174, EMID!AO174, SWALES!AO174, SWEST!AO174, LPN!AO174,SPN!AO174,EPN!AO174,SPD!AO174,SPMW!AO174,SSEH!AO174,SSES!AO174)</f>
        <v>0</v>
      </c>
      <c r="AP174" s="229">
        <f>CHOOSE(m_identity,ENWL!AP174, NPgN!AP174, NPgY!AP174, WMID!AP174, EMID!AP174, SWALES!AP174, SWEST!AP174, LPN!AP174,SPN!AP174,EPN!AP174,SPD!AP174,SPMW!AP174,SSEH!AP174,SSES!AP174)</f>
        <v>0</v>
      </c>
      <c r="AQ174" s="229">
        <f>CHOOSE(m_identity,ENWL!AQ174, NPgN!AQ174, NPgY!AQ174, WMID!AQ174, EMID!AQ174, SWALES!AQ174, SWEST!AQ174, LPN!AQ174,SPN!AQ174,EPN!AQ174,SPD!AQ174,SPMW!AQ174,SSEH!AQ174,SSES!AQ174)</f>
        <v>0</v>
      </c>
    </row>
    <row r="175" spans="5:43" s="156" customFormat="1" ht="15" customHeight="1">
      <c r="E175" s="249" t="s">
        <v>721</v>
      </c>
      <c r="F175" s="98"/>
      <c r="G175" s="98" t="s">
        <v>47</v>
      </c>
      <c r="AJ175" s="229">
        <f>CHOOSE(m_identity,ENWL!AJ175, NPgN!AJ175, NPgY!AJ175, WMID!AJ175, EMID!AJ175, SWALES!AJ175, SWEST!AJ175, LPN!AJ175,SPN!AJ175,EPN!AJ175,SPD!AJ175,SPMW!AJ175,SSEH!AJ175,SSES!AJ175)</f>
        <v>0</v>
      </c>
      <c r="AK175" s="229">
        <f>CHOOSE(m_identity,ENWL!AK175, NPgN!AK175, NPgY!AK175, WMID!AK175, EMID!AK175, SWALES!AK175, SWEST!AK175, LPN!AK175,SPN!AK175,EPN!AK175,SPD!AK175,SPMW!AK175,SSEH!AK175,SSES!AK175)</f>
        <v>0</v>
      </c>
      <c r="AL175" s="229">
        <f>CHOOSE(m_identity,ENWL!AL175, NPgN!AL175, NPgY!AL175, WMID!AL175, EMID!AL175, SWALES!AL175, SWEST!AL175, LPN!AL175,SPN!AL175,EPN!AL175,SPD!AL175,SPMW!AL175,SSEH!AL175,SSES!AL175)</f>
        <v>0</v>
      </c>
      <c r="AM175" s="229">
        <f>CHOOSE(m_identity,ENWL!AM175, NPgN!AM175, NPgY!AM175, WMID!AM175, EMID!AM175, SWALES!AM175, SWEST!AM175, LPN!AM175,SPN!AM175,EPN!AM175,SPD!AM175,SPMW!AM175,SSEH!AM175,SSES!AM175)</f>
        <v>0</v>
      </c>
      <c r="AN175" s="229">
        <f>CHOOSE(m_identity,ENWL!AN175, NPgN!AN175, NPgY!AN175, WMID!AN175, EMID!AN175, SWALES!AN175, SWEST!AN175, LPN!AN175,SPN!AN175,EPN!AN175,SPD!AN175,SPMW!AN175,SSEH!AN175,SSES!AN175)</f>
        <v>0</v>
      </c>
      <c r="AO175" s="229">
        <f>CHOOSE(m_identity,ENWL!AO175, NPgN!AO175, NPgY!AO175, WMID!AO175, EMID!AO175, SWALES!AO175, SWEST!AO175, LPN!AO175,SPN!AO175,EPN!AO175,SPD!AO175,SPMW!AO175,SSEH!AO175,SSES!AO175)</f>
        <v>0</v>
      </c>
      <c r="AP175" s="229">
        <f>CHOOSE(m_identity,ENWL!AP175, NPgN!AP175, NPgY!AP175, WMID!AP175, EMID!AP175, SWALES!AP175, SWEST!AP175, LPN!AP175,SPN!AP175,EPN!AP175,SPD!AP175,SPMW!AP175,SSEH!AP175,SSES!AP175)</f>
        <v>0</v>
      </c>
      <c r="AQ175" s="229">
        <f>CHOOSE(m_identity,ENWL!AQ175, NPgN!AQ175, NPgY!AQ175, WMID!AQ175, EMID!AQ175, SWALES!AQ175, SWEST!AQ175, LPN!AQ175,SPN!AQ175,EPN!AQ175,SPD!AQ175,SPMW!AQ175,SSEH!AQ175,SSES!AQ175)</f>
        <v>0</v>
      </c>
    </row>
    <row r="176" spans="5:43" s="156" customFormat="1" ht="15" customHeight="1">
      <c r="E176" s="249" t="s">
        <v>703</v>
      </c>
      <c r="F176" s="98"/>
      <c r="G176" s="98" t="s">
        <v>47</v>
      </c>
      <c r="AJ176" s="229">
        <f>CHOOSE(m_identity,ENWL!AJ176, NPgN!AJ176, NPgY!AJ176, WMID!AJ176, EMID!AJ176, SWALES!AJ176, SWEST!AJ176, LPN!AJ176,SPN!AJ176,EPN!AJ176,SPD!AJ176,SPMW!AJ176,SSEH!AJ176,SSES!AJ176)</f>
        <v>3.0811568099455844E-3</v>
      </c>
      <c r="AK176" s="229">
        <f>CHOOSE(m_identity,ENWL!AK176, NPgN!AK176, NPgY!AK176, WMID!AK176, EMID!AK176, SWALES!AK176, SWEST!AK176, LPN!AK176,SPN!AK176,EPN!AK176,SPD!AK176,SPMW!AK176,SSEH!AK176,SSES!AK176)</f>
        <v>3.1141820142037702E-3</v>
      </c>
      <c r="AL176" s="229">
        <f>CHOOSE(m_identity,ENWL!AL176, NPgN!AL176, NPgY!AL176, WMID!AL176, EMID!AL176, SWALES!AL176, SWEST!AL176, LPN!AL176,SPN!AL176,EPN!AL176,SPD!AL176,SPMW!AL176,SSEH!AL176,SSES!AL176)</f>
        <v>3.1398114875273997E-3</v>
      </c>
      <c r="AM176" s="229">
        <f>CHOOSE(m_identity,ENWL!AM176, NPgN!AM176, NPgY!AM176, WMID!AM176, EMID!AM176, SWALES!AM176, SWEST!AM176, LPN!AM176,SPN!AM176,EPN!AM176,SPD!AM176,SPMW!AM176,SSEH!AM176,SSES!AM176)</f>
        <v>3.1931503341233736E-3</v>
      </c>
      <c r="AN176" s="229">
        <f>CHOOSE(m_identity,ENWL!AN176, NPgN!AN176, NPgY!AN176, WMID!AN176, EMID!AN176, SWALES!AN176, SWEST!AN176, LPN!AN176,SPN!AN176,EPN!AN176,SPD!AN176,SPMW!AN176,SSEH!AN176,SSES!AN176)</f>
        <v>3.2341825012189851E-3</v>
      </c>
      <c r="AO176" s="229">
        <f>CHOOSE(m_identity,ENWL!AO176, NPgN!AO176, NPgY!AO176, WMID!AO176, EMID!AO176, SWALES!AO176, SWEST!AO176, LPN!AO176,SPN!AO176,EPN!AO176,SPD!AO176,SPMW!AO176,SSEH!AO176,SSES!AO176)</f>
        <v>3.2755752003694738E-3</v>
      </c>
      <c r="AP176" s="229">
        <f>CHOOSE(m_identity,ENWL!AP176, NPgN!AP176, NPgY!AP176, WMID!AP176, EMID!AP176, SWALES!AP176, SWEST!AP176, LPN!AP176,SPN!AP176,EPN!AP176,SPD!AP176,SPMW!AP176,SSEH!AP176,SSES!AP176)</f>
        <v>3.3171749212507207E-3</v>
      </c>
      <c r="AQ176" s="229">
        <f>CHOOSE(m_identity,ENWL!AQ176, NPgN!AQ176, NPgY!AQ176, WMID!AQ176, EMID!AQ176, SWALES!AQ176, SWEST!AQ176, LPN!AQ176,SPN!AQ176,EPN!AQ176,SPD!AQ176,SPMW!AQ176,SSEH!AQ176,SSES!AQ176)</f>
        <v>3.3521398644540401E-3</v>
      </c>
    </row>
    <row r="177" spans="5:43" s="156" customFormat="1" ht="15" customHeight="1">
      <c r="E177" s="249" t="s">
        <v>473</v>
      </c>
      <c r="F177" s="98"/>
      <c r="G177" s="98" t="s">
        <v>47</v>
      </c>
      <c r="AJ177" s="229">
        <f>CHOOSE(m_identity,ENWL!AJ177, NPgN!AJ177, NPgY!AJ177, WMID!AJ177, EMID!AJ177, SWALES!AJ177, SWEST!AJ177, LPN!AJ177,SPN!AJ177,EPN!AJ177,SPD!AJ177,SPMW!AJ177,SSEH!AJ177,SSES!AJ177)</f>
        <v>0</v>
      </c>
      <c r="AK177" s="229">
        <f>CHOOSE(m_identity,ENWL!AK177, NPgN!AK177, NPgY!AK177, WMID!AK177, EMID!AK177, SWALES!AK177, SWEST!AK177, LPN!AK177,SPN!AK177,EPN!AK177,SPD!AK177,SPMW!AK177,SSEH!AK177,SSES!AK177)</f>
        <v>0</v>
      </c>
      <c r="AL177" s="229">
        <f>CHOOSE(m_identity,ENWL!AL177, NPgN!AL177, NPgY!AL177, WMID!AL177, EMID!AL177, SWALES!AL177, SWEST!AL177, LPN!AL177,SPN!AL177,EPN!AL177,SPD!AL177,SPMW!AL177,SSEH!AL177,SSES!AL177)</f>
        <v>0</v>
      </c>
      <c r="AM177" s="229">
        <f>CHOOSE(m_identity,ENWL!AM177, NPgN!AM177, NPgY!AM177, WMID!AM177, EMID!AM177, SWALES!AM177, SWEST!AM177, LPN!AM177,SPN!AM177,EPN!AM177,SPD!AM177,SPMW!AM177,SSEH!AM177,SSES!AM177)</f>
        <v>0</v>
      </c>
      <c r="AN177" s="229">
        <f>CHOOSE(m_identity,ENWL!AN177, NPgN!AN177, NPgY!AN177, WMID!AN177, EMID!AN177, SWALES!AN177, SWEST!AN177, LPN!AN177,SPN!AN177,EPN!AN177,SPD!AN177,SPMW!AN177,SSEH!AN177,SSES!AN177)</f>
        <v>0</v>
      </c>
      <c r="AO177" s="229">
        <f>CHOOSE(m_identity,ENWL!AO177, NPgN!AO177, NPgY!AO177, WMID!AO177, EMID!AO177, SWALES!AO177, SWEST!AO177, LPN!AO177,SPN!AO177,EPN!AO177,SPD!AO177,SPMW!AO177,SSEH!AO177,SSES!AO177)</f>
        <v>0</v>
      </c>
      <c r="AP177" s="229">
        <f>CHOOSE(m_identity,ENWL!AP177, NPgN!AP177, NPgY!AP177, WMID!AP177, EMID!AP177, SWALES!AP177, SWEST!AP177, LPN!AP177,SPN!AP177,EPN!AP177,SPD!AP177,SPMW!AP177,SSEH!AP177,SSES!AP177)</f>
        <v>0</v>
      </c>
      <c r="AQ177" s="229">
        <f>CHOOSE(m_identity,ENWL!AQ177, NPgN!AQ177, NPgY!AQ177, WMID!AQ177, EMID!AQ177, SWALES!AQ177, SWEST!AQ177, LPN!AQ177,SPN!AQ177,EPN!AQ177,SPD!AQ177,SPMW!AQ177,SSEH!AQ177,SSES!AQ177)</f>
        <v>0</v>
      </c>
    </row>
    <row r="178" spans="5:43" s="156" customFormat="1" ht="15" customHeight="1"/>
    <row r="179" spans="5:43" s="98" customFormat="1" ht="15" customHeight="1">
      <c r="E179" s="152" t="str">
        <f>E27</f>
        <v>Allowed Expenditure - Moorside Costs (ENWL)</v>
      </c>
      <c r="G179" s="98" t="s">
        <v>657</v>
      </c>
      <c r="I179" s="58"/>
      <c r="AJ179" s="213">
        <f>AJ27</f>
        <v>0</v>
      </c>
      <c r="AK179" s="213">
        <f>AK27</f>
        <v>0</v>
      </c>
      <c r="AL179" s="213">
        <f t="shared" ref="AL179:AQ179" si="10">AL27</f>
        <v>0</v>
      </c>
      <c r="AM179" s="213">
        <f t="shared" si="10"/>
        <v>0</v>
      </c>
      <c r="AN179" s="213">
        <f>AN27</f>
        <v>0</v>
      </c>
      <c r="AO179" s="213">
        <f t="shared" si="10"/>
        <v>0</v>
      </c>
      <c r="AP179" s="213">
        <f t="shared" si="10"/>
        <v>0</v>
      </c>
      <c r="AQ179" s="213">
        <f t="shared" si="10"/>
        <v>0</v>
      </c>
    </row>
    <row r="180" spans="5:43" s="98" customFormat="1" ht="15" customHeight="1">
      <c r="E180" s="249" t="s">
        <v>471</v>
      </c>
      <c r="G180" s="98" t="s">
        <v>47</v>
      </c>
      <c r="I180" s="156"/>
      <c r="AJ180" s="229">
        <f>CHOOSE(m_identity,ENWL!AJ180, NPgN!AJ180, NPgY!AJ180, WMID!AJ180, EMID!AJ180, SWALES!AJ180, SWEST!AJ180, LPN!AJ180,SPN!AJ180,EPN!AJ180,SPD!AJ180,SPMW!AJ180,SSEH!AJ180,SSES!AJ180)</f>
        <v>0</v>
      </c>
      <c r="AK180" s="229">
        <f>CHOOSE(m_identity,ENWL!AK180, NPgN!AK180, NPgY!AK180, WMID!AK180, EMID!AK180, SWALES!AK180, SWEST!AK180, LPN!AK180,SPN!AK180,EPN!AK180,SPD!AK180,SPMW!AK180,SSEH!AK180,SSES!AK180)</f>
        <v>0</v>
      </c>
      <c r="AL180" s="229">
        <f>CHOOSE(m_identity,ENWL!AL180, NPgN!AL180, NPgY!AL180, WMID!AL180, EMID!AL180, SWALES!AL180, SWEST!AL180, LPN!AL180,SPN!AL180,EPN!AL180,SPD!AL180,SPMW!AL180,SSEH!AL180,SSES!AL180)</f>
        <v>0</v>
      </c>
      <c r="AM180" s="229">
        <f>CHOOSE(m_identity,ENWL!AM180, NPgN!AM180, NPgY!AM180, WMID!AM180, EMID!AM180, SWALES!AM180, SWEST!AM180, LPN!AM180,SPN!AM180,EPN!AM180,SPD!AM180,SPMW!AM180,SSEH!AM180,SSES!AM180)</f>
        <v>0</v>
      </c>
      <c r="AN180" s="229">
        <f>CHOOSE(m_identity,ENWL!AN180, NPgN!AN180, NPgY!AN180, WMID!AN180, EMID!AN180, SWALES!AN180, SWEST!AN180, LPN!AN180,SPN!AN180,EPN!AN180,SPD!AN180,SPMW!AN180,SSEH!AN180,SSES!AN180)</f>
        <v>0</v>
      </c>
      <c r="AO180" s="229">
        <f>CHOOSE(m_identity,ENWL!AO180, NPgN!AO180, NPgY!AO180, WMID!AO180, EMID!AO180, SWALES!AO180, SWEST!AO180, LPN!AO180,SPN!AO180,EPN!AO180,SPD!AO180,SPMW!AO180,SSEH!AO180,SSES!AO180)</f>
        <v>0</v>
      </c>
      <c r="AP180" s="229">
        <f>CHOOSE(m_identity,ENWL!AP180, NPgN!AP180, NPgY!AP180, WMID!AP180, EMID!AP180, SWALES!AP180, SWEST!AP180, LPN!AP180,SPN!AP180,EPN!AP180,SPD!AP180,SPMW!AP180,SSEH!AP180,SSES!AP180)</f>
        <v>0</v>
      </c>
      <c r="AQ180" s="229">
        <f>CHOOSE(m_identity,ENWL!AQ180, NPgN!AQ180, NPgY!AQ180, WMID!AQ180, EMID!AQ180, SWALES!AQ180, SWEST!AQ180, LPN!AQ180,SPN!AQ180,EPN!AQ180,SPD!AQ180,SPMW!AQ180,SSEH!AQ180,SSES!AQ180)</f>
        <v>0</v>
      </c>
    </row>
    <row r="181" spans="5:43" s="98" customFormat="1" ht="15" customHeight="1">
      <c r="E181" s="249" t="s">
        <v>544</v>
      </c>
      <c r="G181" s="98" t="s">
        <v>47</v>
      </c>
      <c r="I181" s="156"/>
      <c r="AJ181" s="229">
        <f>CHOOSE(m_identity,ENWL!AJ181, NPgN!AJ181, NPgY!AJ181, WMID!AJ181, EMID!AJ181, SWALES!AJ181, SWEST!AJ181, LPN!AJ181,SPN!AJ181,EPN!AJ181,SPD!AJ181,SPMW!AJ181,SSEH!AJ181,SSES!AJ181)</f>
        <v>0</v>
      </c>
      <c r="AK181" s="229">
        <f>CHOOSE(m_identity,ENWL!AK181, NPgN!AK181, NPgY!AK181, WMID!AK181, EMID!AK181, SWALES!AK181, SWEST!AK181, LPN!AK181,SPN!AK181,EPN!AK181,SPD!AK181,SPMW!AK181,SSEH!AK181,SSES!AK181)</f>
        <v>0</v>
      </c>
      <c r="AL181" s="229">
        <f>CHOOSE(m_identity,ENWL!AL181, NPgN!AL181, NPgY!AL181, WMID!AL181, EMID!AL181, SWALES!AL181, SWEST!AL181, LPN!AL181,SPN!AL181,EPN!AL181,SPD!AL181,SPMW!AL181,SSEH!AL181,SSES!AL181)</f>
        <v>0</v>
      </c>
      <c r="AM181" s="229">
        <f>CHOOSE(m_identity,ENWL!AM181, NPgN!AM181, NPgY!AM181, WMID!AM181, EMID!AM181, SWALES!AM181, SWEST!AM181, LPN!AM181,SPN!AM181,EPN!AM181,SPD!AM181,SPMW!AM181,SSEH!AM181,SSES!AM181)</f>
        <v>0</v>
      </c>
      <c r="AN181" s="229">
        <f>CHOOSE(m_identity,ENWL!AN181, NPgN!AN181, NPgY!AN181, WMID!AN181, EMID!AN181, SWALES!AN181, SWEST!AN181, LPN!AN181,SPN!AN181,EPN!AN181,SPD!AN181,SPMW!AN181,SSEH!AN181,SSES!AN181)</f>
        <v>0</v>
      </c>
      <c r="AO181" s="229">
        <f>CHOOSE(m_identity,ENWL!AO181, NPgN!AO181, NPgY!AO181, WMID!AO181, EMID!AO181, SWALES!AO181, SWEST!AO181, LPN!AO181,SPN!AO181,EPN!AO181,SPD!AO181,SPMW!AO181,SSEH!AO181,SSES!AO181)</f>
        <v>0</v>
      </c>
      <c r="AP181" s="229">
        <f>CHOOSE(m_identity,ENWL!AP181, NPgN!AP181, NPgY!AP181, WMID!AP181, EMID!AP181, SWALES!AP181, SWEST!AP181, LPN!AP181,SPN!AP181,EPN!AP181,SPD!AP181,SPMW!AP181,SSEH!AP181,SSES!AP181)</f>
        <v>0</v>
      </c>
      <c r="AQ181" s="229">
        <f>CHOOSE(m_identity,ENWL!AQ181, NPgN!AQ181, NPgY!AQ181, WMID!AQ181, EMID!AQ181, SWALES!AQ181, SWEST!AQ181, LPN!AQ181,SPN!AQ181,EPN!AQ181,SPD!AQ181,SPMW!AQ181,SSEH!AQ181,SSES!AQ181)</f>
        <v>0</v>
      </c>
    </row>
    <row r="182" spans="5:43" s="98" customFormat="1" ht="15" customHeight="1">
      <c r="E182" s="249" t="s">
        <v>472</v>
      </c>
      <c r="G182" s="98" t="s">
        <v>47</v>
      </c>
      <c r="I182" s="156"/>
      <c r="AJ182" s="229">
        <f>CHOOSE(m_identity,ENWL!AJ182, NPgN!AJ182, NPgY!AJ182, WMID!AJ182, EMID!AJ182, SWALES!AJ182, SWEST!AJ182, LPN!AJ182,SPN!AJ182,EPN!AJ182,SPD!AJ182,SPMW!AJ182,SSEH!AJ182,SSES!AJ182)</f>
        <v>0</v>
      </c>
      <c r="AK182" s="229">
        <f>CHOOSE(m_identity,ENWL!AK182, NPgN!AK182, NPgY!AK182, WMID!AK182, EMID!AK182, SWALES!AK182, SWEST!AK182, LPN!AK182,SPN!AK182,EPN!AK182,SPD!AK182,SPMW!AK182,SSEH!AK182,SSES!AK182)</f>
        <v>0</v>
      </c>
      <c r="AL182" s="229">
        <f>CHOOSE(m_identity,ENWL!AL182, NPgN!AL182, NPgY!AL182, WMID!AL182, EMID!AL182, SWALES!AL182, SWEST!AL182, LPN!AL182,SPN!AL182,EPN!AL182,SPD!AL182,SPMW!AL182,SSEH!AL182,SSES!AL182)</f>
        <v>0</v>
      </c>
      <c r="AM182" s="229">
        <f>CHOOSE(m_identity,ENWL!AM182, NPgN!AM182, NPgY!AM182, WMID!AM182, EMID!AM182, SWALES!AM182, SWEST!AM182, LPN!AM182,SPN!AM182,EPN!AM182,SPD!AM182,SPMW!AM182,SSEH!AM182,SSES!AM182)</f>
        <v>0</v>
      </c>
      <c r="AN182" s="229">
        <f>CHOOSE(m_identity,ENWL!AN182, NPgN!AN182, NPgY!AN182, WMID!AN182, EMID!AN182, SWALES!AN182, SWEST!AN182, LPN!AN182,SPN!AN182,EPN!AN182,SPD!AN182,SPMW!AN182,SSEH!AN182,SSES!AN182)</f>
        <v>0</v>
      </c>
      <c r="AO182" s="229">
        <f>CHOOSE(m_identity,ENWL!AO182, NPgN!AO182, NPgY!AO182, WMID!AO182, EMID!AO182, SWALES!AO182, SWEST!AO182, LPN!AO182,SPN!AO182,EPN!AO182,SPD!AO182,SPMW!AO182,SSEH!AO182,SSES!AO182)</f>
        <v>0</v>
      </c>
      <c r="AP182" s="229">
        <f>CHOOSE(m_identity,ENWL!AP182, NPgN!AP182, NPgY!AP182, WMID!AP182, EMID!AP182, SWALES!AP182, SWEST!AP182, LPN!AP182,SPN!AP182,EPN!AP182,SPD!AP182,SPMW!AP182,SSEH!AP182,SSES!AP182)</f>
        <v>0</v>
      </c>
      <c r="AQ182" s="229">
        <f>CHOOSE(m_identity,ENWL!AQ182, NPgN!AQ182, NPgY!AQ182, WMID!AQ182, EMID!AQ182, SWALES!AQ182, SWEST!AQ182, LPN!AQ182,SPN!AQ182,EPN!AQ182,SPD!AQ182,SPMW!AQ182,SSEH!AQ182,SSES!AQ182)</f>
        <v>0</v>
      </c>
    </row>
    <row r="183" spans="5:43" s="98" customFormat="1" ht="15" customHeight="1">
      <c r="E183" s="249" t="s">
        <v>572</v>
      </c>
      <c r="G183" s="98" t="s">
        <v>47</v>
      </c>
      <c r="I183" s="156"/>
      <c r="AJ183" s="229">
        <f>CHOOSE(m_identity,ENWL!AJ183, NPgN!AJ183, NPgY!AJ183, WMID!AJ183, EMID!AJ183, SWALES!AJ183, SWEST!AJ183, LPN!AJ183,SPN!AJ183,EPN!AJ183,SPD!AJ183,SPMW!AJ183,SSEH!AJ183,SSES!AJ183)</f>
        <v>0</v>
      </c>
      <c r="AK183" s="229">
        <f>CHOOSE(m_identity,ENWL!AK183, NPgN!AK183, NPgY!AK183, WMID!AK183, EMID!AK183, SWALES!AK183, SWEST!AK183, LPN!AK183,SPN!AK183,EPN!AK183,SPD!AK183,SPMW!AK183,SSEH!AK183,SSES!AK183)</f>
        <v>0</v>
      </c>
      <c r="AL183" s="229">
        <f>CHOOSE(m_identity,ENWL!AL183, NPgN!AL183, NPgY!AL183, WMID!AL183, EMID!AL183, SWALES!AL183, SWEST!AL183, LPN!AL183,SPN!AL183,EPN!AL183,SPD!AL183,SPMW!AL183,SSEH!AL183,SSES!AL183)</f>
        <v>0</v>
      </c>
      <c r="AM183" s="229">
        <f>CHOOSE(m_identity,ENWL!AM183, NPgN!AM183, NPgY!AM183, WMID!AM183, EMID!AM183, SWALES!AM183, SWEST!AM183, LPN!AM183,SPN!AM183,EPN!AM183,SPD!AM183,SPMW!AM183,SSEH!AM183,SSES!AM183)</f>
        <v>0</v>
      </c>
      <c r="AN183" s="229">
        <f>CHOOSE(m_identity,ENWL!AN183, NPgN!AN183, NPgY!AN183, WMID!AN183, EMID!AN183, SWALES!AN183, SWEST!AN183, LPN!AN183,SPN!AN183,EPN!AN183,SPD!AN183,SPMW!AN183,SSEH!AN183,SSES!AN183)</f>
        <v>0</v>
      </c>
      <c r="AO183" s="229">
        <f>CHOOSE(m_identity,ENWL!AO183, NPgN!AO183, NPgY!AO183, WMID!AO183, EMID!AO183, SWALES!AO183, SWEST!AO183, LPN!AO183,SPN!AO183,EPN!AO183,SPD!AO183,SPMW!AO183,SSEH!AO183,SSES!AO183)</f>
        <v>0</v>
      </c>
      <c r="AP183" s="229">
        <f>CHOOSE(m_identity,ENWL!AP183, NPgN!AP183, NPgY!AP183, WMID!AP183, EMID!AP183, SWALES!AP183, SWEST!AP183, LPN!AP183,SPN!AP183,EPN!AP183,SPD!AP183,SPMW!AP183,SSEH!AP183,SSES!AP183)</f>
        <v>0</v>
      </c>
      <c r="AQ183" s="229">
        <f>CHOOSE(m_identity,ENWL!AQ183, NPgN!AQ183, NPgY!AQ183, WMID!AQ183, EMID!AQ183, SWALES!AQ183, SWEST!AQ183, LPN!AQ183,SPN!AQ183,EPN!AQ183,SPD!AQ183,SPMW!AQ183,SSEH!AQ183,SSES!AQ183)</f>
        <v>0</v>
      </c>
    </row>
    <row r="184" spans="5:43" s="98" customFormat="1" ht="15" customHeight="1">
      <c r="E184" s="249" t="s">
        <v>721</v>
      </c>
      <c r="G184" s="98" t="s">
        <v>47</v>
      </c>
      <c r="I184" s="156"/>
      <c r="AJ184" s="229">
        <f>CHOOSE(m_identity,ENWL!AJ184, NPgN!AJ184, NPgY!AJ184, WMID!AJ184, EMID!AJ184, SWALES!AJ184, SWEST!AJ184, LPN!AJ184,SPN!AJ184,EPN!AJ184,SPD!AJ184,SPMW!AJ184,SSEH!AJ184,SSES!AJ184)</f>
        <v>0</v>
      </c>
      <c r="AK184" s="229">
        <f>CHOOSE(m_identity,ENWL!AK184, NPgN!AK184, NPgY!AK184, WMID!AK184, EMID!AK184, SWALES!AK184, SWEST!AK184, LPN!AK184,SPN!AK184,EPN!AK184,SPD!AK184,SPMW!AK184,SSEH!AK184,SSES!AK184)</f>
        <v>0</v>
      </c>
      <c r="AL184" s="229">
        <f>CHOOSE(m_identity,ENWL!AL184, NPgN!AL184, NPgY!AL184, WMID!AL184, EMID!AL184, SWALES!AL184, SWEST!AL184, LPN!AL184,SPN!AL184,EPN!AL184,SPD!AL184,SPMW!AL184,SSEH!AL184,SSES!AL184)</f>
        <v>0</v>
      </c>
      <c r="AM184" s="229">
        <f>CHOOSE(m_identity,ENWL!AM184, NPgN!AM184, NPgY!AM184, WMID!AM184, EMID!AM184, SWALES!AM184, SWEST!AM184, LPN!AM184,SPN!AM184,EPN!AM184,SPD!AM184,SPMW!AM184,SSEH!AM184,SSES!AM184)</f>
        <v>0</v>
      </c>
      <c r="AN184" s="229">
        <f>CHOOSE(m_identity,ENWL!AN184, NPgN!AN184, NPgY!AN184, WMID!AN184, EMID!AN184, SWALES!AN184, SWEST!AN184, LPN!AN184,SPN!AN184,EPN!AN184,SPD!AN184,SPMW!AN184,SSEH!AN184,SSES!AN184)</f>
        <v>0</v>
      </c>
      <c r="AO184" s="229">
        <f>CHOOSE(m_identity,ENWL!AO184, NPgN!AO184, NPgY!AO184, WMID!AO184, EMID!AO184, SWALES!AO184, SWEST!AO184, LPN!AO184,SPN!AO184,EPN!AO184,SPD!AO184,SPMW!AO184,SSEH!AO184,SSES!AO184)</f>
        <v>0</v>
      </c>
      <c r="AP184" s="229">
        <f>CHOOSE(m_identity,ENWL!AP184, NPgN!AP184, NPgY!AP184, WMID!AP184, EMID!AP184, SWALES!AP184, SWEST!AP184, LPN!AP184,SPN!AP184,EPN!AP184,SPD!AP184,SPMW!AP184,SSEH!AP184,SSES!AP184)</f>
        <v>0</v>
      </c>
      <c r="AQ184" s="229">
        <f>CHOOSE(m_identity,ENWL!AQ184, NPgN!AQ184, NPgY!AQ184, WMID!AQ184, EMID!AQ184, SWALES!AQ184, SWEST!AQ184, LPN!AQ184,SPN!AQ184,EPN!AQ184,SPD!AQ184,SPMW!AQ184,SSEH!AQ184,SSES!AQ184)</f>
        <v>0</v>
      </c>
    </row>
    <row r="185" spans="5:43" s="98" customFormat="1" ht="15" customHeight="1">
      <c r="E185" s="249" t="s">
        <v>703</v>
      </c>
      <c r="G185" s="98" t="s">
        <v>47</v>
      </c>
      <c r="I185" s="156"/>
      <c r="AJ185" s="229">
        <f>CHOOSE(m_identity,ENWL!AJ185, NPgN!AJ185, NPgY!AJ185, WMID!AJ185, EMID!AJ185, SWALES!AJ185, SWEST!AJ185, LPN!AJ185,SPN!AJ185,EPN!AJ185,SPD!AJ185,SPMW!AJ185,SSEH!AJ185,SSES!AJ185)</f>
        <v>0</v>
      </c>
      <c r="AK185" s="229">
        <f>CHOOSE(m_identity,ENWL!AK185, NPgN!AK185, NPgY!AK185, WMID!AK185, EMID!AK185, SWALES!AK185, SWEST!AK185, LPN!AK185,SPN!AK185,EPN!AK185,SPD!AK185,SPMW!AK185,SSEH!AK185,SSES!AK185)</f>
        <v>0</v>
      </c>
      <c r="AL185" s="229">
        <f>CHOOSE(m_identity,ENWL!AL185, NPgN!AL185, NPgY!AL185, WMID!AL185, EMID!AL185, SWALES!AL185, SWEST!AL185, LPN!AL185,SPN!AL185,EPN!AL185,SPD!AL185,SPMW!AL185,SSEH!AL185,SSES!AL185)</f>
        <v>0</v>
      </c>
      <c r="AM185" s="229">
        <f>CHOOSE(m_identity,ENWL!AM185, NPgN!AM185, NPgY!AM185, WMID!AM185, EMID!AM185, SWALES!AM185, SWEST!AM185, LPN!AM185,SPN!AM185,EPN!AM185,SPD!AM185,SPMW!AM185,SSEH!AM185,SSES!AM185)</f>
        <v>0</v>
      </c>
      <c r="AN185" s="229">
        <f>CHOOSE(m_identity,ENWL!AN185, NPgN!AN185, NPgY!AN185, WMID!AN185, EMID!AN185, SWALES!AN185, SWEST!AN185, LPN!AN185,SPN!AN185,EPN!AN185,SPD!AN185,SPMW!AN185,SSEH!AN185,SSES!AN185)</f>
        <v>0</v>
      </c>
      <c r="AO185" s="229">
        <f>CHOOSE(m_identity,ENWL!AO185, NPgN!AO185, NPgY!AO185, WMID!AO185, EMID!AO185, SWALES!AO185, SWEST!AO185, LPN!AO185,SPN!AO185,EPN!AO185,SPD!AO185,SPMW!AO185,SSEH!AO185,SSES!AO185)</f>
        <v>0</v>
      </c>
      <c r="AP185" s="229">
        <f>CHOOSE(m_identity,ENWL!AP185, NPgN!AP185, NPgY!AP185, WMID!AP185, EMID!AP185, SWALES!AP185, SWEST!AP185, LPN!AP185,SPN!AP185,EPN!AP185,SPD!AP185,SPMW!AP185,SSEH!AP185,SSES!AP185)</f>
        <v>0</v>
      </c>
      <c r="AQ185" s="229">
        <f>CHOOSE(m_identity,ENWL!AQ185, NPgN!AQ185, NPgY!AQ185, WMID!AQ185, EMID!AQ185, SWALES!AQ185, SWEST!AQ185, LPN!AQ185,SPN!AQ185,EPN!AQ185,SPD!AQ185,SPMW!AQ185,SSEH!AQ185,SSES!AQ185)</f>
        <v>0</v>
      </c>
    </row>
    <row r="186" spans="5:43" s="98" customFormat="1" ht="15" customHeight="1">
      <c r="E186" s="249" t="s">
        <v>473</v>
      </c>
      <c r="G186" s="98" t="s">
        <v>47</v>
      </c>
      <c r="I186" s="156"/>
      <c r="AJ186" s="229">
        <f>CHOOSE(m_identity,ENWL!AJ186, NPgN!AJ186, NPgY!AJ186, WMID!AJ186, EMID!AJ186, SWALES!AJ186, SWEST!AJ186, LPN!AJ186,SPN!AJ186,EPN!AJ186,SPD!AJ186,SPMW!AJ186,SSEH!AJ186,SSES!AJ186)</f>
        <v>0</v>
      </c>
      <c r="AK186" s="229">
        <f>CHOOSE(m_identity,ENWL!AK186, NPgN!AK186, NPgY!AK186, WMID!AK186, EMID!AK186, SWALES!AK186, SWEST!AK186, LPN!AK186,SPN!AK186,EPN!AK186,SPD!AK186,SPMW!AK186,SSEH!AK186,SSES!AK186)</f>
        <v>0</v>
      </c>
      <c r="AL186" s="229">
        <f>CHOOSE(m_identity,ENWL!AL186, NPgN!AL186, NPgY!AL186, WMID!AL186, EMID!AL186, SWALES!AL186, SWEST!AL186, LPN!AL186,SPN!AL186,EPN!AL186,SPD!AL186,SPMW!AL186,SSEH!AL186,SSES!AL186)</f>
        <v>0</v>
      </c>
      <c r="AM186" s="229">
        <f>CHOOSE(m_identity,ENWL!AM186, NPgN!AM186, NPgY!AM186, WMID!AM186, EMID!AM186, SWALES!AM186, SWEST!AM186, LPN!AM186,SPN!AM186,EPN!AM186,SPD!AM186,SPMW!AM186,SSEH!AM186,SSES!AM186)</f>
        <v>0</v>
      </c>
      <c r="AN186" s="229">
        <f>CHOOSE(m_identity,ENWL!AN186, NPgN!AN186, NPgY!AN186, WMID!AN186, EMID!AN186, SWALES!AN186, SWEST!AN186, LPN!AN186,SPN!AN186,EPN!AN186,SPD!AN186,SPMW!AN186,SSEH!AN186,SSES!AN186)</f>
        <v>0</v>
      </c>
      <c r="AO186" s="229">
        <f>CHOOSE(m_identity,ENWL!AO186, NPgN!AO186, NPgY!AO186, WMID!AO186, EMID!AO186, SWALES!AO186, SWEST!AO186, LPN!AO186,SPN!AO186,EPN!AO186,SPD!AO186,SPMW!AO186,SSEH!AO186,SSES!AO186)</f>
        <v>0</v>
      </c>
      <c r="AP186" s="229">
        <f>CHOOSE(m_identity,ENWL!AP186, NPgN!AP186, NPgY!AP186, WMID!AP186, EMID!AP186, SWALES!AP186, SWEST!AP186, LPN!AP186,SPN!AP186,EPN!AP186,SPD!AP186,SPMW!AP186,SSEH!AP186,SSES!AP186)</f>
        <v>0</v>
      </c>
      <c r="AQ186" s="229">
        <f>CHOOSE(m_identity,ENWL!AQ186, NPgN!AQ186, NPgY!AQ186, WMID!AQ186, EMID!AQ186, SWALES!AQ186, SWEST!AQ186, LPN!AQ186,SPN!AQ186,EPN!AQ186,SPD!AQ186,SPMW!AQ186,SSEH!AQ186,SSES!AQ186)</f>
        <v>0</v>
      </c>
    </row>
    <row r="187" spans="5:43" ht="15" customHeight="1"/>
    <row r="188" spans="5:43" s="156" customFormat="1" ht="15" customHeight="1">
      <c r="E188" s="152" t="str">
        <f>E28</f>
        <v>Allowed Expenditure - Shetland Uncertain Energy (SSEH)</v>
      </c>
      <c r="F188" s="98"/>
      <c r="G188" s="98" t="s">
        <v>657</v>
      </c>
      <c r="AJ188" s="213">
        <f t="shared" ref="AJ188:AQ188" si="11">AJ28</f>
        <v>0</v>
      </c>
      <c r="AK188" s="213">
        <f t="shared" si="11"/>
        <v>0</v>
      </c>
      <c r="AL188" s="213">
        <f t="shared" si="11"/>
        <v>0</v>
      </c>
      <c r="AM188" s="213">
        <f t="shared" si="11"/>
        <v>0</v>
      </c>
      <c r="AN188" s="213">
        <f t="shared" si="11"/>
        <v>0</v>
      </c>
      <c r="AO188" s="213">
        <f t="shared" si="11"/>
        <v>0</v>
      </c>
      <c r="AP188" s="213">
        <f t="shared" si="11"/>
        <v>0</v>
      </c>
      <c r="AQ188" s="213">
        <f t="shared" si="11"/>
        <v>0</v>
      </c>
    </row>
    <row r="189" spans="5:43" s="156" customFormat="1" ht="15" customHeight="1">
      <c r="E189" s="249" t="s">
        <v>471</v>
      </c>
      <c r="F189" s="98"/>
      <c r="G189" s="98" t="s">
        <v>47</v>
      </c>
      <c r="AJ189" s="229">
        <f>CHOOSE(m_identity,ENWL!AJ189, NPgN!AJ189, NPgY!AJ189, WMID!AJ189, EMID!AJ189, SWALES!AJ189, SWEST!AJ189, LPN!AJ189,SPN!AJ189,EPN!AJ189,SPD!AJ189,SPMW!AJ189,SSEH!AJ189,SSES!AJ189)</f>
        <v>0</v>
      </c>
      <c r="AK189" s="229">
        <f>CHOOSE(m_identity,ENWL!AK189, NPgN!AK189, NPgY!AK189, WMID!AK189, EMID!AK189, SWALES!AK189, SWEST!AK189, LPN!AK189,SPN!AK189,EPN!AK189,SPD!AK189,SPMW!AK189,SSEH!AK189,SSES!AK189)</f>
        <v>0</v>
      </c>
      <c r="AL189" s="229">
        <f>CHOOSE(m_identity,ENWL!AL189, NPgN!AL189, NPgY!AL189, WMID!AL189, EMID!AL189, SWALES!AL189, SWEST!AL189, LPN!AL189,SPN!AL189,EPN!AL189,SPD!AL189,SPMW!AL189,SSEH!AL189,SSES!AL189)</f>
        <v>0</v>
      </c>
      <c r="AM189" s="229">
        <f>CHOOSE(m_identity,ENWL!AM189, NPgN!AM189, NPgY!AM189, WMID!AM189, EMID!AM189, SWALES!AM189, SWEST!AM189, LPN!AM189,SPN!AM189,EPN!AM189,SPD!AM189,SPMW!AM189,SSEH!AM189,SSES!AM189)</f>
        <v>0</v>
      </c>
      <c r="AN189" s="229">
        <f>CHOOSE(m_identity,ENWL!AN189, NPgN!AN189, NPgY!AN189, WMID!AN189, EMID!AN189, SWALES!AN189, SWEST!AN189, LPN!AN189,SPN!AN189,EPN!AN189,SPD!AN189,SPMW!AN189,SSEH!AN189,SSES!AN189)</f>
        <v>0</v>
      </c>
      <c r="AO189" s="229">
        <f>CHOOSE(m_identity,ENWL!AO189, NPgN!AO189, NPgY!AO189, WMID!AO189, EMID!AO189, SWALES!AO189, SWEST!AO189, LPN!AO189,SPN!AO189,EPN!AO189,SPD!AO189,SPMW!AO189,SSEH!AO189,SSES!AO189)</f>
        <v>0</v>
      </c>
      <c r="AP189" s="229">
        <f>CHOOSE(m_identity,ENWL!AP189, NPgN!AP189, NPgY!AP189, WMID!AP189, EMID!AP189, SWALES!AP189, SWEST!AP189, LPN!AP189,SPN!AP189,EPN!AP189,SPD!AP189,SPMW!AP189,SSEH!AP189,SSES!AP189)</f>
        <v>0</v>
      </c>
      <c r="AQ189" s="229">
        <f>CHOOSE(m_identity,ENWL!AQ189, NPgN!AQ189, NPgY!AQ189, WMID!AQ189, EMID!AQ189, SWALES!AQ189, SWEST!AQ189, LPN!AQ189,SPN!AQ189,EPN!AQ189,SPD!AQ189,SPMW!AQ189,SSEH!AQ189,SSES!AQ189)</f>
        <v>0</v>
      </c>
    </row>
    <row r="190" spans="5:43" s="156" customFormat="1" ht="15" customHeight="1">
      <c r="E190" s="249" t="s">
        <v>544</v>
      </c>
      <c r="F190" s="98"/>
      <c r="G190" s="98" t="s">
        <v>47</v>
      </c>
      <c r="AJ190" s="229">
        <f>CHOOSE(m_identity,ENWL!AJ190, NPgN!AJ190, NPgY!AJ190, WMID!AJ190, EMID!AJ190, SWALES!AJ190, SWEST!AJ190, LPN!AJ190,SPN!AJ190,EPN!AJ190,SPD!AJ190,SPMW!AJ190,SSEH!AJ190,SSES!AJ190)</f>
        <v>0</v>
      </c>
      <c r="AK190" s="229">
        <f>CHOOSE(m_identity,ENWL!AK190, NPgN!AK190, NPgY!AK190, WMID!AK190, EMID!AK190, SWALES!AK190, SWEST!AK190, LPN!AK190,SPN!AK190,EPN!AK190,SPD!AK190,SPMW!AK190,SSEH!AK190,SSES!AK190)</f>
        <v>0</v>
      </c>
      <c r="AL190" s="229">
        <f>CHOOSE(m_identity,ENWL!AL190, NPgN!AL190, NPgY!AL190, WMID!AL190, EMID!AL190, SWALES!AL190, SWEST!AL190, LPN!AL190,SPN!AL190,EPN!AL190,SPD!AL190,SPMW!AL190,SSEH!AL190,SSES!AL190)</f>
        <v>0</v>
      </c>
      <c r="AM190" s="229">
        <f>CHOOSE(m_identity,ENWL!AM190, NPgN!AM190, NPgY!AM190, WMID!AM190, EMID!AM190, SWALES!AM190, SWEST!AM190, LPN!AM190,SPN!AM190,EPN!AM190,SPD!AM190,SPMW!AM190,SSEH!AM190,SSES!AM190)</f>
        <v>0</v>
      </c>
      <c r="AN190" s="229">
        <f>CHOOSE(m_identity,ENWL!AN190, NPgN!AN190, NPgY!AN190, WMID!AN190, EMID!AN190, SWALES!AN190, SWEST!AN190, LPN!AN190,SPN!AN190,EPN!AN190,SPD!AN190,SPMW!AN190,SSEH!AN190,SSES!AN190)</f>
        <v>0</v>
      </c>
      <c r="AO190" s="229">
        <f>CHOOSE(m_identity,ENWL!AO190, NPgN!AO190, NPgY!AO190, WMID!AO190, EMID!AO190, SWALES!AO190, SWEST!AO190, LPN!AO190,SPN!AO190,EPN!AO190,SPD!AO190,SPMW!AO190,SSEH!AO190,SSES!AO190)</f>
        <v>0</v>
      </c>
      <c r="AP190" s="229">
        <f>CHOOSE(m_identity,ENWL!AP190, NPgN!AP190, NPgY!AP190, WMID!AP190, EMID!AP190, SWALES!AP190, SWEST!AP190, LPN!AP190,SPN!AP190,EPN!AP190,SPD!AP190,SPMW!AP190,SSEH!AP190,SSES!AP190)</f>
        <v>0</v>
      </c>
      <c r="AQ190" s="229">
        <f>CHOOSE(m_identity,ENWL!AQ190, NPgN!AQ190, NPgY!AQ190, WMID!AQ190, EMID!AQ190, SWALES!AQ190, SWEST!AQ190, LPN!AQ190,SPN!AQ190,EPN!AQ190,SPD!AQ190,SPMW!AQ190,SSEH!AQ190,SSES!AQ190)</f>
        <v>0</v>
      </c>
    </row>
    <row r="191" spans="5:43" s="156" customFormat="1" ht="15" customHeight="1">
      <c r="E191" s="249" t="s">
        <v>472</v>
      </c>
      <c r="F191" s="98"/>
      <c r="G191" s="98" t="s">
        <v>47</v>
      </c>
      <c r="AJ191" s="229">
        <f>CHOOSE(m_identity,ENWL!AJ191, NPgN!AJ191, NPgY!AJ191, WMID!AJ191, EMID!AJ191, SWALES!AJ191, SWEST!AJ191, LPN!AJ191,SPN!AJ191,EPN!AJ191,SPD!AJ191,SPMW!AJ191,SSEH!AJ191,SSES!AJ191)</f>
        <v>0</v>
      </c>
      <c r="AK191" s="229">
        <f>CHOOSE(m_identity,ENWL!AK191, NPgN!AK191, NPgY!AK191, WMID!AK191, EMID!AK191, SWALES!AK191, SWEST!AK191, LPN!AK191,SPN!AK191,EPN!AK191,SPD!AK191,SPMW!AK191,SSEH!AK191,SSES!AK191)</f>
        <v>0</v>
      </c>
      <c r="AL191" s="229">
        <f>CHOOSE(m_identity,ENWL!AL191, NPgN!AL191, NPgY!AL191, WMID!AL191, EMID!AL191, SWALES!AL191, SWEST!AL191, LPN!AL191,SPN!AL191,EPN!AL191,SPD!AL191,SPMW!AL191,SSEH!AL191,SSES!AL191)</f>
        <v>0</v>
      </c>
      <c r="AM191" s="229">
        <f>CHOOSE(m_identity,ENWL!AM191, NPgN!AM191, NPgY!AM191, WMID!AM191, EMID!AM191, SWALES!AM191, SWEST!AM191, LPN!AM191,SPN!AM191,EPN!AM191,SPD!AM191,SPMW!AM191,SSEH!AM191,SSES!AM191)</f>
        <v>0</v>
      </c>
      <c r="AN191" s="229">
        <f>CHOOSE(m_identity,ENWL!AN191, NPgN!AN191, NPgY!AN191, WMID!AN191, EMID!AN191, SWALES!AN191, SWEST!AN191, LPN!AN191,SPN!AN191,EPN!AN191,SPD!AN191,SPMW!AN191,SSEH!AN191,SSES!AN191)</f>
        <v>0</v>
      </c>
      <c r="AO191" s="229">
        <f>CHOOSE(m_identity,ENWL!AO191, NPgN!AO191, NPgY!AO191, WMID!AO191, EMID!AO191, SWALES!AO191, SWEST!AO191, LPN!AO191,SPN!AO191,EPN!AO191,SPD!AO191,SPMW!AO191,SSEH!AO191,SSES!AO191)</f>
        <v>0</v>
      </c>
      <c r="AP191" s="229">
        <f>CHOOSE(m_identity,ENWL!AP191, NPgN!AP191, NPgY!AP191, WMID!AP191, EMID!AP191, SWALES!AP191, SWEST!AP191, LPN!AP191,SPN!AP191,EPN!AP191,SPD!AP191,SPMW!AP191,SSEH!AP191,SSES!AP191)</f>
        <v>0</v>
      </c>
      <c r="AQ191" s="229">
        <f>CHOOSE(m_identity,ENWL!AQ191, NPgN!AQ191, NPgY!AQ191, WMID!AQ191, EMID!AQ191, SWALES!AQ191, SWEST!AQ191, LPN!AQ191,SPN!AQ191,EPN!AQ191,SPD!AQ191,SPMW!AQ191,SSEH!AQ191,SSES!AQ191)</f>
        <v>0</v>
      </c>
    </row>
    <row r="192" spans="5:43" s="156" customFormat="1" ht="15" customHeight="1">
      <c r="E192" s="249" t="s">
        <v>572</v>
      </c>
      <c r="F192" s="98"/>
      <c r="G192" s="98" t="s">
        <v>47</v>
      </c>
      <c r="H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229">
        <f>CHOOSE(m_identity,ENWL!AJ192, NPgN!AJ192, NPgY!AJ192, WMID!AJ192, EMID!AJ192, SWALES!AJ192, SWEST!AJ192, LPN!AJ192,SPN!AJ192,EPN!AJ192,SPD!AJ192,SPMW!AJ192,SSEH!AJ192,SSES!AJ192)</f>
        <v>0</v>
      </c>
      <c r="AK192" s="229">
        <f>CHOOSE(m_identity,ENWL!AK192, NPgN!AK192, NPgY!AK192, WMID!AK192, EMID!AK192, SWALES!AK192, SWEST!AK192, LPN!AK192,SPN!AK192,EPN!AK192,SPD!AK192,SPMW!AK192,SSEH!AK192,SSES!AK192)</f>
        <v>0</v>
      </c>
      <c r="AL192" s="229">
        <f>CHOOSE(m_identity,ENWL!AL192, NPgN!AL192, NPgY!AL192, WMID!AL192, EMID!AL192, SWALES!AL192, SWEST!AL192, LPN!AL192,SPN!AL192,EPN!AL192,SPD!AL192,SPMW!AL192,SSEH!AL192,SSES!AL192)</f>
        <v>0</v>
      </c>
      <c r="AM192" s="229">
        <f>CHOOSE(m_identity,ENWL!AM192, NPgN!AM192, NPgY!AM192, WMID!AM192, EMID!AM192, SWALES!AM192, SWEST!AM192, LPN!AM192,SPN!AM192,EPN!AM192,SPD!AM192,SPMW!AM192,SSEH!AM192,SSES!AM192)</f>
        <v>0</v>
      </c>
      <c r="AN192" s="229">
        <f>CHOOSE(m_identity,ENWL!AN192, NPgN!AN192, NPgY!AN192, WMID!AN192, EMID!AN192, SWALES!AN192, SWEST!AN192, LPN!AN192,SPN!AN192,EPN!AN192,SPD!AN192,SPMW!AN192,SSEH!AN192,SSES!AN192)</f>
        <v>0</v>
      </c>
      <c r="AO192" s="229">
        <f>CHOOSE(m_identity,ENWL!AO192, NPgN!AO192, NPgY!AO192, WMID!AO192, EMID!AO192, SWALES!AO192, SWEST!AO192, LPN!AO192,SPN!AO192,EPN!AO192,SPD!AO192,SPMW!AO192,SSEH!AO192,SSES!AO192)</f>
        <v>0</v>
      </c>
      <c r="AP192" s="229">
        <f>CHOOSE(m_identity,ENWL!AP192, NPgN!AP192, NPgY!AP192, WMID!AP192, EMID!AP192, SWALES!AP192, SWEST!AP192, LPN!AP192,SPN!AP192,EPN!AP192,SPD!AP192,SPMW!AP192,SSEH!AP192,SSES!AP192)</f>
        <v>0</v>
      </c>
      <c r="AQ192" s="229">
        <f>CHOOSE(m_identity,ENWL!AQ192, NPgN!AQ192, NPgY!AQ192, WMID!AQ192, EMID!AQ192, SWALES!AQ192, SWEST!AQ192, LPN!AQ192,SPN!AQ192,EPN!AQ192,SPD!AQ192,SPMW!AQ192,SSEH!AQ192,SSES!AQ192)</f>
        <v>0</v>
      </c>
    </row>
    <row r="193" spans="5:43" s="156" customFormat="1" ht="15" customHeight="1">
      <c r="E193" s="249" t="s">
        <v>721</v>
      </c>
      <c r="F193" s="98"/>
      <c r="G193" s="98" t="s">
        <v>47</v>
      </c>
      <c r="H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229">
        <f>CHOOSE(m_identity,ENWL!AJ193, NPgN!AJ193, NPgY!AJ193, WMID!AJ193, EMID!AJ193, SWALES!AJ193, SWEST!AJ193, LPN!AJ193,SPN!AJ193,EPN!AJ193,SPD!AJ193,SPMW!AJ193,SSEH!AJ193,SSES!AJ193)</f>
        <v>0</v>
      </c>
      <c r="AK193" s="229">
        <f>CHOOSE(m_identity,ENWL!AK193, NPgN!AK193, NPgY!AK193, WMID!AK193, EMID!AK193, SWALES!AK193, SWEST!AK193, LPN!AK193,SPN!AK193,EPN!AK193,SPD!AK193,SPMW!AK193,SSEH!AK193,SSES!AK193)</f>
        <v>0</v>
      </c>
      <c r="AL193" s="229">
        <f>CHOOSE(m_identity,ENWL!AL193, NPgN!AL193, NPgY!AL193, WMID!AL193, EMID!AL193, SWALES!AL193, SWEST!AL193, LPN!AL193,SPN!AL193,EPN!AL193,SPD!AL193,SPMW!AL193,SSEH!AL193,SSES!AL193)</f>
        <v>0</v>
      </c>
      <c r="AM193" s="229">
        <f>CHOOSE(m_identity,ENWL!AM193, NPgN!AM193, NPgY!AM193, WMID!AM193, EMID!AM193, SWALES!AM193, SWEST!AM193, LPN!AM193,SPN!AM193,EPN!AM193,SPD!AM193,SPMW!AM193,SSEH!AM193,SSES!AM193)</f>
        <v>0</v>
      </c>
      <c r="AN193" s="229">
        <f>CHOOSE(m_identity,ENWL!AN193, NPgN!AN193, NPgY!AN193, WMID!AN193, EMID!AN193, SWALES!AN193, SWEST!AN193, LPN!AN193,SPN!AN193,EPN!AN193,SPD!AN193,SPMW!AN193,SSEH!AN193,SSES!AN193)</f>
        <v>0</v>
      </c>
      <c r="AO193" s="229">
        <f>CHOOSE(m_identity,ENWL!AO193, NPgN!AO193, NPgY!AO193, WMID!AO193, EMID!AO193, SWALES!AO193, SWEST!AO193, LPN!AO193,SPN!AO193,EPN!AO193,SPD!AO193,SPMW!AO193,SSEH!AO193,SSES!AO193)</f>
        <v>0</v>
      </c>
      <c r="AP193" s="229">
        <f>CHOOSE(m_identity,ENWL!AP193, NPgN!AP193, NPgY!AP193, WMID!AP193, EMID!AP193, SWALES!AP193, SWEST!AP193, LPN!AP193,SPN!AP193,EPN!AP193,SPD!AP193,SPMW!AP193,SSEH!AP193,SSES!AP193)</f>
        <v>0</v>
      </c>
      <c r="AQ193" s="229">
        <f>CHOOSE(m_identity,ENWL!AQ193, NPgN!AQ193, NPgY!AQ193, WMID!AQ193, EMID!AQ193, SWALES!AQ193, SWEST!AQ193, LPN!AQ193,SPN!AQ193,EPN!AQ193,SPD!AQ193,SPMW!AQ193,SSEH!AQ193,SSES!AQ193)</f>
        <v>0</v>
      </c>
    </row>
    <row r="194" spans="5:43" s="156" customFormat="1" ht="15" customHeight="1">
      <c r="E194" s="249" t="s">
        <v>703</v>
      </c>
      <c r="F194" s="98"/>
      <c r="G194" s="98" t="s">
        <v>47</v>
      </c>
      <c r="H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229">
        <f>CHOOSE(m_identity,ENWL!AJ194, NPgN!AJ194, NPgY!AJ194, WMID!AJ194, EMID!AJ194, SWALES!AJ194, SWEST!AJ194, LPN!AJ194,SPN!AJ194,EPN!AJ194,SPD!AJ194,SPMW!AJ194,SSEH!AJ194,SSES!AJ194)</f>
        <v>0</v>
      </c>
      <c r="AK194" s="229">
        <f>CHOOSE(m_identity,ENWL!AK194, NPgN!AK194, NPgY!AK194, WMID!AK194, EMID!AK194, SWALES!AK194, SWEST!AK194, LPN!AK194,SPN!AK194,EPN!AK194,SPD!AK194,SPMW!AK194,SSEH!AK194,SSES!AK194)</f>
        <v>0</v>
      </c>
      <c r="AL194" s="229">
        <f>CHOOSE(m_identity,ENWL!AL194, NPgN!AL194, NPgY!AL194, WMID!AL194, EMID!AL194, SWALES!AL194, SWEST!AL194, LPN!AL194,SPN!AL194,EPN!AL194,SPD!AL194,SPMW!AL194,SSEH!AL194,SSES!AL194)</f>
        <v>0</v>
      </c>
      <c r="AM194" s="229">
        <f>CHOOSE(m_identity,ENWL!AM194, NPgN!AM194, NPgY!AM194, WMID!AM194, EMID!AM194, SWALES!AM194, SWEST!AM194, LPN!AM194,SPN!AM194,EPN!AM194,SPD!AM194,SPMW!AM194,SSEH!AM194,SSES!AM194)</f>
        <v>0</v>
      </c>
      <c r="AN194" s="229">
        <f>CHOOSE(m_identity,ENWL!AN194, NPgN!AN194, NPgY!AN194, WMID!AN194, EMID!AN194, SWALES!AN194, SWEST!AN194, LPN!AN194,SPN!AN194,EPN!AN194,SPD!AN194,SPMW!AN194,SSEH!AN194,SSES!AN194)</f>
        <v>0</v>
      </c>
      <c r="AO194" s="229">
        <f>CHOOSE(m_identity,ENWL!AO194, NPgN!AO194, NPgY!AO194, WMID!AO194, EMID!AO194, SWALES!AO194, SWEST!AO194, LPN!AO194,SPN!AO194,EPN!AO194,SPD!AO194,SPMW!AO194,SSEH!AO194,SSES!AO194)</f>
        <v>0</v>
      </c>
      <c r="AP194" s="229">
        <f>CHOOSE(m_identity,ENWL!AP194, NPgN!AP194, NPgY!AP194, WMID!AP194, EMID!AP194, SWALES!AP194, SWEST!AP194, LPN!AP194,SPN!AP194,EPN!AP194,SPD!AP194,SPMW!AP194,SSEH!AP194,SSES!AP194)</f>
        <v>0</v>
      </c>
      <c r="AQ194" s="229">
        <f>CHOOSE(m_identity,ENWL!AQ194, NPgN!AQ194, NPgY!AQ194, WMID!AQ194, EMID!AQ194, SWALES!AQ194, SWEST!AQ194, LPN!AQ194,SPN!AQ194,EPN!AQ194,SPD!AQ194,SPMW!AQ194,SSEH!AQ194,SSES!AQ194)</f>
        <v>0</v>
      </c>
    </row>
    <row r="195" spans="5:43" s="156" customFormat="1" ht="15" customHeight="1">
      <c r="E195" s="249" t="s">
        <v>473</v>
      </c>
      <c r="F195" s="98"/>
      <c r="G195" s="98" t="s">
        <v>47</v>
      </c>
      <c r="AJ195" s="229">
        <f>CHOOSE(m_identity,ENWL!AJ195, NPgN!AJ195, NPgY!AJ195, WMID!AJ195, EMID!AJ195, SWALES!AJ195, SWEST!AJ195, LPN!AJ195,SPN!AJ195,EPN!AJ195,SPD!AJ195,SPMW!AJ195,SSEH!AJ195,SSES!AJ195)</f>
        <v>0</v>
      </c>
      <c r="AK195" s="229">
        <f>CHOOSE(m_identity,ENWL!AK195, NPgN!AK195, NPgY!AK195, WMID!AK195, EMID!AK195, SWALES!AK195, SWEST!AK195, LPN!AK195,SPN!AK195,EPN!AK195,SPD!AK195,SPMW!AK195,SSEH!AK195,SSES!AK195)</f>
        <v>0</v>
      </c>
      <c r="AL195" s="229">
        <f>CHOOSE(m_identity,ENWL!AL195, NPgN!AL195, NPgY!AL195, WMID!AL195, EMID!AL195, SWALES!AL195, SWEST!AL195, LPN!AL195,SPN!AL195,EPN!AL195,SPD!AL195,SPMW!AL195,SSEH!AL195,SSES!AL195)</f>
        <v>0</v>
      </c>
      <c r="AM195" s="229">
        <f>CHOOSE(m_identity,ENWL!AM195, NPgN!AM195, NPgY!AM195, WMID!AM195, EMID!AM195, SWALES!AM195, SWEST!AM195, LPN!AM195,SPN!AM195,EPN!AM195,SPD!AM195,SPMW!AM195,SSEH!AM195,SSES!AM195)</f>
        <v>0</v>
      </c>
      <c r="AN195" s="229">
        <f>CHOOSE(m_identity,ENWL!AN195, NPgN!AN195, NPgY!AN195, WMID!AN195, EMID!AN195, SWALES!AN195, SWEST!AN195, LPN!AN195,SPN!AN195,EPN!AN195,SPD!AN195,SPMW!AN195,SSEH!AN195,SSES!AN195)</f>
        <v>0</v>
      </c>
      <c r="AO195" s="229">
        <f>CHOOSE(m_identity,ENWL!AO195, NPgN!AO195, NPgY!AO195, WMID!AO195, EMID!AO195, SWALES!AO195, SWEST!AO195, LPN!AO195,SPN!AO195,EPN!AO195,SPD!AO195,SPMW!AO195,SSEH!AO195,SSES!AO195)</f>
        <v>0</v>
      </c>
      <c r="AP195" s="229">
        <f>CHOOSE(m_identity,ENWL!AP195, NPgN!AP195, NPgY!AP195, WMID!AP195, EMID!AP195, SWALES!AP195, SWEST!AP195, LPN!AP195,SPN!AP195,EPN!AP195,SPD!AP195,SPMW!AP195,SSEH!AP195,SSES!AP195)</f>
        <v>0</v>
      </c>
      <c r="AQ195" s="229">
        <f>CHOOSE(m_identity,ENWL!AQ195, NPgN!AQ195, NPgY!AQ195, WMID!AQ195, EMID!AQ195, SWALES!AQ195, SWEST!AQ195, LPN!AQ195,SPN!AQ195,EPN!AQ195,SPD!AQ195,SPMW!AQ195,SSEH!AQ195,SSES!AQ195)</f>
        <v>0</v>
      </c>
    </row>
    <row r="196" spans="5:43" s="156" customFormat="1" ht="15" customHeight="1"/>
    <row r="197" spans="5:43" s="156" customFormat="1" ht="15" customHeight="1">
      <c r="E197" s="152" t="str">
        <f>E29</f>
        <v>Allowed Expenditure - Shetland Competitive Process (SSEH)</v>
      </c>
      <c r="F197" s="98"/>
      <c r="G197" s="98" t="s">
        <v>657</v>
      </c>
      <c r="AJ197" s="213">
        <f>AJ29</f>
        <v>0</v>
      </c>
      <c r="AK197" s="213">
        <f t="shared" ref="AK197:AQ197" si="12">AK29</f>
        <v>0</v>
      </c>
      <c r="AL197" s="213">
        <f t="shared" si="12"/>
        <v>0</v>
      </c>
      <c r="AM197" s="213">
        <f t="shared" si="12"/>
        <v>0</v>
      </c>
      <c r="AN197" s="213">
        <f t="shared" si="12"/>
        <v>0</v>
      </c>
      <c r="AO197" s="213">
        <f t="shared" si="12"/>
        <v>0</v>
      </c>
      <c r="AP197" s="213">
        <f t="shared" si="12"/>
        <v>0</v>
      </c>
      <c r="AQ197" s="213">
        <f t="shared" si="12"/>
        <v>0</v>
      </c>
    </row>
    <row r="198" spans="5:43" s="156" customFormat="1" ht="15" customHeight="1">
      <c r="E198" s="249" t="s">
        <v>471</v>
      </c>
      <c r="F198" s="98"/>
      <c r="G198" s="98" t="s">
        <v>47</v>
      </c>
      <c r="AJ198" s="229">
        <f>CHOOSE(m_identity,ENWL!AJ198, NPgN!AJ198, NPgY!AJ198, WMID!AJ198, EMID!AJ198, SWALES!AJ198, SWEST!AJ198, LPN!AJ198,SPN!AJ198,EPN!AJ198,SPD!AJ198,SPMW!AJ198,SSEH!AJ198,SSES!AJ198)</f>
        <v>0</v>
      </c>
      <c r="AK198" s="229">
        <f>CHOOSE(m_identity,ENWL!AK198, NPgN!AK198, NPgY!AK198, WMID!AK198, EMID!AK198, SWALES!AK198, SWEST!AK198, LPN!AK198,SPN!AK198,EPN!AK198,SPD!AK198,SPMW!AK198,SSEH!AK198,SSES!AK198)</f>
        <v>0</v>
      </c>
      <c r="AL198" s="229">
        <f>CHOOSE(m_identity,ENWL!AL198, NPgN!AL198, NPgY!AL198, WMID!AL198, EMID!AL198, SWALES!AL198, SWEST!AL198, LPN!AL198,SPN!AL198,EPN!AL198,SPD!AL198,SPMW!AL198,SSEH!AL198,SSES!AL198)</f>
        <v>0</v>
      </c>
      <c r="AM198" s="229">
        <f>CHOOSE(m_identity,ENWL!AM198, NPgN!AM198, NPgY!AM198, WMID!AM198, EMID!AM198, SWALES!AM198, SWEST!AM198, LPN!AM198,SPN!AM198,EPN!AM198,SPD!AM198,SPMW!AM198,SSEH!AM198,SSES!AM198)</f>
        <v>0</v>
      </c>
      <c r="AN198" s="229">
        <f>CHOOSE(m_identity,ENWL!AN198, NPgN!AN198, NPgY!AN198, WMID!AN198, EMID!AN198, SWALES!AN198, SWEST!AN198, LPN!AN198,SPN!AN198,EPN!AN198,SPD!AN198,SPMW!AN198,SSEH!AN198,SSES!AN198)</f>
        <v>0</v>
      </c>
      <c r="AO198" s="229">
        <f>CHOOSE(m_identity,ENWL!AO198, NPgN!AO198, NPgY!AO198, WMID!AO198, EMID!AO198, SWALES!AO198, SWEST!AO198, LPN!AO198,SPN!AO198,EPN!AO198,SPD!AO198,SPMW!AO198,SSEH!AO198,SSES!AO198)</f>
        <v>0</v>
      </c>
      <c r="AP198" s="229">
        <f>CHOOSE(m_identity,ENWL!AP198, NPgN!AP198, NPgY!AP198, WMID!AP198, EMID!AP198, SWALES!AP198, SWEST!AP198, LPN!AP198,SPN!AP198,EPN!AP198,SPD!AP198,SPMW!AP198,SSEH!AP198,SSES!AP198)</f>
        <v>0</v>
      </c>
      <c r="AQ198" s="229">
        <f>CHOOSE(m_identity,ENWL!AQ198, NPgN!AQ198, NPgY!AQ198, WMID!AQ198, EMID!AQ198, SWALES!AQ198, SWEST!AQ198, LPN!AQ198,SPN!AQ198,EPN!AQ198,SPD!AQ198,SPMW!AQ198,SSEH!AQ198,SSES!AQ198)</f>
        <v>0</v>
      </c>
    </row>
    <row r="199" spans="5:43" s="156" customFormat="1" ht="15" customHeight="1">
      <c r="E199" s="249" t="s">
        <v>544</v>
      </c>
      <c r="F199" s="98"/>
      <c r="G199" s="98" t="s">
        <v>47</v>
      </c>
      <c r="AJ199" s="229">
        <f>CHOOSE(m_identity,ENWL!AJ199, NPgN!AJ199, NPgY!AJ199, WMID!AJ199, EMID!AJ199, SWALES!AJ199, SWEST!AJ199, LPN!AJ199,SPN!AJ199,EPN!AJ199,SPD!AJ199,SPMW!AJ199,SSEH!AJ199,SSES!AJ199)</f>
        <v>0</v>
      </c>
      <c r="AK199" s="229">
        <f>CHOOSE(m_identity,ENWL!AK199, NPgN!AK199, NPgY!AK199, WMID!AK199, EMID!AK199, SWALES!AK199, SWEST!AK199, LPN!AK199,SPN!AK199,EPN!AK199,SPD!AK199,SPMW!AK199,SSEH!AK199,SSES!AK199)</f>
        <v>0</v>
      </c>
      <c r="AL199" s="229">
        <f>CHOOSE(m_identity,ENWL!AL199, NPgN!AL199, NPgY!AL199, WMID!AL199, EMID!AL199, SWALES!AL199, SWEST!AL199, LPN!AL199,SPN!AL199,EPN!AL199,SPD!AL199,SPMW!AL199,SSEH!AL199,SSES!AL199)</f>
        <v>0</v>
      </c>
      <c r="AM199" s="229">
        <f>CHOOSE(m_identity,ENWL!AM199, NPgN!AM199, NPgY!AM199, WMID!AM199, EMID!AM199, SWALES!AM199, SWEST!AM199, LPN!AM199,SPN!AM199,EPN!AM199,SPD!AM199,SPMW!AM199,SSEH!AM199,SSES!AM199)</f>
        <v>0</v>
      </c>
      <c r="AN199" s="229">
        <f>CHOOSE(m_identity,ENWL!AN199, NPgN!AN199, NPgY!AN199, WMID!AN199, EMID!AN199, SWALES!AN199, SWEST!AN199, LPN!AN199,SPN!AN199,EPN!AN199,SPD!AN199,SPMW!AN199,SSEH!AN199,SSES!AN199)</f>
        <v>0</v>
      </c>
      <c r="AO199" s="229">
        <f>CHOOSE(m_identity,ENWL!AO199, NPgN!AO199, NPgY!AO199, WMID!AO199, EMID!AO199, SWALES!AO199, SWEST!AO199, LPN!AO199,SPN!AO199,EPN!AO199,SPD!AO199,SPMW!AO199,SSEH!AO199,SSES!AO199)</f>
        <v>0</v>
      </c>
      <c r="AP199" s="229">
        <f>CHOOSE(m_identity,ENWL!AP199, NPgN!AP199, NPgY!AP199, WMID!AP199, EMID!AP199, SWALES!AP199, SWEST!AP199, LPN!AP199,SPN!AP199,EPN!AP199,SPD!AP199,SPMW!AP199,SSEH!AP199,SSES!AP199)</f>
        <v>0</v>
      </c>
      <c r="AQ199" s="229">
        <f>CHOOSE(m_identity,ENWL!AQ199, NPgN!AQ199, NPgY!AQ199, WMID!AQ199, EMID!AQ199, SWALES!AQ199, SWEST!AQ199, LPN!AQ199,SPN!AQ199,EPN!AQ199,SPD!AQ199,SPMW!AQ199,SSEH!AQ199,SSES!AQ199)</f>
        <v>0</v>
      </c>
    </row>
    <row r="200" spans="5:43" s="156" customFormat="1" ht="15" customHeight="1">
      <c r="E200" s="249" t="s">
        <v>472</v>
      </c>
      <c r="F200" s="98"/>
      <c r="G200" s="98" t="s">
        <v>47</v>
      </c>
      <c r="AJ200" s="229">
        <f>CHOOSE(m_identity,ENWL!AJ200, NPgN!AJ200, NPgY!AJ200, WMID!AJ200, EMID!AJ200, SWALES!AJ200, SWEST!AJ200, LPN!AJ200,SPN!AJ200,EPN!AJ200,SPD!AJ200,SPMW!AJ200,SSEH!AJ200,SSES!AJ200)</f>
        <v>0</v>
      </c>
      <c r="AK200" s="229">
        <f>CHOOSE(m_identity,ENWL!AK200, NPgN!AK200, NPgY!AK200, WMID!AK200, EMID!AK200, SWALES!AK200, SWEST!AK200, LPN!AK200,SPN!AK200,EPN!AK200,SPD!AK200,SPMW!AK200,SSEH!AK200,SSES!AK200)</f>
        <v>0</v>
      </c>
      <c r="AL200" s="229">
        <f>CHOOSE(m_identity,ENWL!AL200, NPgN!AL200, NPgY!AL200, WMID!AL200, EMID!AL200, SWALES!AL200, SWEST!AL200, LPN!AL200,SPN!AL200,EPN!AL200,SPD!AL200,SPMW!AL200,SSEH!AL200,SSES!AL200)</f>
        <v>0</v>
      </c>
      <c r="AM200" s="229">
        <f>CHOOSE(m_identity,ENWL!AM200, NPgN!AM200, NPgY!AM200, WMID!AM200, EMID!AM200, SWALES!AM200, SWEST!AM200, LPN!AM200,SPN!AM200,EPN!AM200,SPD!AM200,SPMW!AM200,SSEH!AM200,SSES!AM200)</f>
        <v>0</v>
      </c>
      <c r="AN200" s="229">
        <f>CHOOSE(m_identity,ENWL!AN200, NPgN!AN200, NPgY!AN200, WMID!AN200, EMID!AN200, SWALES!AN200, SWEST!AN200, LPN!AN200,SPN!AN200,EPN!AN200,SPD!AN200,SPMW!AN200,SSEH!AN200,SSES!AN200)</f>
        <v>0</v>
      </c>
      <c r="AO200" s="229">
        <f>CHOOSE(m_identity,ENWL!AO200, NPgN!AO200, NPgY!AO200, WMID!AO200, EMID!AO200, SWALES!AO200, SWEST!AO200, LPN!AO200,SPN!AO200,EPN!AO200,SPD!AO200,SPMW!AO200,SSEH!AO200,SSES!AO200)</f>
        <v>0</v>
      </c>
      <c r="AP200" s="229">
        <f>CHOOSE(m_identity,ENWL!AP200, NPgN!AP200, NPgY!AP200, WMID!AP200, EMID!AP200, SWALES!AP200, SWEST!AP200, LPN!AP200,SPN!AP200,EPN!AP200,SPD!AP200,SPMW!AP200,SSEH!AP200,SSES!AP200)</f>
        <v>0</v>
      </c>
      <c r="AQ200" s="229">
        <f>CHOOSE(m_identity,ENWL!AQ200, NPgN!AQ200, NPgY!AQ200, WMID!AQ200, EMID!AQ200, SWALES!AQ200, SWEST!AQ200, LPN!AQ200,SPN!AQ200,EPN!AQ200,SPD!AQ200,SPMW!AQ200,SSEH!AQ200,SSES!AQ200)</f>
        <v>0</v>
      </c>
    </row>
    <row r="201" spans="5:43" s="156" customFormat="1" ht="15" customHeight="1">
      <c r="E201" s="249" t="s">
        <v>572</v>
      </c>
      <c r="F201" s="98"/>
      <c r="G201" s="98" t="s">
        <v>47</v>
      </c>
      <c r="AJ201" s="229">
        <f>CHOOSE(m_identity,ENWL!AJ201, NPgN!AJ201, NPgY!AJ201, WMID!AJ201, EMID!AJ201, SWALES!AJ201, SWEST!AJ201, LPN!AJ201,SPN!AJ201,EPN!AJ201,SPD!AJ201,SPMW!AJ201,SSEH!AJ201,SSES!AJ201)</f>
        <v>0</v>
      </c>
      <c r="AK201" s="229">
        <f>CHOOSE(m_identity,ENWL!AK201, NPgN!AK201, NPgY!AK201, WMID!AK201, EMID!AK201, SWALES!AK201, SWEST!AK201, LPN!AK201,SPN!AK201,EPN!AK201,SPD!AK201,SPMW!AK201,SSEH!AK201,SSES!AK201)</f>
        <v>0</v>
      </c>
      <c r="AL201" s="229">
        <f>CHOOSE(m_identity,ENWL!AL201, NPgN!AL201, NPgY!AL201, WMID!AL201, EMID!AL201, SWALES!AL201, SWEST!AL201, LPN!AL201,SPN!AL201,EPN!AL201,SPD!AL201,SPMW!AL201,SSEH!AL201,SSES!AL201)</f>
        <v>0</v>
      </c>
      <c r="AM201" s="229">
        <f>CHOOSE(m_identity,ENWL!AM201, NPgN!AM201, NPgY!AM201, WMID!AM201, EMID!AM201, SWALES!AM201, SWEST!AM201, LPN!AM201,SPN!AM201,EPN!AM201,SPD!AM201,SPMW!AM201,SSEH!AM201,SSES!AM201)</f>
        <v>0</v>
      </c>
      <c r="AN201" s="229">
        <f>CHOOSE(m_identity,ENWL!AN201, NPgN!AN201, NPgY!AN201, WMID!AN201, EMID!AN201, SWALES!AN201, SWEST!AN201, LPN!AN201,SPN!AN201,EPN!AN201,SPD!AN201,SPMW!AN201,SSEH!AN201,SSES!AN201)</f>
        <v>0</v>
      </c>
      <c r="AO201" s="229">
        <f>CHOOSE(m_identity,ENWL!AO201, NPgN!AO201, NPgY!AO201, WMID!AO201, EMID!AO201, SWALES!AO201, SWEST!AO201, LPN!AO201,SPN!AO201,EPN!AO201,SPD!AO201,SPMW!AO201,SSEH!AO201,SSES!AO201)</f>
        <v>0</v>
      </c>
      <c r="AP201" s="229">
        <f>CHOOSE(m_identity,ENWL!AP201, NPgN!AP201, NPgY!AP201, WMID!AP201, EMID!AP201, SWALES!AP201, SWEST!AP201, LPN!AP201,SPN!AP201,EPN!AP201,SPD!AP201,SPMW!AP201,SSEH!AP201,SSES!AP201)</f>
        <v>0</v>
      </c>
      <c r="AQ201" s="229">
        <f>CHOOSE(m_identity,ENWL!AQ201, NPgN!AQ201, NPgY!AQ201, WMID!AQ201, EMID!AQ201, SWALES!AQ201, SWEST!AQ201, LPN!AQ201,SPN!AQ201,EPN!AQ201,SPD!AQ201,SPMW!AQ201,SSEH!AQ201,SSES!AQ201)</f>
        <v>0</v>
      </c>
    </row>
    <row r="202" spans="5:43" s="156" customFormat="1" ht="15" customHeight="1">
      <c r="E202" s="249" t="s">
        <v>721</v>
      </c>
      <c r="F202" s="98"/>
      <c r="G202" s="98" t="s">
        <v>47</v>
      </c>
      <c r="AJ202" s="229">
        <f>CHOOSE(m_identity,ENWL!AJ202, NPgN!AJ202, NPgY!AJ202, WMID!AJ202, EMID!AJ202, SWALES!AJ202, SWEST!AJ202, LPN!AJ202,SPN!AJ202,EPN!AJ202,SPD!AJ202,SPMW!AJ202,SSEH!AJ202,SSES!AJ202)</f>
        <v>0</v>
      </c>
      <c r="AK202" s="229">
        <f>CHOOSE(m_identity,ENWL!AK202, NPgN!AK202, NPgY!AK202, WMID!AK202, EMID!AK202, SWALES!AK202, SWEST!AK202, LPN!AK202,SPN!AK202,EPN!AK202,SPD!AK202,SPMW!AK202,SSEH!AK202,SSES!AK202)</f>
        <v>0</v>
      </c>
      <c r="AL202" s="229">
        <f>CHOOSE(m_identity,ENWL!AL202, NPgN!AL202, NPgY!AL202, WMID!AL202, EMID!AL202, SWALES!AL202, SWEST!AL202, LPN!AL202,SPN!AL202,EPN!AL202,SPD!AL202,SPMW!AL202,SSEH!AL202,SSES!AL202)</f>
        <v>0</v>
      </c>
      <c r="AM202" s="229">
        <f>CHOOSE(m_identity,ENWL!AM202, NPgN!AM202, NPgY!AM202, WMID!AM202, EMID!AM202, SWALES!AM202, SWEST!AM202, LPN!AM202,SPN!AM202,EPN!AM202,SPD!AM202,SPMW!AM202,SSEH!AM202,SSES!AM202)</f>
        <v>0</v>
      </c>
      <c r="AN202" s="229">
        <f>CHOOSE(m_identity,ENWL!AN202, NPgN!AN202, NPgY!AN202, WMID!AN202, EMID!AN202, SWALES!AN202, SWEST!AN202, LPN!AN202,SPN!AN202,EPN!AN202,SPD!AN202,SPMW!AN202,SSEH!AN202,SSES!AN202)</f>
        <v>0</v>
      </c>
      <c r="AO202" s="229">
        <f>CHOOSE(m_identity,ENWL!AO202, NPgN!AO202, NPgY!AO202, WMID!AO202, EMID!AO202, SWALES!AO202, SWEST!AO202, LPN!AO202,SPN!AO202,EPN!AO202,SPD!AO202,SPMW!AO202,SSEH!AO202,SSES!AO202)</f>
        <v>0</v>
      </c>
      <c r="AP202" s="229">
        <f>CHOOSE(m_identity,ENWL!AP202, NPgN!AP202, NPgY!AP202, WMID!AP202, EMID!AP202, SWALES!AP202, SWEST!AP202, LPN!AP202,SPN!AP202,EPN!AP202,SPD!AP202,SPMW!AP202,SSEH!AP202,SSES!AP202)</f>
        <v>0</v>
      </c>
      <c r="AQ202" s="229">
        <f>CHOOSE(m_identity,ENWL!AQ202, NPgN!AQ202, NPgY!AQ202, WMID!AQ202, EMID!AQ202, SWALES!AQ202, SWEST!AQ202, LPN!AQ202,SPN!AQ202,EPN!AQ202,SPD!AQ202,SPMW!AQ202,SSEH!AQ202,SSES!AQ202)</f>
        <v>0</v>
      </c>
    </row>
    <row r="203" spans="5:43" s="156" customFormat="1" ht="15" customHeight="1">
      <c r="E203" s="249" t="s">
        <v>703</v>
      </c>
      <c r="F203" s="98"/>
      <c r="G203" s="98" t="s">
        <v>47</v>
      </c>
      <c r="AJ203" s="229">
        <f>CHOOSE(m_identity,ENWL!AJ203, NPgN!AJ203, NPgY!AJ203, WMID!AJ203, EMID!AJ203, SWALES!AJ203, SWEST!AJ203, LPN!AJ203,SPN!AJ203,EPN!AJ203,SPD!AJ203,SPMW!AJ203,SSEH!AJ203,SSES!AJ203)</f>
        <v>0</v>
      </c>
      <c r="AK203" s="229">
        <f>CHOOSE(m_identity,ENWL!AK203, NPgN!AK203, NPgY!AK203, WMID!AK203, EMID!AK203, SWALES!AK203, SWEST!AK203, LPN!AK203,SPN!AK203,EPN!AK203,SPD!AK203,SPMW!AK203,SSEH!AK203,SSES!AK203)</f>
        <v>0</v>
      </c>
      <c r="AL203" s="229">
        <f>CHOOSE(m_identity,ENWL!AL203, NPgN!AL203, NPgY!AL203, WMID!AL203, EMID!AL203, SWALES!AL203, SWEST!AL203, LPN!AL203,SPN!AL203,EPN!AL203,SPD!AL203,SPMW!AL203,SSEH!AL203,SSES!AL203)</f>
        <v>0</v>
      </c>
      <c r="AM203" s="229">
        <f>CHOOSE(m_identity,ENWL!AM203, NPgN!AM203, NPgY!AM203, WMID!AM203, EMID!AM203, SWALES!AM203, SWEST!AM203, LPN!AM203,SPN!AM203,EPN!AM203,SPD!AM203,SPMW!AM203,SSEH!AM203,SSES!AM203)</f>
        <v>0</v>
      </c>
      <c r="AN203" s="229">
        <f>CHOOSE(m_identity,ENWL!AN203, NPgN!AN203, NPgY!AN203, WMID!AN203, EMID!AN203, SWALES!AN203, SWEST!AN203, LPN!AN203,SPN!AN203,EPN!AN203,SPD!AN203,SPMW!AN203,SSEH!AN203,SSES!AN203)</f>
        <v>0</v>
      </c>
      <c r="AO203" s="229">
        <f>CHOOSE(m_identity,ENWL!AO203, NPgN!AO203, NPgY!AO203, WMID!AO203, EMID!AO203, SWALES!AO203, SWEST!AO203, LPN!AO203,SPN!AO203,EPN!AO203,SPD!AO203,SPMW!AO203,SSEH!AO203,SSES!AO203)</f>
        <v>0</v>
      </c>
      <c r="AP203" s="229">
        <f>CHOOSE(m_identity,ENWL!AP203, NPgN!AP203, NPgY!AP203, WMID!AP203, EMID!AP203, SWALES!AP203, SWEST!AP203, LPN!AP203,SPN!AP203,EPN!AP203,SPD!AP203,SPMW!AP203,SSEH!AP203,SSES!AP203)</f>
        <v>0</v>
      </c>
      <c r="AQ203" s="229">
        <f>CHOOSE(m_identity,ENWL!AQ203, NPgN!AQ203, NPgY!AQ203, WMID!AQ203, EMID!AQ203, SWALES!AQ203, SWEST!AQ203, LPN!AQ203,SPN!AQ203,EPN!AQ203,SPD!AQ203,SPMW!AQ203,SSEH!AQ203,SSES!AQ203)</f>
        <v>0</v>
      </c>
    </row>
    <row r="204" spans="5:43" s="156" customFormat="1" ht="15" customHeight="1">
      <c r="E204" s="249" t="s">
        <v>473</v>
      </c>
      <c r="F204" s="98"/>
      <c r="G204" s="98" t="s">
        <v>47</v>
      </c>
      <c r="AJ204" s="229">
        <f>CHOOSE(m_identity,ENWL!AJ204, NPgN!AJ204, NPgY!AJ204, WMID!AJ204, EMID!AJ204, SWALES!AJ204, SWEST!AJ204, LPN!AJ204,SPN!AJ204,EPN!AJ204,SPD!AJ204,SPMW!AJ204,SSEH!AJ204,SSES!AJ204)</f>
        <v>0</v>
      </c>
      <c r="AK204" s="229">
        <f>CHOOSE(m_identity,ENWL!AK204, NPgN!AK204, NPgY!AK204, WMID!AK204, EMID!AK204, SWALES!AK204, SWEST!AK204, LPN!AK204,SPN!AK204,EPN!AK204,SPD!AK204,SPMW!AK204,SSEH!AK204,SSES!AK204)</f>
        <v>0</v>
      </c>
      <c r="AL204" s="229">
        <f>CHOOSE(m_identity,ENWL!AL204, NPgN!AL204, NPgY!AL204, WMID!AL204, EMID!AL204, SWALES!AL204, SWEST!AL204, LPN!AL204,SPN!AL204,EPN!AL204,SPD!AL204,SPMW!AL204,SSEH!AL204,SSES!AL204)</f>
        <v>0</v>
      </c>
      <c r="AM204" s="229">
        <f>CHOOSE(m_identity,ENWL!AM204, NPgN!AM204, NPgY!AM204, WMID!AM204, EMID!AM204, SWALES!AM204, SWEST!AM204, LPN!AM204,SPN!AM204,EPN!AM204,SPD!AM204,SPMW!AM204,SSEH!AM204,SSES!AM204)</f>
        <v>0</v>
      </c>
      <c r="AN204" s="229">
        <f>CHOOSE(m_identity,ENWL!AN204, NPgN!AN204, NPgY!AN204, WMID!AN204, EMID!AN204, SWALES!AN204, SWEST!AN204, LPN!AN204,SPN!AN204,EPN!AN204,SPD!AN204,SPMW!AN204,SSEH!AN204,SSES!AN204)</f>
        <v>0</v>
      </c>
      <c r="AO204" s="229">
        <f>CHOOSE(m_identity,ENWL!AO204, NPgN!AO204, NPgY!AO204, WMID!AO204, EMID!AO204, SWALES!AO204, SWEST!AO204, LPN!AO204,SPN!AO204,EPN!AO204,SPD!AO204,SPMW!AO204,SSEH!AO204,SSES!AO204)</f>
        <v>0</v>
      </c>
      <c r="AP204" s="229">
        <f>CHOOSE(m_identity,ENWL!AP204, NPgN!AP204, NPgY!AP204, WMID!AP204, EMID!AP204, SWALES!AP204, SWEST!AP204, LPN!AP204,SPN!AP204,EPN!AP204,SPD!AP204,SPMW!AP204,SSEH!AP204,SSES!AP204)</f>
        <v>0</v>
      </c>
      <c r="AQ204" s="229">
        <f>CHOOSE(m_identity,ENWL!AQ204, NPgN!AQ204, NPgY!AQ204, WMID!AQ204, EMID!AQ204, SWALES!AQ204, SWEST!AQ204, LPN!AQ204,SPN!AQ204,EPN!AQ204,SPD!AQ204,SPMW!AQ204,SSEH!AQ204,SSES!AQ204)</f>
        <v>0</v>
      </c>
    </row>
    <row r="205" spans="5:43" s="156" customFormat="1" ht="15" customHeight="1"/>
    <row r="206" spans="5:43" s="156" customFormat="1" ht="15" customHeight="1">
      <c r="E206" s="156" t="str">
        <f>$E$30</f>
        <v>Allowed Expenditure - Link Boxes</v>
      </c>
      <c r="G206" s="98" t="s">
        <v>657</v>
      </c>
      <c r="AJ206" s="213">
        <f>AJ30</f>
        <v>0</v>
      </c>
      <c r="AK206" s="213">
        <f t="shared" ref="AK206:AQ206" si="13">AK30</f>
        <v>0</v>
      </c>
      <c r="AL206" s="213">
        <f t="shared" si="13"/>
        <v>0</v>
      </c>
      <c r="AM206" s="213">
        <f t="shared" si="13"/>
        <v>0</v>
      </c>
      <c r="AN206" s="213">
        <f t="shared" si="13"/>
        <v>0</v>
      </c>
      <c r="AO206" s="213">
        <f t="shared" si="13"/>
        <v>0</v>
      </c>
      <c r="AP206" s="213">
        <f t="shared" si="13"/>
        <v>0</v>
      </c>
      <c r="AQ206" s="213">
        <f t="shared" si="13"/>
        <v>0</v>
      </c>
    </row>
    <row r="207" spans="5:43" s="156" customFormat="1" ht="15" customHeight="1">
      <c r="E207" s="249" t="s">
        <v>471</v>
      </c>
      <c r="G207" s="98" t="s">
        <v>47</v>
      </c>
      <c r="AJ207" s="229">
        <f>CHOOSE(m_identity,ENWL!AJ207, NPgN!AJ207, NPgY!AJ207, WMID!AJ207, EMID!AJ207, SWALES!AJ207, SWEST!AJ207, LPN!AJ207,SPN!AJ207,EPN!AJ207,SPD!AJ207,SPMW!AJ207,SSEH!AJ207,SSES!AJ207)</f>
        <v>0</v>
      </c>
      <c r="AK207" s="229">
        <f>CHOOSE(m_identity,ENWL!AK207, NPgN!AK207, NPgY!AK207, WMID!AK207, EMID!AK207, SWALES!AK207, SWEST!AK207, LPN!AK207,SPN!AK207,EPN!AK207,SPD!AK207,SPMW!AK207,SSEH!AK207,SSES!AK207)</f>
        <v>0</v>
      </c>
      <c r="AL207" s="229">
        <f>CHOOSE(m_identity,ENWL!AL207, NPgN!AL207, NPgY!AL207, WMID!AL207, EMID!AL207, SWALES!AL207, SWEST!AL207, LPN!AL207,SPN!AL207,EPN!AL207,SPD!AL207,SPMW!AL207,SSEH!AL207,SSES!AL207)</f>
        <v>0</v>
      </c>
      <c r="AM207" s="229">
        <f>CHOOSE(m_identity,ENWL!AM207, NPgN!AM207, NPgY!AM207, WMID!AM207, EMID!AM207, SWALES!AM207, SWEST!AM207, LPN!AM207,SPN!AM207,EPN!AM207,SPD!AM207,SPMW!AM207,SSEH!AM207,SSES!AM207)</f>
        <v>0</v>
      </c>
      <c r="AN207" s="229">
        <f>CHOOSE(m_identity,ENWL!AN207, NPgN!AN207, NPgY!AN207, WMID!AN207, EMID!AN207, SWALES!AN207, SWEST!AN207, LPN!AN207,SPN!AN207,EPN!AN207,SPD!AN207,SPMW!AN207,SSEH!AN207,SSES!AN207)</f>
        <v>0</v>
      </c>
      <c r="AO207" s="229">
        <f>CHOOSE(m_identity,ENWL!AO207, NPgN!AO207, NPgY!AO207, WMID!AO207, EMID!AO207, SWALES!AO207, SWEST!AO207, LPN!AO207,SPN!AO207,EPN!AO207,SPD!AO207,SPMW!AO207,SSEH!AO207,SSES!AO207)</f>
        <v>0</v>
      </c>
      <c r="AP207" s="229">
        <f>CHOOSE(m_identity,ENWL!AP207, NPgN!AP207, NPgY!AP207, WMID!AP207, EMID!AP207, SWALES!AP207, SWEST!AP207, LPN!AP207,SPN!AP207,EPN!AP207,SPD!AP207,SPMW!AP207,SSEH!AP207,SSES!AP207)</f>
        <v>0</v>
      </c>
      <c r="AQ207" s="229">
        <f>CHOOSE(m_identity,ENWL!AQ207, NPgN!AQ207, NPgY!AQ207, WMID!AQ207, EMID!AQ207, SWALES!AQ207, SWEST!AQ207, LPN!AQ207,SPN!AQ207,EPN!AQ207,SPD!AQ207,SPMW!AQ207,SSEH!AQ207,SSES!AQ207)</f>
        <v>0</v>
      </c>
    </row>
    <row r="208" spans="5:43" s="156" customFormat="1" ht="15" customHeight="1">
      <c r="E208" s="249" t="s">
        <v>544</v>
      </c>
      <c r="G208" s="98" t="s">
        <v>47</v>
      </c>
      <c r="AJ208" s="229">
        <f>CHOOSE(m_identity,ENWL!AJ208, NPgN!AJ208, NPgY!AJ208, WMID!AJ208, EMID!AJ208, SWALES!AJ208, SWEST!AJ208, LPN!AJ208,SPN!AJ208,EPN!AJ208,SPD!AJ208,SPMW!AJ208,SSEH!AJ208,SSES!AJ208)</f>
        <v>0</v>
      </c>
      <c r="AK208" s="229">
        <f>CHOOSE(m_identity,ENWL!AK208, NPgN!AK208, NPgY!AK208, WMID!AK208, EMID!AK208, SWALES!AK208, SWEST!AK208, LPN!AK208,SPN!AK208,EPN!AK208,SPD!AK208,SPMW!AK208,SSEH!AK208,SSES!AK208)</f>
        <v>0</v>
      </c>
      <c r="AL208" s="229">
        <f>CHOOSE(m_identity,ENWL!AL208, NPgN!AL208, NPgY!AL208, WMID!AL208, EMID!AL208, SWALES!AL208, SWEST!AL208, LPN!AL208,SPN!AL208,EPN!AL208,SPD!AL208,SPMW!AL208,SSEH!AL208,SSES!AL208)</f>
        <v>0</v>
      </c>
      <c r="AM208" s="229">
        <f>CHOOSE(m_identity,ENWL!AM208, NPgN!AM208, NPgY!AM208, WMID!AM208, EMID!AM208, SWALES!AM208, SWEST!AM208, LPN!AM208,SPN!AM208,EPN!AM208,SPD!AM208,SPMW!AM208,SSEH!AM208,SSES!AM208)</f>
        <v>0</v>
      </c>
      <c r="AN208" s="229">
        <f>CHOOSE(m_identity,ENWL!AN208, NPgN!AN208, NPgY!AN208, WMID!AN208, EMID!AN208, SWALES!AN208, SWEST!AN208, LPN!AN208,SPN!AN208,EPN!AN208,SPD!AN208,SPMW!AN208,SSEH!AN208,SSES!AN208)</f>
        <v>0</v>
      </c>
      <c r="AO208" s="229">
        <f>CHOOSE(m_identity,ENWL!AO208, NPgN!AO208, NPgY!AO208, WMID!AO208, EMID!AO208, SWALES!AO208, SWEST!AO208, LPN!AO208,SPN!AO208,EPN!AO208,SPD!AO208,SPMW!AO208,SSEH!AO208,SSES!AO208)</f>
        <v>0</v>
      </c>
      <c r="AP208" s="229">
        <f>CHOOSE(m_identity,ENWL!AP208, NPgN!AP208, NPgY!AP208, WMID!AP208, EMID!AP208, SWALES!AP208, SWEST!AP208, LPN!AP208,SPN!AP208,EPN!AP208,SPD!AP208,SPMW!AP208,SSEH!AP208,SSES!AP208)</f>
        <v>0</v>
      </c>
      <c r="AQ208" s="229">
        <f>CHOOSE(m_identity,ENWL!AQ208, NPgN!AQ208, NPgY!AQ208, WMID!AQ208, EMID!AQ208, SWALES!AQ208, SWEST!AQ208, LPN!AQ208,SPN!AQ208,EPN!AQ208,SPD!AQ208,SPMW!AQ208,SSEH!AQ208,SSES!AQ208)</f>
        <v>0</v>
      </c>
    </row>
    <row r="209" spans="5:43" s="156" customFormat="1" ht="15" customHeight="1">
      <c r="E209" s="249" t="s">
        <v>472</v>
      </c>
      <c r="G209" s="98" t="s">
        <v>47</v>
      </c>
      <c r="AJ209" s="229">
        <f>CHOOSE(m_identity,ENWL!AJ209, NPgN!AJ209, NPgY!AJ209, WMID!AJ209, EMID!AJ209, SWALES!AJ209, SWEST!AJ209, LPN!AJ209,SPN!AJ209,EPN!AJ209,SPD!AJ209,SPMW!AJ209,SSEH!AJ209,SSES!AJ209)</f>
        <v>0</v>
      </c>
      <c r="AK209" s="229">
        <f>CHOOSE(m_identity,ENWL!AK209, NPgN!AK209, NPgY!AK209, WMID!AK209, EMID!AK209, SWALES!AK209, SWEST!AK209, LPN!AK209,SPN!AK209,EPN!AK209,SPD!AK209,SPMW!AK209,SSEH!AK209,SSES!AK209)</f>
        <v>0</v>
      </c>
      <c r="AL209" s="229">
        <f>CHOOSE(m_identity,ENWL!AL209, NPgN!AL209, NPgY!AL209, WMID!AL209, EMID!AL209, SWALES!AL209, SWEST!AL209, LPN!AL209,SPN!AL209,EPN!AL209,SPD!AL209,SPMW!AL209,SSEH!AL209,SSES!AL209)</f>
        <v>0</v>
      </c>
      <c r="AM209" s="229">
        <f>CHOOSE(m_identity,ENWL!AM209, NPgN!AM209, NPgY!AM209, WMID!AM209, EMID!AM209, SWALES!AM209, SWEST!AM209, LPN!AM209,SPN!AM209,EPN!AM209,SPD!AM209,SPMW!AM209,SSEH!AM209,SSES!AM209)</f>
        <v>0</v>
      </c>
      <c r="AN209" s="229">
        <f>CHOOSE(m_identity,ENWL!AN209, NPgN!AN209, NPgY!AN209, WMID!AN209, EMID!AN209, SWALES!AN209, SWEST!AN209, LPN!AN209,SPN!AN209,EPN!AN209,SPD!AN209,SPMW!AN209,SSEH!AN209,SSES!AN209)</f>
        <v>0</v>
      </c>
      <c r="AO209" s="229">
        <f>CHOOSE(m_identity,ENWL!AO209, NPgN!AO209, NPgY!AO209, WMID!AO209, EMID!AO209, SWALES!AO209, SWEST!AO209, LPN!AO209,SPN!AO209,EPN!AO209,SPD!AO209,SPMW!AO209,SSEH!AO209,SSES!AO209)</f>
        <v>0</v>
      </c>
      <c r="AP209" s="229">
        <f>CHOOSE(m_identity,ENWL!AP209, NPgN!AP209, NPgY!AP209, WMID!AP209, EMID!AP209, SWALES!AP209, SWEST!AP209, LPN!AP209,SPN!AP209,EPN!AP209,SPD!AP209,SPMW!AP209,SSEH!AP209,SSES!AP209)</f>
        <v>0</v>
      </c>
      <c r="AQ209" s="229">
        <f>CHOOSE(m_identity,ENWL!AQ209, NPgN!AQ209, NPgY!AQ209, WMID!AQ209, EMID!AQ209, SWALES!AQ209, SWEST!AQ209, LPN!AQ209,SPN!AQ209,EPN!AQ209,SPD!AQ209,SPMW!AQ209,SSEH!AQ209,SSES!AQ209)</f>
        <v>0</v>
      </c>
    </row>
    <row r="210" spans="5:43" s="156" customFormat="1" ht="15" customHeight="1">
      <c r="E210" s="249" t="s">
        <v>572</v>
      </c>
      <c r="G210" s="98" t="s">
        <v>47</v>
      </c>
      <c r="AJ210" s="229">
        <f>CHOOSE(m_identity,ENWL!AJ210, NPgN!AJ210, NPgY!AJ210, WMID!AJ210, EMID!AJ210, SWALES!AJ210, SWEST!AJ210, LPN!AJ210,SPN!AJ210,EPN!AJ210,SPD!AJ210,SPMW!AJ210,SSEH!AJ210,SSES!AJ210)</f>
        <v>0</v>
      </c>
      <c r="AK210" s="229">
        <f>CHOOSE(m_identity,ENWL!AK210, NPgN!AK210, NPgY!AK210, WMID!AK210, EMID!AK210, SWALES!AK210, SWEST!AK210, LPN!AK210,SPN!AK210,EPN!AK210,SPD!AK210,SPMW!AK210,SSEH!AK210,SSES!AK210)</f>
        <v>0</v>
      </c>
      <c r="AL210" s="229">
        <f>CHOOSE(m_identity,ENWL!AL210, NPgN!AL210, NPgY!AL210, WMID!AL210, EMID!AL210, SWALES!AL210, SWEST!AL210, LPN!AL210,SPN!AL210,EPN!AL210,SPD!AL210,SPMW!AL210,SSEH!AL210,SSES!AL210)</f>
        <v>0</v>
      </c>
      <c r="AM210" s="229">
        <f>CHOOSE(m_identity,ENWL!AM210, NPgN!AM210, NPgY!AM210, WMID!AM210, EMID!AM210, SWALES!AM210, SWEST!AM210, LPN!AM210,SPN!AM210,EPN!AM210,SPD!AM210,SPMW!AM210,SSEH!AM210,SSES!AM210)</f>
        <v>0</v>
      </c>
      <c r="AN210" s="229">
        <f>CHOOSE(m_identity,ENWL!AN210, NPgN!AN210, NPgY!AN210, WMID!AN210, EMID!AN210, SWALES!AN210, SWEST!AN210, LPN!AN210,SPN!AN210,EPN!AN210,SPD!AN210,SPMW!AN210,SSEH!AN210,SSES!AN210)</f>
        <v>0</v>
      </c>
      <c r="AO210" s="229">
        <f>CHOOSE(m_identity,ENWL!AO210, NPgN!AO210, NPgY!AO210, WMID!AO210, EMID!AO210, SWALES!AO210, SWEST!AO210, LPN!AO210,SPN!AO210,EPN!AO210,SPD!AO210,SPMW!AO210,SSEH!AO210,SSES!AO210)</f>
        <v>0</v>
      </c>
      <c r="AP210" s="229">
        <f>CHOOSE(m_identity,ENWL!AP210, NPgN!AP210, NPgY!AP210, WMID!AP210, EMID!AP210, SWALES!AP210, SWEST!AP210, LPN!AP210,SPN!AP210,EPN!AP210,SPD!AP210,SPMW!AP210,SSEH!AP210,SSES!AP210)</f>
        <v>0</v>
      </c>
      <c r="AQ210" s="229">
        <f>CHOOSE(m_identity,ENWL!AQ210, NPgN!AQ210, NPgY!AQ210, WMID!AQ210, EMID!AQ210, SWALES!AQ210, SWEST!AQ210, LPN!AQ210,SPN!AQ210,EPN!AQ210,SPD!AQ210,SPMW!AQ210,SSEH!AQ210,SSES!AQ210)</f>
        <v>0</v>
      </c>
    </row>
    <row r="211" spans="5:43" s="156" customFormat="1" ht="15" customHeight="1">
      <c r="E211" s="249" t="s">
        <v>721</v>
      </c>
      <c r="G211" s="98" t="s">
        <v>47</v>
      </c>
      <c r="AJ211" s="229">
        <f>CHOOSE(m_identity,ENWL!AJ211, NPgN!AJ211, NPgY!AJ211, WMID!AJ211, EMID!AJ211, SWALES!AJ211, SWEST!AJ211, LPN!AJ211,SPN!AJ211,EPN!AJ211,SPD!AJ211,SPMW!AJ211,SSEH!AJ211,SSES!AJ211)</f>
        <v>0</v>
      </c>
      <c r="AK211" s="229">
        <f>CHOOSE(m_identity,ENWL!AK211, NPgN!AK211, NPgY!AK211, WMID!AK211, EMID!AK211, SWALES!AK211, SWEST!AK211, LPN!AK211,SPN!AK211,EPN!AK211,SPD!AK211,SPMW!AK211,SSEH!AK211,SSES!AK211)</f>
        <v>0</v>
      </c>
      <c r="AL211" s="229">
        <f>CHOOSE(m_identity,ENWL!AL211, NPgN!AL211, NPgY!AL211, WMID!AL211, EMID!AL211, SWALES!AL211, SWEST!AL211, LPN!AL211,SPN!AL211,EPN!AL211,SPD!AL211,SPMW!AL211,SSEH!AL211,SSES!AL211)</f>
        <v>0</v>
      </c>
      <c r="AM211" s="229">
        <f>CHOOSE(m_identity,ENWL!AM211, NPgN!AM211, NPgY!AM211, WMID!AM211, EMID!AM211, SWALES!AM211, SWEST!AM211, LPN!AM211,SPN!AM211,EPN!AM211,SPD!AM211,SPMW!AM211,SSEH!AM211,SSES!AM211)</f>
        <v>0</v>
      </c>
      <c r="AN211" s="229">
        <f>CHOOSE(m_identity,ENWL!AN211, NPgN!AN211, NPgY!AN211, WMID!AN211, EMID!AN211, SWALES!AN211, SWEST!AN211, LPN!AN211,SPN!AN211,EPN!AN211,SPD!AN211,SPMW!AN211,SSEH!AN211,SSES!AN211)</f>
        <v>0</v>
      </c>
      <c r="AO211" s="229">
        <f>CHOOSE(m_identity,ENWL!AO211, NPgN!AO211, NPgY!AO211, WMID!AO211, EMID!AO211, SWALES!AO211, SWEST!AO211, LPN!AO211,SPN!AO211,EPN!AO211,SPD!AO211,SPMW!AO211,SSEH!AO211,SSES!AO211)</f>
        <v>0</v>
      </c>
      <c r="AP211" s="229">
        <f>CHOOSE(m_identity,ENWL!AP211, NPgN!AP211, NPgY!AP211, WMID!AP211, EMID!AP211, SWALES!AP211, SWEST!AP211, LPN!AP211,SPN!AP211,EPN!AP211,SPD!AP211,SPMW!AP211,SSEH!AP211,SSES!AP211)</f>
        <v>0</v>
      </c>
      <c r="AQ211" s="229">
        <f>CHOOSE(m_identity,ENWL!AQ211, NPgN!AQ211, NPgY!AQ211, WMID!AQ211, EMID!AQ211, SWALES!AQ211, SWEST!AQ211, LPN!AQ211,SPN!AQ211,EPN!AQ211,SPD!AQ211,SPMW!AQ211,SSEH!AQ211,SSES!AQ211)</f>
        <v>0</v>
      </c>
    </row>
    <row r="212" spans="5:43" s="156" customFormat="1" ht="15" customHeight="1">
      <c r="E212" s="249" t="s">
        <v>703</v>
      </c>
      <c r="G212" s="98" t="s">
        <v>47</v>
      </c>
      <c r="AJ212" s="229">
        <f>CHOOSE(m_identity,ENWL!AJ212, NPgN!AJ212, NPgY!AJ212, WMID!AJ212, EMID!AJ212, SWALES!AJ212, SWEST!AJ212, LPN!AJ212,SPN!AJ212,EPN!AJ212,SPD!AJ212,SPMW!AJ212,SSEH!AJ212,SSES!AJ212)</f>
        <v>0</v>
      </c>
      <c r="AK212" s="229">
        <f>CHOOSE(m_identity,ENWL!AK212, NPgN!AK212, NPgY!AK212, WMID!AK212, EMID!AK212, SWALES!AK212, SWEST!AK212, LPN!AK212,SPN!AK212,EPN!AK212,SPD!AK212,SPMW!AK212,SSEH!AK212,SSES!AK212)</f>
        <v>0</v>
      </c>
      <c r="AL212" s="229">
        <f>CHOOSE(m_identity,ENWL!AL212, NPgN!AL212, NPgY!AL212, WMID!AL212, EMID!AL212, SWALES!AL212, SWEST!AL212, LPN!AL212,SPN!AL212,EPN!AL212,SPD!AL212,SPMW!AL212,SSEH!AL212,SSES!AL212)</f>
        <v>0</v>
      </c>
      <c r="AM212" s="229">
        <f>CHOOSE(m_identity,ENWL!AM212, NPgN!AM212, NPgY!AM212, WMID!AM212, EMID!AM212, SWALES!AM212, SWEST!AM212, LPN!AM212,SPN!AM212,EPN!AM212,SPD!AM212,SPMW!AM212,SSEH!AM212,SSES!AM212)</f>
        <v>0</v>
      </c>
      <c r="AN212" s="229">
        <f>CHOOSE(m_identity,ENWL!AN212, NPgN!AN212, NPgY!AN212, WMID!AN212, EMID!AN212, SWALES!AN212, SWEST!AN212, LPN!AN212,SPN!AN212,EPN!AN212,SPD!AN212,SPMW!AN212,SSEH!AN212,SSES!AN212)</f>
        <v>0</v>
      </c>
      <c r="AO212" s="229">
        <f>CHOOSE(m_identity,ENWL!AO212, NPgN!AO212, NPgY!AO212, WMID!AO212, EMID!AO212, SWALES!AO212, SWEST!AO212, LPN!AO212,SPN!AO212,EPN!AO212,SPD!AO212,SPMW!AO212,SSEH!AO212,SSES!AO212)</f>
        <v>0</v>
      </c>
      <c r="AP212" s="229">
        <f>CHOOSE(m_identity,ENWL!AP212, NPgN!AP212, NPgY!AP212, WMID!AP212, EMID!AP212, SWALES!AP212, SWEST!AP212, LPN!AP212,SPN!AP212,EPN!AP212,SPD!AP212,SPMW!AP212,SSEH!AP212,SSES!AP212)</f>
        <v>0</v>
      </c>
      <c r="AQ212" s="229">
        <f>CHOOSE(m_identity,ENWL!AQ212, NPgN!AQ212, NPgY!AQ212, WMID!AQ212, EMID!AQ212, SWALES!AQ212, SWEST!AQ212, LPN!AQ212,SPN!AQ212,EPN!AQ212,SPD!AQ212,SPMW!AQ212,SSEH!AQ212,SSES!AQ212)</f>
        <v>0</v>
      </c>
    </row>
    <row r="213" spans="5:43" s="156" customFormat="1" ht="15" customHeight="1">
      <c r="E213" s="249" t="s">
        <v>473</v>
      </c>
      <c r="G213" s="98" t="s">
        <v>47</v>
      </c>
      <c r="AJ213" s="229">
        <f>CHOOSE(m_identity,ENWL!AJ213, NPgN!AJ213, NPgY!AJ213, WMID!AJ213, EMID!AJ213, SWALES!AJ213, SWEST!AJ213, LPN!AJ213,SPN!AJ213,EPN!AJ213,SPD!AJ213,SPMW!AJ213,SSEH!AJ213,SSES!AJ213)</f>
        <v>0</v>
      </c>
      <c r="AK213" s="229">
        <f>CHOOSE(m_identity,ENWL!AK213, NPgN!AK213, NPgY!AK213, WMID!AK213, EMID!AK213, SWALES!AK213, SWEST!AK213, LPN!AK213,SPN!AK213,EPN!AK213,SPD!AK213,SPMW!AK213,SSEH!AK213,SSES!AK213)</f>
        <v>0</v>
      </c>
      <c r="AL213" s="229">
        <f>CHOOSE(m_identity,ENWL!AL213, NPgN!AL213, NPgY!AL213, WMID!AL213, EMID!AL213, SWALES!AL213, SWEST!AL213, LPN!AL213,SPN!AL213,EPN!AL213,SPD!AL213,SPMW!AL213,SSEH!AL213,SSES!AL213)</f>
        <v>0</v>
      </c>
      <c r="AM213" s="229">
        <f>CHOOSE(m_identity,ENWL!AM213, NPgN!AM213, NPgY!AM213, WMID!AM213, EMID!AM213, SWALES!AM213, SWEST!AM213, LPN!AM213,SPN!AM213,EPN!AM213,SPD!AM213,SPMW!AM213,SSEH!AM213,SSES!AM213)</f>
        <v>0</v>
      </c>
      <c r="AN213" s="229">
        <f>CHOOSE(m_identity,ENWL!AN213, NPgN!AN213, NPgY!AN213, WMID!AN213, EMID!AN213, SWALES!AN213, SWEST!AN213, LPN!AN213,SPN!AN213,EPN!AN213,SPD!AN213,SPMW!AN213,SSEH!AN213,SSES!AN213)</f>
        <v>0</v>
      </c>
      <c r="AO213" s="229">
        <f>CHOOSE(m_identity,ENWL!AO213, NPgN!AO213, NPgY!AO213, WMID!AO213, EMID!AO213, SWALES!AO213, SWEST!AO213, LPN!AO213,SPN!AO213,EPN!AO213,SPD!AO213,SPMW!AO213,SSEH!AO213,SSES!AO213)</f>
        <v>0</v>
      </c>
      <c r="AP213" s="229">
        <f>CHOOSE(m_identity,ENWL!AP213, NPgN!AP213, NPgY!AP213, WMID!AP213, EMID!AP213, SWALES!AP213, SWEST!AP213, LPN!AP213,SPN!AP213,EPN!AP213,SPD!AP213,SPMW!AP213,SSEH!AP213,SSES!AP213)</f>
        <v>0</v>
      </c>
      <c r="AQ213" s="229">
        <f>CHOOSE(m_identity,ENWL!AQ213, NPgN!AQ213, NPgY!AQ213, WMID!AQ213, EMID!AQ213, SWALES!AQ213, SWEST!AQ213, LPN!AQ213,SPN!AQ213,EPN!AQ213,SPD!AQ213,SPMW!AQ213,SSEH!AQ213,SSES!AQ213)</f>
        <v>0</v>
      </c>
    </row>
    <row r="214" spans="5:43" s="156" customFormat="1" ht="15" customHeight="1"/>
    <row r="215" spans="5:43" s="156" customFormat="1" ht="15" customHeight="1">
      <c r="E215" s="156" t="str">
        <f>$E$31</f>
        <v>Allowed Expenditure - Subsea Cables (SSEH)</v>
      </c>
      <c r="G215" s="98" t="s">
        <v>657</v>
      </c>
      <c r="AJ215" s="213">
        <f>AJ31</f>
        <v>0</v>
      </c>
      <c r="AK215" s="213">
        <f t="shared" ref="AK215:AQ215" si="14">AK31</f>
        <v>0</v>
      </c>
      <c r="AL215" s="213">
        <f t="shared" si="14"/>
        <v>0</v>
      </c>
      <c r="AM215" s="213">
        <f t="shared" si="14"/>
        <v>0</v>
      </c>
      <c r="AN215" s="213">
        <f t="shared" si="14"/>
        <v>0</v>
      </c>
      <c r="AO215" s="213">
        <f t="shared" si="14"/>
        <v>0</v>
      </c>
      <c r="AP215" s="213">
        <f t="shared" si="14"/>
        <v>0</v>
      </c>
      <c r="AQ215" s="213">
        <f t="shared" si="14"/>
        <v>0</v>
      </c>
    </row>
    <row r="216" spans="5:43" s="156" customFormat="1" ht="15" customHeight="1">
      <c r="E216" s="249" t="s">
        <v>471</v>
      </c>
      <c r="G216" s="98" t="s">
        <v>47</v>
      </c>
      <c r="AJ216" s="229">
        <f>CHOOSE(m_identity,ENWL!AJ216, NPgN!AJ216, NPgY!AJ216, WMID!AJ216, EMID!AJ216, SWALES!AJ216, SWEST!AJ216, LPN!AJ216,SPN!AJ216,EPN!AJ216,SPD!AJ216,SPMW!AJ216,SSEH!AJ216,SSES!AJ216)</f>
        <v>0</v>
      </c>
      <c r="AK216" s="229">
        <f>CHOOSE(m_identity,ENWL!AK216, NPgN!AK216, NPgY!AK216, WMID!AK216, EMID!AK216, SWALES!AK216, SWEST!AK216, LPN!AK216,SPN!AK216,EPN!AK216,SPD!AK216,SPMW!AK216,SSEH!AK216,SSES!AK216)</f>
        <v>0</v>
      </c>
      <c r="AL216" s="229">
        <f>CHOOSE(m_identity,ENWL!AL216, NPgN!AL216, NPgY!AL216, WMID!AL216, EMID!AL216, SWALES!AL216, SWEST!AL216, LPN!AL216,SPN!AL216,EPN!AL216,SPD!AL216,SPMW!AL216,SSEH!AL216,SSES!AL216)</f>
        <v>0</v>
      </c>
      <c r="AM216" s="229">
        <f>CHOOSE(m_identity,ENWL!AM216, NPgN!AM216, NPgY!AM216, WMID!AM216, EMID!AM216, SWALES!AM216, SWEST!AM216, LPN!AM216,SPN!AM216,EPN!AM216,SPD!AM216,SPMW!AM216,SSEH!AM216,SSES!AM216)</f>
        <v>0</v>
      </c>
      <c r="AN216" s="229">
        <f>CHOOSE(m_identity,ENWL!AN216, NPgN!AN216, NPgY!AN216, WMID!AN216, EMID!AN216, SWALES!AN216, SWEST!AN216, LPN!AN216,SPN!AN216,EPN!AN216,SPD!AN216,SPMW!AN216,SSEH!AN216,SSES!AN216)</f>
        <v>0</v>
      </c>
      <c r="AO216" s="229">
        <f>CHOOSE(m_identity,ENWL!AO216, NPgN!AO216, NPgY!AO216, WMID!AO216, EMID!AO216, SWALES!AO216, SWEST!AO216, LPN!AO216,SPN!AO216,EPN!AO216,SPD!AO216,SPMW!AO216,SSEH!AO216,SSES!AO216)</f>
        <v>0</v>
      </c>
      <c r="AP216" s="229">
        <f>CHOOSE(m_identity,ENWL!AP216, NPgN!AP216, NPgY!AP216, WMID!AP216, EMID!AP216, SWALES!AP216, SWEST!AP216, LPN!AP216,SPN!AP216,EPN!AP216,SPD!AP216,SPMW!AP216,SSEH!AP216,SSES!AP216)</f>
        <v>0</v>
      </c>
      <c r="AQ216" s="229">
        <f>CHOOSE(m_identity,ENWL!AQ216, NPgN!AQ216, NPgY!AQ216, WMID!AQ216, EMID!AQ216, SWALES!AQ216, SWEST!AQ216, LPN!AQ216,SPN!AQ216,EPN!AQ216,SPD!AQ216,SPMW!AQ216,SSEH!AQ216,SSES!AQ216)</f>
        <v>0</v>
      </c>
    </row>
    <row r="217" spans="5:43" s="156" customFormat="1" ht="15" customHeight="1">
      <c r="E217" s="249" t="s">
        <v>544</v>
      </c>
      <c r="G217" s="98" t="s">
        <v>47</v>
      </c>
      <c r="AJ217" s="229">
        <f>CHOOSE(m_identity,ENWL!AJ217, NPgN!AJ217, NPgY!AJ217, WMID!AJ217, EMID!AJ217, SWALES!AJ217, SWEST!AJ217, LPN!AJ217,SPN!AJ217,EPN!AJ217,SPD!AJ217,SPMW!AJ217,SSEH!AJ217,SSES!AJ217)</f>
        <v>0</v>
      </c>
      <c r="AK217" s="229">
        <f>CHOOSE(m_identity,ENWL!AK217, NPgN!AK217, NPgY!AK217, WMID!AK217, EMID!AK217, SWALES!AK217, SWEST!AK217, LPN!AK217,SPN!AK217,EPN!AK217,SPD!AK217,SPMW!AK217,SSEH!AK217,SSES!AK217)</f>
        <v>0</v>
      </c>
      <c r="AL217" s="229">
        <f>CHOOSE(m_identity,ENWL!AL217, NPgN!AL217, NPgY!AL217, WMID!AL217, EMID!AL217, SWALES!AL217, SWEST!AL217, LPN!AL217,SPN!AL217,EPN!AL217,SPD!AL217,SPMW!AL217,SSEH!AL217,SSES!AL217)</f>
        <v>0</v>
      </c>
      <c r="AM217" s="229">
        <f>CHOOSE(m_identity,ENWL!AM217, NPgN!AM217, NPgY!AM217, WMID!AM217, EMID!AM217, SWALES!AM217, SWEST!AM217, LPN!AM217,SPN!AM217,EPN!AM217,SPD!AM217,SPMW!AM217,SSEH!AM217,SSES!AM217)</f>
        <v>0</v>
      </c>
      <c r="AN217" s="229">
        <f>CHOOSE(m_identity,ENWL!AN217, NPgN!AN217, NPgY!AN217, WMID!AN217, EMID!AN217, SWALES!AN217, SWEST!AN217, LPN!AN217,SPN!AN217,EPN!AN217,SPD!AN217,SPMW!AN217,SSEH!AN217,SSES!AN217)</f>
        <v>0</v>
      </c>
      <c r="AO217" s="229">
        <f>CHOOSE(m_identity,ENWL!AO217, NPgN!AO217, NPgY!AO217, WMID!AO217, EMID!AO217, SWALES!AO217, SWEST!AO217, LPN!AO217,SPN!AO217,EPN!AO217,SPD!AO217,SPMW!AO217,SSEH!AO217,SSES!AO217)</f>
        <v>0</v>
      </c>
      <c r="AP217" s="229">
        <f>CHOOSE(m_identity,ENWL!AP217, NPgN!AP217, NPgY!AP217, WMID!AP217, EMID!AP217, SWALES!AP217, SWEST!AP217, LPN!AP217,SPN!AP217,EPN!AP217,SPD!AP217,SPMW!AP217,SSEH!AP217,SSES!AP217)</f>
        <v>0</v>
      </c>
      <c r="AQ217" s="229">
        <f>CHOOSE(m_identity,ENWL!AQ217, NPgN!AQ217, NPgY!AQ217, WMID!AQ217, EMID!AQ217, SWALES!AQ217, SWEST!AQ217, LPN!AQ217,SPN!AQ217,EPN!AQ217,SPD!AQ217,SPMW!AQ217,SSEH!AQ217,SSES!AQ217)</f>
        <v>0</v>
      </c>
    </row>
    <row r="218" spans="5:43" s="156" customFormat="1" ht="15" customHeight="1">
      <c r="E218" s="249" t="s">
        <v>472</v>
      </c>
      <c r="G218" s="98" t="s">
        <v>47</v>
      </c>
      <c r="AJ218" s="229">
        <f>CHOOSE(m_identity,ENWL!AJ218, NPgN!AJ218, NPgY!AJ218, WMID!AJ218, EMID!AJ218, SWALES!AJ218, SWEST!AJ218, LPN!AJ218,SPN!AJ218,EPN!AJ218,SPD!AJ218,SPMW!AJ218,SSEH!AJ218,SSES!AJ218)</f>
        <v>0</v>
      </c>
      <c r="AK218" s="229">
        <f>CHOOSE(m_identity,ENWL!AK218, NPgN!AK218, NPgY!AK218, WMID!AK218, EMID!AK218, SWALES!AK218, SWEST!AK218, LPN!AK218,SPN!AK218,EPN!AK218,SPD!AK218,SPMW!AK218,SSEH!AK218,SSES!AK218)</f>
        <v>0</v>
      </c>
      <c r="AL218" s="229">
        <f>CHOOSE(m_identity,ENWL!AL218, NPgN!AL218, NPgY!AL218, WMID!AL218, EMID!AL218, SWALES!AL218, SWEST!AL218, LPN!AL218,SPN!AL218,EPN!AL218,SPD!AL218,SPMW!AL218,SSEH!AL218,SSES!AL218)</f>
        <v>0</v>
      </c>
      <c r="AM218" s="229">
        <f>CHOOSE(m_identity,ENWL!AM218, NPgN!AM218, NPgY!AM218, WMID!AM218, EMID!AM218, SWALES!AM218, SWEST!AM218, LPN!AM218,SPN!AM218,EPN!AM218,SPD!AM218,SPMW!AM218,SSEH!AM218,SSES!AM218)</f>
        <v>0</v>
      </c>
      <c r="AN218" s="229">
        <f>CHOOSE(m_identity,ENWL!AN218, NPgN!AN218, NPgY!AN218, WMID!AN218, EMID!AN218, SWALES!AN218, SWEST!AN218, LPN!AN218,SPN!AN218,EPN!AN218,SPD!AN218,SPMW!AN218,SSEH!AN218,SSES!AN218)</f>
        <v>0</v>
      </c>
      <c r="AO218" s="229">
        <f>CHOOSE(m_identity,ENWL!AO218, NPgN!AO218, NPgY!AO218, WMID!AO218, EMID!AO218, SWALES!AO218, SWEST!AO218, LPN!AO218,SPN!AO218,EPN!AO218,SPD!AO218,SPMW!AO218,SSEH!AO218,SSES!AO218)</f>
        <v>0</v>
      </c>
      <c r="AP218" s="229">
        <f>CHOOSE(m_identity,ENWL!AP218, NPgN!AP218, NPgY!AP218, WMID!AP218, EMID!AP218, SWALES!AP218, SWEST!AP218, LPN!AP218,SPN!AP218,EPN!AP218,SPD!AP218,SPMW!AP218,SSEH!AP218,SSES!AP218)</f>
        <v>0</v>
      </c>
      <c r="AQ218" s="229">
        <f>CHOOSE(m_identity,ENWL!AQ218, NPgN!AQ218, NPgY!AQ218, WMID!AQ218, EMID!AQ218, SWALES!AQ218, SWEST!AQ218, LPN!AQ218,SPN!AQ218,EPN!AQ218,SPD!AQ218,SPMW!AQ218,SSEH!AQ218,SSES!AQ218)</f>
        <v>0</v>
      </c>
    </row>
    <row r="219" spans="5:43" s="156" customFormat="1" ht="15" customHeight="1">
      <c r="E219" s="249" t="s">
        <v>572</v>
      </c>
      <c r="G219" s="98" t="s">
        <v>47</v>
      </c>
      <c r="AJ219" s="229">
        <f>CHOOSE(m_identity,ENWL!AJ219, NPgN!AJ219, NPgY!AJ219, WMID!AJ219, EMID!AJ219, SWALES!AJ219, SWEST!AJ219, LPN!AJ219,SPN!AJ219,EPN!AJ219,SPD!AJ219,SPMW!AJ219,SSEH!AJ219,SSES!AJ219)</f>
        <v>0</v>
      </c>
      <c r="AK219" s="229">
        <f>CHOOSE(m_identity,ENWL!AK219, NPgN!AK219, NPgY!AK219, WMID!AK219, EMID!AK219, SWALES!AK219, SWEST!AK219, LPN!AK219,SPN!AK219,EPN!AK219,SPD!AK219,SPMW!AK219,SSEH!AK219,SSES!AK219)</f>
        <v>0</v>
      </c>
      <c r="AL219" s="229">
        <f>CHOOSE(m_identity,ENWL!AL219, NPgN!AL219, NPgY!AL219, WMID!AL219, EMID!AL219, SWALES!AL219, SWEST!AL219, LPN!AL219,SPN!AL219,EPN!AL219,SPD!AL219,SPMW!AL219,SSEH!AL219,SSES!AL219)</f>
        <v>0</v>
      </c>
      <c r="AM219" s="229">
        <f>CHOOSE(m_identity,ENWL!AM219, NPgN!AM219, NPgY!AM219, WMID!AM219, EMID!AM219, SWALES!AM219, SWEST!AM219, LPN!AM219,SPN!AM219,EPN!AM219,SPD!AM219,SPMW!AM219,SSEH!AM219,SSES!AM219)</f>
        <v>0</v>
      </c>
      <c r="AN219" s="229">
        <f>CHOOSE(m_identity,ENWL!AN219, NPgN!AN219, NPgY!AN219, WMID!AN219, EMID!AN219, SWALES!AN219, SWEST!AN219, LPN!AN219,SPN!AN219,EPN!AN219,SPD!AN219,SPMW!AN219,SSEH!AN219,SSES!AN219)</f>
        <v>0</v>
      </c>
      <c r="AO219" s="229">
        <f>CHOOSE(m_identity,ENWL!AO219, NPgN!AO219, NPgY!AO219, WMID!AO219, EMID!AO219, SWALES!AO219, SWEST!AO219, LPN!AO219,SPN!AO219,EPN!AO219,SPD!AO219,SPMW!AO219,SSEH!AO219,SSES!AO219)</f>
        <v>0</v>
      </c>
      <c r="AP219" s="229">
        <f>CHOOSE(m_identity,ENWL!AP219, NPgN!AP219, NPgY!AP219, WMID!AP219, EMID!AP219, SWALES!AP219, SWEST!AP219, LPN!AP219,SPN!AP219,EPN!AP219,SPD!AP219,SPMW!AP219,SSEH!AP219,SSES!AP219)</f>
        <v>0</v>
      </c>
      <c r="AQ219" s="229">
        <f>CHOOSE(m_identity,ENWL!AQ219, NPgN!AQ219, NPgY!AQ219, WMID!AQ219, EMID!AQ219, SWALES!AQ219, SWEST!AQ219, LPN!AQ219,SPN!AQ219,EPN!AQ219,SPD!AQ219,SPMW!AQ219,SSEH!AQ219,SSES!AQ219)</f>
        <v>0</v>
      </c>
    </row>
    <row r="220" spans="5:43" s="156" customFormat="1" ht="15" customHeight="1">
      <c r="E220" s="249" t="s">
        <v>721</v>
      </c>
      <c r="G220" s="98" t="s">
        <v>47</v>
      </c>
      <c r="AJ220" s="229">
        <f>CHOOSE(m_identity,ENWL!AJ220, NPgN!AJ220, NPgY!AJ220, WMID!AJ220, EMID!AJ220, SWALES!AJ220, SWEST!AJ220, LPN!AJ220,SPN!AJ220,EPN!AJ220,SPD!AJ220,SPMW!AJ220,SSEH!AJ220,SSES!AJ220)</f>
        <v>0</v>
      </c>
      <c r="AK220" s="229">
        <f>CHOOSE(m_identity,ENWL!AK220, NPgN!AK220, NPgY!AK220, WMID!AK220, EMID!AK220, SWALES!AK220, SWEST!AK220, LPN!AK220,SPN!AK220,EPN!AK220,SPD!AK220,SPMW!AK220,SSEH!AK220,SSES!AK220)</f>
        <v>0</v>
      </c>
      <c r="AL220" s="229">
        <f>CHOOSE(m_identity,ENWL!AL220, NPgN!AL220, NPgY!AL220, WMID!AL220, EMID!AL220, SWALES!AL220, SWEST!AL220, LPN!AL220,SPN!AL220,EPN!AL220,SPD!AL220,SPMW!AL220,SSEH!AL220,SSES!AL220)</f>
        <v>0</v>
      </c>
      <c r="AM220" s="229">
        <f>CHOOSE(m_identity,ENWL!AM220, NPgN!AM220, NPgY!AM220, WMID!AM220, EMID!AM220, SWALES!AM220, SWEST!AM220, LPN!AM220,SPN!AM220,EPN!AM220,SPD!AM220,SPMW!AM220,SSEH!AM220,SSES!AM220)</f>
        <v>0</v>
      </c>
      <c r="AN220" s="229">
        <f>CHOOSE(m_identity,ENWL!AN220, NPgN!AN220, NPgY!AN220, WMID!AN220, EMID!AN220, SWALES!AN220, SWEST!AN220, LPN!AN220,SPN!AN220,EPN!AN220,SPD!AN220,SPMW!AN220,SSEH!AN220,SSES!AN220)</f>
        <v>0</v>
      </c>
      <c r="AO220" s="229">
        <f>CHOOSE(m_identity,ENWL!AO220, NPgN!AO220, NPgY!AO220, WMID!AO220, EMID!AO220, SWALES!AO220, SWEST!AO220, LPN!AO220,SPN!AO220,EPN!AO220,SPD!AO220,SPMW!AO220,SSEH!AO220,SSES!AO220)</f>
        <v>0</v>
      </c>
      <c r="AP220" s="229">
        <f>CHOOSE(m_identity,ENWL!AP220, NPgN!AP220, NPgY!AP220, WMID!AP220, EMID!AP220, SWALES!AP220, SWEST!AP220, LPN!AP220,SPN!AP220,EPN!AP220,SPD!AP220,SPMW!AP220,SSEH!AP220,SSES!AP220)</f>
        <v>0</v>
      </c>
      <c r="AQ220" s="229">
        <f>CHOOSE(m_identity,ENWL!AQ220, NPgN!AQ220, NPgY!AQ220, WMID!AQ220, EMID!AQ220, SWALES!AQ220, SWEST!AQ220, LPN!AQ220,SPN!AQ220,EPN!AQ220,SPD!AQ220,SPMW!AQ220,SSEH!AQ220,SSES!AQ220)</f>
        <v>0</v>
      </c>
    </row>
    <row r="221" spans="5:43" s="156" customFormat="1" ht="15" customHeight="1">
      <c r="E221" s="249" t="s">
        <v>703</v>
      </c>
      <c r="G221" s="98" t="s">
        <v>47</v>
      </c>
      <c r="AJ221" s="229">
        <f>CHOOSE(m_identity,ENWL!AJ221, NPgN!AJ221, NPgY!AJ221, WMID!AJ221, EMID!AJ221, SWALES!AJ221, SWEST!AJ221, LPN!AJ221,SPN!AJ221,EPN!AJ221,SPD!AJ221,SPMW!AJ221,SSEH!AJ221,SSES!AJ221)</f>
        <v>0</v>
      </c>
      <c r="AK221" s="229">
        <f>CHOOSE(m_identity,ENWL!AK221, NPgN!AK221, NPgY!AK221, WMID!AK221, EMID!AK221, SWALES!AK221, SWEST!AK221, LPN!AK221,SPN!AK221,EPN!AK221,SPD!AK221,SPMW!AK221,SSEH!AK221,SSES!AK221)</f>
        <v>0</v>
      </c>
      <c r="AL221" s="229">
        <f>CHOOSE(m_identity,ENWL!AL221, NPgN!AL221, NPgY!AL221, WMID!AL221, EMID!AL221, SWALES!AL221, SWEST!AL221, LPN!AL221,SPN!AL221,EPN!AL221,SPD!AL221,SPMW!AL221,SSEH!AL221,SSES!AL221)</f>
        <v>0</v>
      </c>
      <c r="AM221" s="229">
        <f>CHOOSE(m_identity,ENWL!AM221, NPgN!AM221, NPgY!AM221, WMID!AM221, EMID!AM221, SWALES!AM221, SWEST!AM221, LPN!AM221,SPN!AM221,EPN!AM221,SPD!AM221,SPMW!AM221,SSEH!AM221,SSES!AM221)</f>
        <v>0</v>
      </c>
      <c r="AN221" s="229">
        <f>CHOOSE(m_identity,ENWL!AN221, NPgN!AN221, NPgY!AN221, WMID!AN221, EMID!AN221, SWALES!AN221, SWEST!AN221, LPN!AN221,SPN!AN221,EPN!AN221,SPD!AN221,SPMW!AN221,SSEH!AN221,SSES!AN221)</f>
        <v>0</v>
      </c>
      <c r="AO221" s="229">
        <f>CHOOSE(m_identity,ENWL!AO221, NPgN!AO221, NPgY!AO221, WMID!AO221, EMID!AO221, SWALES!AO221, SWEST!AO221, LPN!AO221,SPN!AO221,EPN!AO221,SPD!AO221,SPMW!AO221,SSEH!AO221,SSES!AO221)</f>
        <v>0</v>
      </c>
      <c r="AP221" s="229">
        <f>CHOOSE(m_identity,ENWL!AP221, NPgN!AP221, NPgY!AP221, WMID!AP221, EMID!AP221, SWALES!AP221, SWEST!AP221, LPN!AP221,SPN!AP221,EPN!AP221,SPD!AP221,SPMW!AP221,SSEH!AP221,SSES!AP221)</f>
        <v>0</v>
      </c>
      <c r="AQ221" s="229">
        <f>CHOOSE(m_identity,ENWL!AQ221, NPgN!AQ221, NPgY!AQ221, WMID!AQ221, EMID!AQ221, SWALES!AQ221, SWEST!AQ221, LPN!AQ221,SPN!AQ221,EPN!AQ221,SPD!AQ221,SPMW!AQ221,SSEH!AQ221,SSES!AQ221)</f>
        <v>0</v>
      </c>
    </row>
    <row r="222" spans="5:43" s="156" customFormat="1" ht="15" customHeight="1">
      <c r="E222" s="249" t="s">
        <v>473</v>
      </c>
      <c r="G222" s="98" t="s">
        <v>47</v>
      </c>
      <c r="AJ222" s="229">
        <f>CHOOSE(m_identity,ENWL!AJ222, NPgN!AJ222, NPgY!AJ222, WMID!AJ222, EMID!AJ222, SWALES!AJ222, SWEST!AJ222, LPN!AJ222,SPN!AJ222,EPN!AJ222,SPD!AJ222,SPMW!AJ222,SSEH!AJ222,SSES!AJ222)</f>
        <v>0</v>
      </c>
      <c r="AK222" s="229">
        <f>CHOOSE(m_identity,ENWL!AK222, NPgN!AK222, NPgY!AK222, WMID!AK222, EMID!AK222, SWALES!AK222, SWEST!AK222, LPN!AK222,SPN!AK222,EPN!AK222,SPD!AK222,SPMW!AK222,SSEH!AK222,SSES!AK222)</f>
        <v>0</v>
      </c>
      <c r="AL222" s="229">
        <f>CHOOSE(m_identity,ENWL!AL222, NPgN!AL222, NPgY!AL222, WMID!AL222, EMID!AL222, SWALES!AL222, SWEST!AL222, LPN!AL222,SPN!AL222,EPN!AL222,SPD!AL222,SPMW!AL222,SSEH!AL222,SSES!AL222)</f>
        <v>0</v>
      </c>
      <c r="AM222" s="229">
        <f>CHOOSE(m_identity,ENWL!AM222, NPgN!AM222, NPgY!AM222, WMID!AM222, EMID!AM222, SWALES!AM222, SWEST!AM222, LPN!AM222,SPN!AM222,EPN!AM222,SPD!AM222,SPMW!AM222,SSEH!AM222,SSES!AM222)</f>
        <v>0</v>
      </c>
      <c r="AN222" s="229">
        <f>CHOOSE(m_identity,ENWL!AN222, NPgN!AN222, NPgY!AN222, WMID!AN222, EMID!AN222, SWALES!AN222, SWEST!AN222, LPN!AN222,SPN!AN222,EPN!AN222,SPD!AN222,SPMW!AN222,SSEH!AN222,SSES!AN222)</f>
        <v>0</v>
      </c>
      <c r="AO222" s="229">
        <f>CHOOSE(m_identity,ENWL!AO222, NPgN!AO222, NPgY!AO222, WMID!AO222, EMID!AO222, SWALES!AO222, SWEST!AO222, LPN!AO222,SPN!AO222,EPN!AO222,SPD!AO222,SPMW!AO222,SSEH!AO222,SSES!AO222)</f>
        <v>0</v>
      </c>
      <c r="AP222" s="229">
        <f>CHOOSE(m_identity,ENWL!AP222, NPgN!AP222, NPgY!AP222, WMID!AP222, EMID!AP222, SWALES!AP222, SWEST!AP222, LPN!AP222,SPN!AP222,EPN!AP222,SPD!AP222,SPMW!AP222,SSEH!AP222,SSES!AP222)</f>
        <v>0</v>
      </c>
      <c r="AQ222" s="229">
        <f>CHOOSE(m_identity,ENWL!AQ222, NPgN!AQ222, NPgY!AQ222, WMID!AQ222, EMID!AQ222, SWALES!AQ222, SWEST!AQ222, LPN!AQ222,SPN!AQ222,EPN!AQ222,SPD!AQ222,SPMW!AQ222,SSEH!AQ222,SSES!AQ222)</f>
        <v>0</v>
      </c>
    </row>
    <row r="223" spans="5:43" s="156" customFormat="1" ht="15" customHeight="1"/>
    <row r="224" spans="5:43" s="156" customFormat="1" ht="15" customHeight="1">
      <c r="E224" s="152" t="str">
        <f>E32</f>
        <v>Allowed Expenditure - Uncertain Rail Electrification Costs</v>
      </c>
      <c r="F224" s="98"/>
      <c r="G224" s="98" t="s">
        <v>657</v>
      </c>
      <c r="AJ224" s="213">
        <f>AJ32</f>
        <v>0</v>
      </c>
      <c r="AK224" s="213">
        <f t="shared" ref="AK224:AQ224" si="15">AK32</f>
        <v>0</v>
      </c>
      <c r="AL224" s="213">
        <f t="shared" si="15"/>
        <v>0</v>
      </c>
      <c r="AM224" s="213">
        <f t="shared" si="15"/>
        <v>0</v>
      </c>
      <c r="AN224" s="213">
        <f t="shared" si="15"/>
        <v>0</v>
      </c>
      <c r="AO224" s="213">
        <f t="shared" si="15"/>
        <v>0</v>
      </c>
      <c r="AP224" s="213">
        <f t="shared" si="15"/>
        <v>0</v>
      </c>
      <c r="AQ224" s="213">
        <f t="shared" si="15"/>
        <v>0</v>
      </c>
    </row>
    <row r="225" spans="5:43" s="156" customFormat="1" ht="15" customHeight="1">
      <c r="E225" s="249" t="s">
        <v>471</v>
      </c>
      <c r="F225" s="98"/>
      <c r="G225" s="98" t="s">
        <v>47</v>
      </c>
      <c r="AJ225" s="229">
        <f>CHOOSE(m_identity,ENWL!AJ225, NPgN!AJ225, NPgY!AJ225, WMID!AJ225, EMID!AJ225, SWALES!AJ225, SWEST!AJ225, LPN!AJ225,SPN!AJ225,EPN!AJ225,SPD!AJ225,SPMW!AJ225,SSEH!AJ225,SSES!AJ225)</f>
        <v>0</v>
      </c>
      <c r="AK225" s="229">
        <f>CHOOSE(m_identity,ENWL!AK225, NPgN!AK225, NPgY!AK225, WMID!AK225, EMID!AK225, SWALES!AK225, SWEST!AK225, LPN!AK225,SPN!AK225,EPN!AK225,SPD!AK225,SPMW!AK225,SSEH!AK225,SSES!AK225)</f>
        <v>0</v>
      </c>
      <c r="AL225" s="229">
        <f>CHOOSE(m_identity,ENWL!AL225, NPgN!AL225, NPgY!AL225, WMID!AL225, EMID!AL225, SWALES!AL225, SWEST!AL225, LPN!AL225,SPN!AL225,EPN!AL225,SPD!AL225,SPMW!AL225,SSEH!AL225,SSES!AL225)</f>
        <v>0</v>
      </c>
      <c r="AM225" s="229">
        <f>CHOOSE(m_identity,ENWL!AM225, NPgN!AM225, NPgY!AM225, WMID!AM225, EMID!AM225, SWALES!AM225, SWEST!AM225, LPN!AM225,SPN!AM225,EPN!AM225,SPD!AM225,SPMW!AM225,SSEH!AM225,SSES!AM225)</f>
        <v>0</v>
      </c>
      <c r="AN225" s="229">
        <f>CHOOSE(m_identity,ENWL!AN225, NPgN!AN225, NPgY!AN225, WMID!AN225, EMID!AN225, SWALES!AN225, SWEST!AN225, LPN!AN225,SPN!AN225,EPN!AN225,SPD!AN225,SPMW!AN225,SSEH!AN225,SSES!AN225)</f>
        <v>0</v>
      </c>
      <c r="AO225" s="229">
        <f>CHOOSE(m_identity,ENWL!AO225, NPgN!AO225, NPgY!AO225, WMID!AO225, EMID!AO225, SWALES!AO225, SWEST!AO225, LPN!AO225,SPN!AO225,EPN!AO225,SPD!AO225,SPMW!AO225,SSEH!AO225,SSES!AO225)</f>
        <v>0</v>
      </c>
      <c r="AP225" s="229">
        <f>CHOOSE(m_identity,ENWL!AP225, NPgN!AP225, NPgY!AP225, WMID!AP225, EMID!AP225, SWALES!AP225, SWEST!AP225, LPN!AP225,SPN!AP225,EPN!AP225,SPD!AP225,SPMW!AP225,SSEH!AP225,SSES!AP225)</f>
        <v>0</v>
      </c>
      <c r="AQ225" s="229">
        <f>CHOOSE(m_identity,ENWL!AQ225, NPgN!AQ225, NPgY!AQ225, WMID!AQ225, EMID!AQ225, SWALES!AQ225, SWEST!AQ225, LPN!AQ225,SPN!AQ225,EPN!AQ225,SPD!AQ225,SPMW!AQ225,SSEH!AQ225,SSES!AQ225)</f>
        <v>0</v>
      </c>
    </row>
    <row r="226" spans="5:43" s="156" customFormat="1" ht="15" customHeight="1">
      <c r="E226" s="249" t="s">
        <v>544</v>
      </c>
      <c r="F226" s="98"/>
      <c r="G226" s="98" t="s">
        <v>47</v>
      </c>
      <c r="AJ226" s="229">
        <f>CHOOSE(m_identity,ENWL!AJ226, NPgN!AJ226, NPgY!AJ226, WMID!AJ226, EMID!AJ226, SWALES!AJ226, SWEST!AJ226, LPN!AJ226,SPN!AJ226,EPN!AJ226,SPD!AJ226,SPMW!AJ226,SSEH!AJ226,SSES!AJ226)</f>
        <v>0.99691884319005442</v>
      </c>
      <c r="AK226" s="229">
        <f>CHOOSE(m_identity,ENWL!AK226, NPgN!AK226, NPgY!AK226, WMID!AK226, EMID!AK226, SWALES!AK226, SWEST!AK226, LPN!AK226,SPN!AK226,EPN!AK226,SPD!AK226,SPMW!AK226,SSEH!AK226,SSES!AK226)</f>
        <v>0.99688581798579623</v>
      </c>
      <c r="AL226" s="229">
        <f>CHOOSE(m_identity,ENWL!AL226, NPgN!AL226, NPgY!AL226, WMID!AL226, EMID!AL226, SWALES!AL226, SWEST!AL226, LPN!AL226,SPN!AL226,EPN!AL226,SPD!AL226,SPMW!AL226,SSEH!AL226,SSES!AL226)</f>
        <v>0.9968601885124726</v>
      </c>
      <c r="AM226" s="229">
        <f>CHOOSE(m_identity,ENWL!AM226, NPgN!AM226, NPgY!AM226, WMID!AM226, EMID!AM226, SWALES!AM226, SWEST!AM226, LPN!AM226,SPN!AM226,EPN!AM226,SPD!AM226,SPMW!AM226,SSEH!AM226,SSES!AM226)</f>
        <v>0.99680684966587663</v>
      </c>
      <c r="AN226" s="229">
        <f>CHOOSE(m_identity,ENWL!AN226, NPgN!AN226, NPgY!AN226, WMID!AN226, EMID!AN226, SWALES!AN226, SWEST!AN226, LPN!AN226,SPN!AN226,EPN!AN226,SPD!AN226,SPMW!AN226,SSEH!AN226,SSES!AN226)</f>
        <v>0.99676581749878101</v>
      </c>
      <c r="AO226" s="229">
        <f>CHOOSE(m_identity,ENWL!AO226, NPgN!AO226, NPgY!AO226, WMID!AO226, EMID!AO226, SWALES!AO226, SWEST!AO226, LPN!AO226,SPN!AO226,EPN!AO226,SPD!AO226,SPMW!AO226,SSEH!AO226,SSES!AO226)</f>
        <v>0.99672442479963053</v>
      </c>
      <c r="AP226" s="229">
        <f>CHOOSE(m_identity,ENWL!AP226, NPgN!AP226, NPgY!AP226, WMID!AP226, EMID!AP226, SWALES!AP226, SWEST!AP226, LPN!AP226,SPN!AP226,EPN!AP226,SPD!AP226,SPMW!AP226,SSEH!AP226,SSES!AP226)</f>
        <v>0.99668282507874928</v>
      </c>
      <c r="AQ226" s="229">
        <f>CHOOSE(m_identity,ENWL!AQ226, NPgN!AQ226, NPgY!AQ226, WMID!AQ226, EMID!AQ226, SWALES!AQ226, SWEST!AQ226, LPN!AQ226,SPN!AQ226,EPN!AQ226,SPD!AQ226,SPMW!AQ226,SSEH!AQ226,SSES!AQ226)</f>
        <v>0.99664786013554596</v>
      </c>
    </row>
    <row r="227" spans="5:43" s="156" customFormat="1" ht="15" customHeight="1">
      <c r="E227" s="249" t="s">
        <v>472</v>
      </c>
      <c r="F227" s="98"/>
      <c r="G227" s="98" t="s">
        <v>47</v>
      </c>
      <c r="AJ227" s="229">
        <f>CHOOSE(m_identity,ENWL!AJ227, NPgN!AJ227, NPgY!AJ227, WMID!AJ227, EMID!AJ227, SWALES!AJ227, SWEST!AJ227, LPN!AJ227,SPN!AJ227,EPN!AJ227,SPD!AJ227,SPMW!AJ227,SSEH!AJ227,SSES!AJ227)</f>
        <v>0</v>
      </c>
      <c r="AK227" s="229">
        <f>CHOOSE(m_identity,ENWL!AK227, NPgN!AK227, NPgY!AK227, WMID!AK227, EMID!AK227, SWALES!AK227, SWEST!AK227, LPN!AK227,SPN!AK227,EPN!AK227,SPD!AK227,SPMW!AK227,SSEH!AK227,SSES!AK227)</f>
        <v>0</v>
      </c>
      <c r="AL227" s="229">
        <f>CHOOSE(m_identity,ENWL!AL227, NPgN!AL227, NPgY!AL227, WMID!AL227, EMID!AL227, SWALES!AL227, SWEST!AL227, LPN!AL227,SPN!AL227,EPN!AL227,SPD!AL227,SPMW!AL227,SSEH!AL227,SSES!AL227)</f>
        <v>0</v>
      </c>
      <c r="AM227" s="229">
        <f>CHOOSE(m_identity,ENWL!AM227, NPgN!AM227, NPgY!AM227, WMID!AM227, EMID!AM227, SWALES!AM227, SWEST!AM227, LPN!AM227,SPN!AM227,EPN!AM227,SPD!AM227,SPMW!AM227,SSEH!AM227,SSES!AM227)</f>
        <v>0</v>
      </c>
      <c r="AN227" s="229">
        <f>CHOOSE(m_identity,ENWL!AN227, NPgN!AN227, NPgY!AN227, WMID!AN227, EMID!AN227, SWALES!AN227, SWEST!AN227, LPN!AN227,SPN!AN227,EPN!AN227,SPD!AN227,SPMW!AN227,SSEH!AN227,SSES!AN227)</f>
        <v>0</v>
      </c>
      <c r="AO227" s="229">
        <f>CHOOSE(m_identity,ENWL!AO227, NPgN!AO227, NPgY!AO227, WMID!AO227, EMID!AO227, SWALES!AO227, SWEST!AO227, LPN!AO227,SPN!AO227,EPN!AO227,SPD!AO227,SPMW!AO227,SSEH!AO227,SSES!AO227)</f>
        <v>0</v>
      </c>
      <c r="AP227" s="229">
        <f>CHOOSE(m_identity,ENWL!AP227, NPgN!AP227, NPgY!AP227, WMID!AP227, EMID!AP227, SWALES!AP227, SWEST!AP227, LPN!AP227,SPN!AP227,EPN!AP227,SPD!AP227,SPMW!AP227,SSEH!AP227,SSES!AP227)</f>
        <v>0</v>
      </c>
      <c r="AQ227" s="229">
        <f>CHOOSE(m_identity,ENWL!AQ227, NPgN!AQ227, NPgY!AQ227, WMID!AQ227, EMID!AQ227, SWALES!AQ227, SWEST!AQ227, LPN!AQ227,SPN!AQ227,EPN!AQ227,SPD!AQ227,SPMW!AQ227,SSEH!AQ227,SSES!AQ227)</f>
        <v>0</v>
      </c>
    </row>
    <row r="228" spans="5:43" s="156" customFormat="1" ht="15" customHeight="1">
      <c r="E228" s="249" t="s">
        <v>572</v>
      </c>
      <c r="F228" s="98"/>
      <c r="G228" s="98" t="s">
        <v>47</v>
      </c>
      <c r="H228" s="98"/>
      <c r="J228" s="98"/>
      <c r="K228" s="98"/>
      <c r="L228" s="98"/>
      <c r="M228" s="98"/>
      <c r="N228" s="98"/>
      <c r="O228" s="98"/>
      <c r="P228" s="98"/>
      <c r="Q228" s="98"/>
      <c r="R228" s="98"/>
      <c r="S228" s="98"/>
      <c r="T228" s="98"/>
      <c r="U228" s="98"/>
      <c r="V228" s="98"/>
      <c r="W228" s="98"/>
      <c r="X228" s="98"/>
      <c r="Y228" s="98"/>
      <c r="Z228" s="98"/>
      <c r="AA228" s="98"/>
      <c r="AB228" s="98"/>
      <c r="AC228" s="98"/>
      <c r="AD228" s="98"/>
      <c r="AE228" s="98"/>
      <c r="AF228" s="98"/>
      <c r="AG228" s="98"/>
      <c r="AH228" s="98"/>
      <c r="AI228" s="98"/>
      <c r="AJ228" s="229">
        <f>CHOOSE(m_identity,ENWL!AJ228, NPgN!AJ228, NPgY!AJ228, WMID!AJ228, EMID!AJ228, SWALES!AJ228, SWEST!AJ228, LPN!AJ228,SPN!AJ228,EPN!AJ228,SPD!AJ228,SPMW!AJ228,SSEH!AJ228,SSES!AJ228)</f>
        <v>0</v>
      </c>
      <c r="AK228" s="229">
        <f>CHOOSE(m_identity,ENWL!AK228, NPgN!AK228, NPgY!AK228, WMID!AK228, EMID!AK228, SWALES!AK228, SWEST!AK228, LPN!AK228,SPN!AK228,EPN!AK228,SPD!AK228,SPMW!AK228,SSEH!AK228,SSES!AK228)</f>
        <v>0</v>
      </c>
      <c r="AL228" s="229">
        <f>CHOOSE(m_identity,ENWL!AL228, NPgN!AL228, NPgY!AL228, WMID!AL228, EMID!AL228, SWALES!AL228, SWEST!AL228, LPN!AL228,SPN!AL228,EPN!AL228,SPD!AL228,SPMW!AL228,SSEH!AL228,SSES!AL228)</f>
        <v>0</v>
      </c>
      <c r="AM228" s="229">
        <f>CHOOSE(m_identity,ENWL!AM228, NPgN!AM228, NPgY!AM228, WMID!AM228, EMID!AM228, SWALES!AM228, SWEST!AM228, LPN!AM228,SPN!AM228,EPN!AM228,SPD!AM228,SPMW!AM228,SSEH!AM228,SSES!AM228)</f>
        <v>0</v>
      </c>
      <c r="AN228" s="229">
        <f>CHOOSE(m_identity,ENWL!AN228, NPgN!AN228, NPgY!AN228, WMID!AN228, EMID!AN228, SWALES!AN228, SWEST!AN228, LPN!AN228,SPN!AN228,EPN!AN228,SPD!AN228,SPMW!AN228,SSEH!AN228,SSES!AN228)</f>
        <v>0</v>
      </c>
      <c r="AO228" s="229">
        <f>CHOOSE(m_identity,ENWL!AO228, NPgN!AO228, NPgY!AO228, WMID!AO228, EMID!AO228, SWALES!AO228, SWEST!AO228, LPN!AO228,SPN!AO228,EPN!AO228,SPD!AO228,SPMW!AO228,SSEH!AO228,SSES!AO228)</f>
        <v>0</v>
      </c>
      <c r="AP228" s="229">
        <f>CHOOSE(m_identity,ENWL!AP228, NPgN!AP228, NPgY!AP228, WMID!AP228, EMID!AP228, SWALES!AP228, SWEST!AP228, LPN!AP228,SPN!AP228,EPN!AP228,SPD!AP228,SPMW!AP228,SSEH!AP228,SSES!AP228)</f>
        <v>0</v>
      </c>
      <c r="AQ228" s="229">
        <f>CHOOSE(m_identity,ENWL!AQ228, NPgN!AQ228, NPgY!AQ228, WMID!AQ228, EMID!AQ228, SWALES!AQ228, SWEST!AQ228, LPN!AQ228,SPN!AQ228,EPN!AQ228,SPD!AQ228,SPMW!AQ228,SSEH!AQ228,SSES!AQ228)</f>
        <v>0</v>
      </c>
    </row>
    <row r="229" spans="5:43" s="156" customFormat="1" ht="15" customHeight="1">
      <c r="E229" s="249" t="s">
        <v>721</v>
      </c>
      <c r="F229" s="98"/>
      <c r="G229" s="98" t="s">
        <v>47</v>
      </c>
      <c r="H229" s="98"/>
      <c r="J229" s="98"/>
      <c r="K229" s="98"/>
      <c r="L229" s="98"/>
      <c r="M229" s="98"/>
      <c r="N229" s="98"/>
      <c r="O229" s="98"/>
      <c r="P229" s="98"/>
      <c r="Q229" s="98"/>
      <c r="R229" s="98"/>
      <c r="S229" s="98"/>
      <c r="T229" s="98"/>
      <c r="U229" s="98"/>
      <c r="V229" s="98"/>
      <c r="W229" s="98"/>
      <c r="X229" s="98"/>
      <c r="Y229" s="98"/>
      <c r="Z229" s="98"/>
      <c r="AA229" s="98"/>
      <c r="AB229" s="98"/>
      <c r="AC229" s="98"/>
      <c r="AD229" s="98"/>
      <c r="AE229" s="98"/>
      <c r="AF229" s="98"/>
      <c r="AG229" s="98"/>
      <c r="AH229" s="98"/>
      <c r="AI229" s="98"/>
      <c r="AJ229" s="229">
        <f>CHOOSE(m_identity,ENWL!AJ229, NPgN!AJ229, NPgY!AJ229, WMID!AJ229, EMID!AJ229, SWALES!AJ229, SWEST!AJ229, LPN!AJ229,SPN!AJ229,EPN!AJ229,SPD!AJ229,SPMW!AJ229,SSEH!AJ229,SSES!AJ229)</f>
        <v>0</v>
      </c>
      <c r="AK229" s="229">
        <f>CHOOSE(m_identity,ENWL!AK229, NPgN!AK229, NPgY!AK229, WMID!AK229, EMID!AK229, SWALES!AK229, SWEST!AK229, LPN!AK229,SPN!AK229,EPN!AK229,SPD!AK229,SPMW!AK229,SSEH!AK229,SSES!AK229)</f>
        <v>0</v>
      </c>
      <c r="AL229" s="229">
        <f>CHOOSE(m_identity,ENWL!AL229, NPgN!AL229, NPgY!AL229, WMID!AL229, EMID!AL229, SWALES!AL229, SWEST!AL229, LPN!AL229,SPN!AL229,EPN!AL229,SPD!AL229,SPMW!AL229,SSEH!AL229,SSES!AL229)</f>
        <v>0</v>
      </c>
      <c r="AM229" s="229">
        <f>CHOOSE(m_identity,ENWL!AM229, NPgN!AM229, NPgY!AM229, WMID!AM229, EMID!AM229, SWALES!AM229, SWEST!AM229, LPN!AM229,SPN!AM229,EPN!AM229,SPD!AM229,SPMW!AM229,SSEH!AM229,SSES!AM229)</f>
        <v>0</v>
      </c>
      <c r="AN229" s="229">
        <f>CHOOSE(m_identity,ENWL!AN229, NPgN!AN229, NPgY!AN229, WMID!AN229, EMID!AN229, SWALES!AN229, SWEST!AN229, LPN!AN229,SPN!AN229,EPN!AN229,SPD!AN229,SPMW!AN229,SSEH!AN229,SSES!AN229)</f>
        <v>0</v>
      </c>
      <c r="AO229" s="229">
        <f>CHOOSE(m_identity,ENWL!AO229, NPgN!AO229, NPgY!AO229, WMID!AO229, EMID!AO229, SWALES!AO229, SWEST!AO229, LPN!AO229,SPN!AO229,EPN!AO229,SPD!AO229,SPMW!AO229,SSEH!AO229,SSES!AO229)</f>
        <v>0</v>
      </c>
      <c r="AP229" s="229">
        <f>CHOOSE(m_identity,ENWL!AP229, NPgN!AP229, NPgY!AP229, WMID!AP229, EMID!AP229, SWALES!AP229, SWEST!AP229, LPN!AP229,SPN!AP229,EPN!AP229,SPD!AP229,SPMW!AP229,SSEH!AP229,SSES!AP229)</f>
        <v>0</v>
      </c>
      <c r="AQ229" s="229">
        <f>CHOOSE(m_identity,ENWL!AQ229, NPgN!AQ229, NPgY!AQ229, WMID!AQ229, EMID!AQ229, SWALES!AQ229, SWEST!AQ229, LPN!AQ229,SPN!AQ229,EPN!AQ229,SPD!AQ229,SPMW!AQ229,SSEH!AQ229,SSES!AQ229)</f>
        <v>0</v>
      </c>
    </row>
    <row r="230" spans="5:43" s="156" customFormat="1" ht="15" customHeight="1">
      <c r="E230" s="249" t="s">
        <v>703</v>
      </c>
      <c r="F230" s="98"/>
      <c r="G230" s="98" t="s">
        <v>47</v>
      </c>
      <c r="H230" s="98"/>
      <c r="J230" s="98"/>
      <c r="K230" s="98"/>
      <c r="L230" s="98"/>
      <c r="M230" s="98"/>
      <c r="N230" s="98"/>
      <c r="O230" s="98"/>
      <c r="P230" s="98"/>
      <c r="Q230" s="98"/>
      <c r="R230" s="98"/>
      <c r="S230" s="98"/>
      <c r="T230" s="98"/>
      <c r="U230" s="98"/>
      <c r="V230" s="98"/>
      <c r="W230" s="98"/>
      <c r="X230" s="98"/>
      <c r="Y230" s="98"/>
      <c r="Z230" s="98"/>
      <c r="AA230" s="98"/>
      <c r="AB230" s="98"/>
      <c r="AC230" s="98"/>
      <c r="AD230" s="98"/>
      <c r="AE230" s="98"/>
      <c r="AF230" s="98"/>
      <c r="AG230" s="98"/>
      <c r="AH230" s="98"/>
      <c r="AI230" s="98"/>
      <c r="AJ230" s="229">
        <f>CHOOSE(m_identity,ENWL!AJ230, NPgN!AJ230, NPgY!AJ230, WMID!AJ230, EMID!AJ230, SWALES!AJ230, SWEST!AJ230, LPN!AJ230,SPN!AJ230,EPN!AJ230,SPD!AJ230,SPMW!AJ230,SSEH!AJ230,SSES!AJ230)</f>
        <v>3.0811568099455844E-3</v>
      </c>
      <c r="AK230" s="229">
        <f>CHOOSE(m_identity,ENWL!AK230, NPgN!AK230, NPgY!AK230, WMID!AK230, EMID!AK230, SWALES!AK230, SWEST!AK230, LPN!AK230,SPN!AK230,EPN!AK230,SPD!AK230,SPMW!AK230,SSEH!AK230,SSES!AK230)</f>
        <v>3.1141820142037702E-3</v>
      </c>
      <c r="AL230" s="229">
        <f>CHOOSE(m_identity,ENWL!AL230, NPgN!AL230, NPgY!AL230, WMID!AL230, EMID!AL230, SWALES!AL230, SWEST!AL230, LPN!AL230,SPN!AL230,EPN!AL230,SPD!AL230,SPMW!AL230,SSEH!AL230,SSES!AL230)</f>
        <v>3.1398114875273997E-3</v>
      </c>
      <c r="AM230" s="229">
        <f>CHOOSE(m_identity,ENWL!AM230, NPgN!AM230, NPgY!AM230, WMID!AM230, EMID!AM230, SWALES!AM230, SWEST!AM230, LPN!AM230,SPN!AM230,EPN!AM230,SPD!AM230,SPMW!AM230,SSEH!AM230,SSES!AM230)</f>
        <v>3.1931503341233736E-3</v>
      </c>
      <c r="AN230" s="229">
        <f>CHOOSE(m_identity,ENWL!AN230, NPgN!AN230, NPgY!AN230, WMID!AN230, EMID!AN230, SWALES!AN230, SWEST!AN230, LPN!AN230,SPN!AN230,EPN!AN230,SPD!AN230,SPMW!AN230,SSEH!AN230,SSES!AN230)</f>
        <v>3.2341825012189851E-3</v>
      </c>
      <c r="AO230" s="229">
        <f>CHOOSE(m_identity,ENWL!AO230, NPgN!AO230, NPgY!AO230, WMID!AO230, EMID!AO230, SWALES!AO230, SWEST!AO230, LPN!AO230,SPN!AO230,EPN!AO230,SPD!AO230,SPMW!AO230,SSEH!AO230,SSES!AO230)</f>
        <v>3.2755752003694738E-3</v>
      </c>
      <c r="AP230" s="229">
        <f>CHOOSE(m_identity,ENWL!AP230, NPgN!AP230, NPgY!AP230, WMID!AP230, EMID!AP230, SWALES!AP230, SWEST!AP230, LPN!AP230,SPN!AP230,EPN!AP230,SPD!AP230,SPMW!AP230,SSEH!AP230,SSES!AP230)</f>
        <v>3.3171749212507207E-3</v>
      </c>
      <c r="AQ230" s="229">
        <f>CHOOSE(m_identity,ENWL!AQ230, NPgN!AQ230, NPgY!AQ230, WMID!AQ230, EMID!AQ230, SWALES!AQ230, SWEST!AQ230, LPN!AQ230,SPN!AQ230,EPN!AQ230,SPD!AQ230,SPMW!AQ230,SSEH!AQ230,SSES!AQ230)</f>
        <v>3.3521398644540401E-3</v>
      </c>
    </row>
    <row r="231" spans="5:43" s="156" customFormat="1" ht="15" customHeight="1">
      <c r="E231" s="249" t="s">
        <v>473</v>
      </c>
      <c r="F231" s="98"/>
      <c r="G231" s="98" t="s">
        <v>47</v>
      </c>
      <c r="AJ231" s="229">
        <f>CHOOSE(m_identity,ENWL!AJ231, NPgN!AJ231, NPgY!AJ231, WMID!AJ231, EMID!AJ231, SWALES!AJ231, SWEST!AJ231, LPN!AJ231,SPN!AJ231,EPN!AJ231,SPD!AJ231,SPMW!AJ231,SSEH!AJ231,SSES!AJ231)</f>
        <v>0</v>
      </c>
      <c r="AK231" s="229">
        <f>CHOOSE(m_identity,ENWL!AK231, NPgN!AK231, NPgY!AK231, WMID!AK231, EMID!AK231, SWALES!AK231, SWEST!AK231, LPN!AK231,SPN!AK231,EPN!AK231,SPD!AK231,SPMW!AK231,SSEH!AK231,SSES!AK231)</f>
        <v>0</v>
      </c>
      <c r="AL231" s="229">
        <f>CHOOSE(m_identity,ENWL!AL231, NPgN!AL231, NPgY!AL231, WMID!AL231, EMID!AL231, SWALES!AL231, SWEST!AL231, LPN!AL231,SPN!AL231,EPN!AL231,SPD!AL231,SPMW!AL231,SSEH!AL231,SSES!AL231)</f>
        <v>0</v>
      </c>
      <c r="AM231" s="229">
        <f>CHOOSE(m_identity,ENWL!AM231, NPgN!AM231, NPgY!AM231, WMID!AM231, EMID!AM231, SWALES!AM231, SWEST!AM231, LPN!AM231,SPN!AM231,EPN!AM231,SPD!AM231,SPMW!AM231,SSEH!AM231,SSES!AM231)</f>
        <v>0</v>
      </c>
      <c r="AN231" s="229">
        <f>CHOOSE(m_identity,ENWL!AN231, NPgN!AN231, NPgY!AN231, WMID!AN231, EMID!AN231, SWALES!AN231, SWEST!AN231, LPN!AN231,SPN!AN231,EPN!AN231,SPD!AN231,SPMW!AN231,SSEH!AN231,SSES!AN231)</f>
        <v>0</v>
      </c>
      <c r="AO231" s="229">
        <f>CHOOSE(m_identity,ENWL!AO231, NPgN!AO231, NPgY!AO231, WMID!AO231, EMID!AO231, SWALES!AO231, SWEST!AO231, LPN!AO231,SPN!AO231,EPN!AO231,SPD!AO231,SPMW!AO231,SSEH!AO231,SSES!AO231)</f>
        <v>0</v>
      </c>
      <c r="AP231" s="229">
        <f>CHOOSE(m_identity,ENWL!AP231, NPgN!AP231, NPgY!AP231, WMID!AP231, EMID!AP231, SWALES!AP231, SWEST!AP231, LPN!AP231,SPN!AP231,EPN!AP231,SPD!AP231,SPMW!AP231,SSEH!AP231,SSES!AP231)</f>
        <v>0</v>
      </c>
      <c r="AQ231" s="229">
        <f>CHOOSE(m_identity,ENWL!AQ231, NPgN!AQ231, NPgY!AQ231, WMID!AQ231, EMID!AQ231, SWALES!AQ231, SWEST!AQ231, LPN!AQ231,SPN!AQ231,EPN!AQ231,SPD!AQ231,SPMW!AQ231,SSEH!AQ231,SSES!AQ231)</f>
        <v>0</v>
      </c>
    </row>
    <row r="232" spans="5:43" s="156" customFormat="1" ht="15" customHeight="1"/>
    <row r="233" spans="5:43" s="98" customFormat="1" ht="15" customHeight="1">
      <c r="E233" s="152" t="str">
        <f>E33</f>
        <v>Allowed Expenditure - Innovation Roll-out Mechanism</v>
      </c>
      <c r="G233" s="98" t="s">
        <v>657</v>
      </c>
      <c r="I233" s="58"/>
      <c r="AJ233" s="213">
        <f>AJ33</f>
        <v>0</v>
      </c>
      <c r="AK233" s="213">
        <f t="shared" ref="AK233:AQ233" si="16">AK33</f>
        <v>0</v>
      </c>
      <c r="AL233" s="213">
        <f t="shared" si="16"/>
        <v>0</v>
      </c>
      <c r="AM233" s="213">
        <f t="shared" si="16"/>
        <v>0</v>
      </c>
      <c r="AN233" s="213">
        <f t="shared" si="16"/>
        <v>0</v>
      </c>
      <c r="AO233" s="213">
        <f t="shared" si="16"/>
        <v>0</v>
      </c>
      <c r="AP233" s="213">
        <f t="shared" si="16"/>
        <v>0</v>
      </c>
      <c r="AQ233" s="213">
        <f t="shared" si="16"/>
        <v>0</v>
      </c>
    </row>
    <row r="234" spans="5:43" s="98" customFormat="1" ht="15" customHeight="1">
      <c r="E234" s="249" t="s">
        <v>471</v>
      </c>
      <c r="G234" s="98" t="s">
        <v>47</v>
      </c>
      <c r="I234" s="58"/>
      <c r="AJ234" s="229">
        <f>CHOOSE(m_identity,ENWL!AJ234, NPgN!AJ234, NPgY!AJ234, WMID!AJ234, EMID!AJ234, SWALES!AJ234, SWEST!AJ234, LPN!AJ234,SPN!AJ234,EPN!AJ234,SPD!AJ234,SPMW!AJ234,SSEH!AJ234,SSES!AJ234)</f>
        <v>0.25</v>
      </c>
      <c r="AK234" s="229">
        <f>CHOOSE(m_identity,ENWL!AK234, NPgN!AK234, NPgY!AK234, WMID!AK234, EMID!AK234, SWALES!AK234, SWEST!AK234, LPN!AK234,SPN!AK234,EPN!AK234,SPD!AK234,SPMW!AK234,SSEH!AK234,SSES!AK234)</f>
        <v>0.25</v>
      </c>
      <c r="AL234" s="229">
        <f>CHOOSE(m_identity,ENWL!AL234, NPgN!AL234, NPgY!AL234, WMID!AL234, EMID!AL234, SWALES!AL234, SWEST!AL234, LPN!AL234,SPN!AL234,EPN!AL234,SPD!AL234,SPMW!AL234,SSEH!AL234,SSES!AL234)</f>
        <v>0.25</v>
      </c>
      <c r="AM234" s="229">
        <f>CHOOSE(m_identity,ENWL!AM234, NPgN!AM234, NPgY!AM234, WMID!AM234, EMID!AM234, SWALES!AM234, SWEST!AM234, LPN!AM234,SPN!AM234,EPN!AM234,SPD!AM234,SPMW!AM234,SSEH!AM234,SSES!AM234)</f>
        <v>0.25</v>
      </c>
      <c r="AN234" s="229">
        <f>CHOOSE(m_identity,ENWL!AN234, NPgN!AN234, NPgY!AN234, WMID!AN234, EMID!AN234, SWALES!AN234, SWEST!AN234, LPN!AN234,SPN!AN234,EPN!AN234,SPD!AN234,SPMW!AN234,SSEH!AN234,SSES!AN234)</f>
        <v>0.25</v>
      </c>
      <c r="AO234" s="229">
        <f>CHOOSE(m_identity,ENWL!AO234, NPgN!AO234, NPgY!AO234, WMID!AO234, EMID!AO234, SWALES!AO234, SWEST!AO234, LPN!AO234,SPN!AO234,EPN!AO234,SPD!AO234,SPMW!AO234,SSEH!AO234,SSES!AO234)</f>
        <v>0.25</v>
      </c>
      <c r="AP234" s="229">
        <f>CHOOSE(m_identity,ENWL!AP234, NPgN!AP234, NPgY!AP234, WMID!AP234, EMID!AP234, SWALES!AP234, SWEST!AP234, LPN!AP234,SPN!AP234,EPN!AP234,SPD!AP234,SPMW!AP234,SSEH!AP234,SSES!AP234)</f>
        <v>0.25</v>
      </c>
      <c r="AQ234" s="229">
        <f>CHOOSE(m_identity,ENWL!AQ234, NPgN!AQ234, NPgY!AQ234, WMID!AQ234, EMID!AQ234, SWALES!AQ234, SWEST!AQ234, LPN!AQ234,SPN!AQ234,EPN!AQ234,SPD!AQ234,SPMW!AQ234,SSEH!AQ234,SSES!AQ234)</f>
        <v>0.25</v>
      </c>
    </row>
    <row r="235" spans="5:43" s="98" customFormat="1" ht="15" customHeight="1">
      <c r="E235" s="249" t="s">
        <v>544</v>
      </c>
      <c r="G235" s="98" t="s">
        <v>47</v>
      </c>
      <c r="I235" s="58"/>
      <c r="AJ235" s="229">
        <f>CHOOSE(m_identity,ENWL!AJ235, NPgN!AJ235, NPgY!AJ235, WMID!AJ235, EMID!AJ235, SWALES!AJ235, SWEST!AJ235, LPN!AJ235,SPN!AJ235,EPN!AJ235,SPD!AJ235,SPMW!AJ235,SSEH!AJ235,SSES!AJ235)</f>
        <v>0</v>
      </c>
      <c r="AK235" s="229">
        <f>CHOOSE(m_identity,ENWL!AK235, NPgN!AK235, NPgY!AK235, WMID!AK235, EMID!AK235, SWALES!AK235, SWEST!AK235, LPN!AK235,SPN!AK235,EPN!AK235,SPD!AK235,SPMW!AK235,SSEH!AK235,SSES!AK235)</f>
        <v>0</v>
      </c>
      <c r="AL235" s="229">
        <f>CHOOSE(m_identity,ENWL!AL235, NPgN!AL235, NPgY!AL235, WMID!AL235, EMID!AL235, SWALES!AL235, SWEST!AL235, LPN!AL235,SPN!AL235,EPN!AL235,SPD!AL235,SPMW!AL235,SSEH!AL235,SSES!AL235)</f>
        <v>0</v>
      </c>
      <c r="AM235" s="229">
        <f>CHOOSE(m_identity,ENWL!AM235, NPgN!AM235, NPgY!AM235, WMID!AM235, EMID!AM235, SWALES!AM235, SWEST!AM235, LPN!AM235,SPN!AM235,EPN!AM235,SPD!AM235,SPMW!AM235,SSEH!AM235,SSES!AM235)</f>
        <v>0</v>
      </c>
      <c r="AN235" s="229">
        <f>CHOOSE(m_identity,ENWL!AN235, NPgN!AN235, NPgY!AN235, WMID!AN235, EMID!AN235, SWALES!AN235, SWEST!AN235, LPN!AN235,SPN!AN235,EPN!AN235,SPD!AN235,SPMW!AN235,SSEH!AN235,SSES!AN235)</f>
        <v>0</v>
      </c>
      <c r="AO235" s="229">
        <f>CHOOSE(m_identity,ENWL!AO235, NPgN!AO235, NPgY!AO235, WMID!AO235, EMID!AO235, SWALES!AO235, SWEST!AO235, LPN!AO235,SPN!AO235,EPN!AO235,SPD!AO235,SPMW!AO235,SSEH!AO235,SSES!AO235)</f>
        <v>0</v>
      </c>
      <c r="AP235" s="229">
        <f>CHOOSE(m_identity,ENWL!AP235, NPgN!AP235, NPgY!AP235, WMID!AP235, EMID!AP235, SWALES!AP235, SWEST!AP235, LPN!AP235,SPN!AP235,EPN!AP235,SPD!AP235,SPMW!AP235,SSEH!AP235,SSES!AP235)</f>
        <v>0</v>
      </c>
      <c r="AQ235" s="229">
        <f>CHOOSE(m_identity,ENWL!AQ235, NPgN!AQ235, NPgY!AQ235, WMID!AQ235, EMID!AQ235, SWALES!AQ235, SWEST!AQ235, LPN!AQ235,SPN!AQ235,EPN!AQ235,SPD!AQ235,SPMW!AQ235,SSEH!AQ235,SSES!AQ235)</f>
        <v>0</v>
      </c>
    </row>
    <row r="236" spans="5:43" s="98" customFormat="1" ht="15" customHeight="1">
      <c r="E236" s="249" t="s">
        <v>472</v>
      </c>
      <c r="G236" s="98" t="s">
        <v>47</v>
      </c>
      <c r="I236" s="58"/>
      <c r="AJ236" s="229">
        <f>CHOOSE(m_identity,ENWL!AJ236, NPgN!AJ236, NPgY!AJ236, WMID!AJ236, EMID!AJ236, SWALES!AJ236, SWEST!AJ236, LPN!AJ236,SPN!AJ236,EPN!AJ236,SPD!AJ236,SPMW!AJ236,SSEH!AJ236,SSES!AJ236)</f>
        <v>0.75</v>
      </c>
      <c r="AK236" s="229">
        <f>CHOOSE(m_identity,ENWL!AK236, NPgN!AK236, NPgY!AK236, WMID!AK236, EMID!AK236, SWALES!AK236, SWEST!AK236, LPN!AK236,SPN!AK236,EPN!AK236,SPD!AK236,SPMW!AK236,SSEH!AK236,SSES!AK236)</f>
        <v>0.75</v>
      </c>
      <c r="AL236" s="229">
        <f>CHOOSE(m_identity,ENWL!AL236, NPgN!AL236, NPgY!AL236, WMID!AL236, EMID!AL236, SWALES!AL236, SWEST!AL236, LPN!AL236,SPN!AL236,EPN!AL236,SPD!AL236,SPMW!AL236,SSEH!AL236,SSES!AL236)</f>
        <v>0.75</v>
      </c>
      <c r="AM236" s="229">
        <f>CHOOSE(m_identity,ENWL!AM236, NPgN!AM236, NPgY!AM236, WMID!AM236, EMID!AM236, SWALES!AM236, SWEST!AM236, LPN!AM236,SPN!AM236,EPN!AM236,SPD!AM236,SPMW!AM236,SSEH!AM236,SSES!AM236)</f>
        <v>0.75</v>
      </c>
      <c r="AN236" s="229">
        <f>CHOOSE(m_identity,ENWL!AN236, NPgN!AN236, NPgY!AN236, WMID!AN236, EMID!AN236, SWALES!AN236, SWEST!AN236, LPN!AN236,SPN!AN236,EPN!AN236,SPD!AN236,SPMW!AN236,SSEH!AN236,SSES!AN236)</f>
        <v>0.75</v>
      </c>
      <c r="AO236" s="229">
        <f>CHOOSE(m_identity,ENWL!AO236, NPgN!AO236, NPgY!AO236, WMID!AO236, EMID!AO236, SWALES!AO236, SWEST!AO236, LPN!AO236,SPN!AO236,EPN!AO236,SPD!AO236,SPMW!AO236,SSEH!AO236,SSES!AO236)</f>
        <v>0.75</v>
      </c>
      <c r="AP236" s="229">
        <f>CHOOSE(m_identity,ENWL!AP236, NPgN!AP236, NPgY!AP236, WMID!AP236, EMID!AP236, SWALES!AP236, SWEST!AP236, LPN!AP236,SPN!AP236,EPN!AP236,SPD!AP236,SPMW!AP236,SSEH!AP236,SSES!AP236)</f>
        <v>0.75</v>
      </c>
      <c r="AQ236" s="229">
        <f>CHOOSE(m_identity,ENWL!AQ236, NPgN!AQ236, NPgY!AQ236, WMID!AQ236, EMID!AQ236, SWALES!AQ236, SWEST!AQ236, LPN!AQ236,SPN!AQ236,EPN!AQ236,SPD!AQ236,SPMW!AQ236,SSEH!AQ236,SSES!AQ236)</f>
        <v>0.75</v>
      </c>
    </row>
    <row r="237" spans="5:43" s="98" customFormat="1" ht="15" customHeight="1">
      <c r="E237" s="249" t="s">
        <v>572</v>
      </c>
      <c r="G237" s="98" t="s">
        <v>47</v>
      </c>
      <c r="I237" s="156"/>
      <c r="AJ237" s="229">
        <f>CHOOSE(m_identity,ENWL!AJ237, NPgN!AJ237, NPgY!AJ237, WMID!AJ237, EMID!AJ237, SWALES!AJ237, SWEST!AJ237, LPN!AJ237,SPN!AJ237,EPN!AJ237,SPD!AJ237,SPMW!AJ237,SSEH!AJ237,SSES!AJ237)</f>
        <v>0</v>
      </c>
      <c r="AK237" s="229">
        <f>CHOOSE(m_identity,ENWL!AK237, NPgN!AK237, NPgY!AK237, WMID!AK237, EMID!AK237, SWALES!AK237, SWEST!AK237, LPN!AK237,SPN!AK237,EPN!AK237,SPD!AK237,SPMW!AK237,SSEH!AK237,SSES!AK237)</f>
        <v>0</v>
      </c>
      <c r="AL237" s="229">
        <f>CHOOSE(m_identity,ENWL!AL237, NPgN!AL237, NPgY!AL237, WMID!AL237, EMID!AL237, SWALES!AL237, SWEST!AL237, LPN!AL237,SPN!AL237,EPN!AL237,SPD!AL237,SPMW!AL237,SSEH!AL237,SSES!AL237)</f>
        <v>0</v>
      </c>
      <c r="AM237" s="229">
        <f>CHOOSE(m_identity,ENWL!AM237, NPgN!AM237, NPgY!AM237, WMID!AM237, EMID!AM237, SWALES!AM237, SWEST!AM237, LPN!AM237,SPN!AM237,EPN!AM237,SPD!AM237,SPMW!AM237,SSEH!AM237,SSES!AM237)</f>
        <v>0</v>
      </c>
      <c r="AN237" s="229">
        <f>CHOOSE(m_identity,ENWL!AN237, NPgN!AN237, NPgY!AN237, WMID!AN237, EMID!AN237, SWALES!AN237, SWEST!AN237, LPN!AN237,SPN!AN237,EPN!AN237,SPD!AN237,SPMW!AN237,SSEH!AN237,SSES!AN237)</f>
        <v>0</v>
      </c>
      <c r="AO237" s="229">
        <f>CHOOSE(m_identity,ENWL!AO237, NPgN!AO237, NPgY!AO237, WMID!AO237, EMID!AO237, SWALES!AO237, SWEST!AO237, LPN!AO237,SPN!AO237,EPN!AO237,SPD!AO237,SPMW!AO237,SSEH!AO237,SSES!AO237)</f>
        <v>0</v>
      </c>
      <c r="AP237" s="229">
        <f>CHOOSE(m_identity,ENWL!AP237, NPgN!AP237, NPgY!AP237, WMID!AP237, EMID!AP237, SWALES!AP237, SWEST!AP237, LPN!AP237,SPN!AP237,EPN!AP237,SPD!AP237,SPMW!AP237,SSEH!AP237,SSES!AP237)</f>
        <v>0</v>
      </c>
      <c r="AQ237" s="229">
        <f>CHOOSE(m_identity,ENWL!AQ237, NPgN!AQ237, NPgY!AQ237, WMID!AQ237, EMID!AQ237, SWALES!AQ237, SWEST!AQ237, LPN!AQ237,SPN!AQ237,EPN!AQ237,SPD!AQ237,SPMW!AQ237,SSEH!AQ237,SSES!AQ237)</f>
        <v>0</v>
      </c>
    </row>
    <row r="238" spans="5:43" s="98" customFormat="1" ht="15" customHeight="1">
      <c r="E238" s="249" t="s">
        <v>721</v>
      </c>
      <c r="G238" s="98" t="s">
        <v>47</v>
      </c>
      <c r="I238" s="156"/>
      <c r="AJ238" s="229">
        <f>CHOOSE(m_identity,ENWL!AJ238, NPgN!AJ238, NPgY!AJ238, WMID!AJ238, EMID!AJ238, SWALES!AJ238, SWEST!AJ238, LPN!AJ238,SPN!AJ238,EPN!AJ238,SPD!AJ238,SPMW!AJ238,SSEH!AJ238,SSES!AJ238)</f>
        <v>0</v>
      </c>
      <c r="AK238" s="229">
        <f>CHOOSE(m_identity,ENWL!AK238, NPgN!AK238, NPgY!AK238, WMID!AK238, EMID!AK238, SWALES!AK238, SWEST!AK238, LPN!AK238,SPN!AK238,EPN!AK238,SPD!AK238,SPMW!AK238,SSEH!AK238,SSES!AK238)</f>
        <v>0</v>
      </c>
      <c r="AL238" s="229">
        <f>CHOOSE(m_identity,ENWL!AL238, NPgN!AL238, NPgY!AL238, WMID!AL238, EMID!AL238, SWALES!AL238, SWEST!AL238, LPN!AL238,SPN!AL238,EPN!AL238,SPD!AL238,SPMW!AL238,SSEH!AL238,SSES!AL238)</f>
        <v>0</v>
      </c>
      <c r="AM238" s="229">
        <f>CHOOSE(m_identity,ENWL!AM238, NPgN!AM238, NPgY!AM238, WMID!AM238, EMID!AM238, SWALES!AM238, SWEST!AM238, LPN!AM238,SPN!AM238,EPN!AM238,SPD!AM238,SPMW!AM238,SSEH!AM238,SSES!AM238)</f>
        <v>0</v>
      </c>
      <c r="AN238" s="229">
        <f>CHOOSE(m_identity,ENWL!AN238, NPgN!AN238, NPgY!AN238, WMID!AN238, EMID!AN238, SWALES!AN238, SWEST!AN238, LPN!AN238,SPN!AN238,EPN!AN238,SPD!AN238,SPMW!AN238,SSEH!AN238,SSES!AN238)</f>
        <v>0</v>
      </c>
      <c r="AO238" s="229">
        <f>CHOOSE(m_identity,ENWL!AO238, NPgN!AO238, NPgY!AO238, WMID!AO238, EMID!AO238, SWALES!AO238, SWEST!AO238, LPN!AO238,SPN!AO238,EPN!AO238,SPD!AO238,SPMW!AO238,SSEH!AO238,SSES!AO238)</f>
        <v>0</v>
      </c>
      <c r="AP238" s="229">
        <f>CHOOSE(m_identity,ENWL!AP238, NPgN!AP238, NPgY!AP238, WMID!AP238, EMID!AP238, SWALES!AP238, SWEST!AP238, LPN!AP238,SPN!AP238,EPN!AP238,SPD!AP238,SPMW!AP238,SSEH!AP238,SSES!AP238)</f>
        <v>0</v>
      </c>
      <c r="AQ238" s="229">
        <f>CHOOSE(m_identity,ENWL!AQ238, NPgN!AQ238, NPgY!AQ238, WMID!AQ238, EMID!AQ238, SWALES!AQ238, SWEST!AQ238, LPN!AQ238,SPN!AQ238,EPN!AQ238,SPD!AQ238,SPMW!AQ238,SSEH!AQ238,SSES!AQ238)</f>
        <v>0</v>
      </c>
    </row>
    <row r="239" spans="5:43" s="98" customFormat="1" ht="15" customHeight="1">
      <c r="E239" s="249" t="s">
        <v>703</v>
      </c>
      <c r="G239" s="98" t="s">
        <v>47</v>
      </c>
      <c r="I239" s="156"/>
      <c r="AJ239" s="229">
        <f>CHOOSE(m_identity,ENWL!AJ239, NPgN!AJ239, NPgY!AJ239, WMID!AJ239, EMID!AJ239, SWALES!AJ239, SWEST!AJ239, LPN!AJ239,SPN!AJ239,EPN!AJ239,SPD!AJ239,SPMW!AJ239,SSEH!AJ239,SSES!AJ239)</f>
        <v>0</v>
      </c>
      <c r="AK239" s="229">
        <f>CHOOSE(m_identity,ENWL!AK239, NPgN!AK239, NPgY!AK239, WMID!AK239, EMID!AK239, SWALES!AK239, SWEST!AK239, LPN!AK239,SPN!AK239,EPN!AK239,SPD!AK239,SPMW!AK239,SSEH!AK239,SSES!AK239)</f>
        <v>0</v>
      </c>
      <c r="AL239" s="229">
        <f>CHOOSE(m_identity,ENWL!AL239, NPgN!AL239, NPgY!AL239, WMID!AL239, EMID!AL239, SWALES!AL239, SWEST!AL239, LPN!AL239,SPN!AL239,EPN!AL239,SPD!AL239,SPMW!AL239,SSEH!AL239,SSES!AL239)</f>
        <v>0</v>
      </c>
      <c r="AM239" s="229">
        <f>CHOOSE(m_identity,ENWL!AM239, NPgN!AM239, NPgY!AM239, WMID!AM239, EMID!AM239, SWALES!AM239, SWEST!AM239, LPN!AM239,SPN!AM239,EPN!AM239,SPD!AM239,SPMW!AM239,SSEH!AM239,SSES!AM239)</f>
        <v>0</v>
      </c>
      <c r="AN239" s="229">
        <f>CHOOSE(m_identity,ENWL!AN239, NPgN!AN239, NPgY!AN239, WMID!AN239, EMID!AN239, SWALES!AN239, SWEST!AN239, LPN!AN239,SPN!AN239,EPN!AN239,SPD!AN239,SPMW!AN239,SSEH!AN239,SSES!AN239)</f>
        <v>0</v>
      </c>
      <c r="AO239" s="229">
        <f>CHOOSE(m_identity,ENWL!AO239, NPgN!AO239, NPgY!AO239, WMID!AO239, EMID!AO239, SWALES!AO239, SWEST!AO239, LPN!AO239,SPN!AO239,EPN!AO239,SPD!AO239,SPMW!AO239,SSEH!AO239,SSES!AO239)</f>
        <v>0</v>
      </c>
      <c r="AP239" s="229">
        <f>CHOOSE(m_identity,ENWL!AP239, NPgN!AP239, NPgY!AP239, WMID!AP239, EMID!AP239, SWALES!AP239, SWEST!AP239, LPN!AP239,SPN!AP239,EPN!AP239,SPD!AP239,SPMW!AP239,SSEH!AP239,SSES!AP239)</f>
        <v>0</v>
      </c>
      <c r="AQ239" s="229">
        <f>CHOOSE(m_identity,ENWL!AQ239, NPgN!AQ239, NPgY!AQ239, WMID!AQ239, EMID!AQ239, SWALES!AQ239, SWEST!AQ239, LPN!AQ239,SPN!AQ239,EPN!AQ239,SPD!AQ239,SPMW!AQ239,SSEH!AQ239,SSES!AQ239)</f>
        <v>0</v>
      </c>
    </row>
    <row r="240" spans="5:43" s="98" customFormat="1" ht="15" customHeight="1">
      <c r="E240" s="249" t="s">
        <v>473</v>
      </c>
      <c r="G240" s="98" t="s">
        <v>47</v>
      </c>
      <c r="I240" s="58"/>
      <c r="AJ240" s="229">
        <f>CHOOSE(m_identity,ENWL!AJ240, NPgN!AJ240, NPgY!AJ240, WMID!AJ240, EMID!AJ240, SWALES!AJ240, SWEST!AJ240, LPN!AJ240,SPN!AJ240,EPN!AJ240,SPD!AJ240,SPMW!AJ240,SSEH!AJ240,SSES!AJ240)</f>
        <v>0</v>
      </c>
      <c r="AK240" s="229">
        <f>CHOOSE(m_identity,ENWL!AK240, NPgN!AK240, NPgY!AK240, WMID!AK240, EMID!AK240, SWALES!AK240, SWEST!AK240, LPN!AK240,SPN!AK240,EPN!AK240,SPD!AK240,SPMW!AK240,SSEH!AK240,SSES!AK240)</f>
        <v>0</v>
      </c>
      <c r="AL240" s="229">
        <f>CHOOSE(m_identity,ENWL!AL240, NPgN!AL240, NPgY!AL240, WMID!AL240, EMID!AL240, SWALES!AL240, SWEST!AL240, LPN!AL240,SPN!AL240,EPN!AL240,SPD!AL240,SPMW!AL240,SSEH!AL240,SSES!AL240)</f>
        <v>0</v>
      </c>
      <c r="AM240" s="229">
        <f>CHOOSE(m_identity,ENWL!AM240, NPgN!AM240, NPgY!AM240, WMID!AM240, EMID!AM240, SWALES!AM240, SWEST!AM240, LPN!AM240,SPN!AM240,EPN!AM240,SPD!AM240,SPMW!AM240,SSEH!AM240,SSES!AM240)</f>
        <v>0</v>
      </c>
      <c r="AN240" s="229">
        <f>CHOOSE(m_identity,ENWL!AN240, NPgN!AN240, NPgY!AN240, WMID!AN240, EMID!AN240, SWALES!AN240, SWEST!AN240, LPN!AN240,SPN!AN240,EPN!AN240,SPD!AN240,SPMW!AN240,SSEH!AN240,SSES!AN240)</f>
        <v>0</v>
      </c>
      <c r="AO240" s="229">
        <f>CHOOSE(m_identity,ENWL!AO240, NPgN!AO240, NPgY!AO240, WMID!AO240, EMID!AO240, SWALES!AO240, SWEST!AO240, LPN!AO240,SPN!AO240,EPN!AO240,SPD!AO240,SPMW!AO240,SSEH!AO240,SSES!AO240)</f>
        <v>0</v>
      </c>
      <c r="AP240" s="229">
        <f>CHOOSE(m_identity,ENWL!AP240, NPgN!AP240, NPgY!AP240, WMID!AP240, EMID!AP240, SWALES!AP240, SWEST!AP240, LPN!AP240,SPN!AP240,EPN!AP240,SPD!AP240,SPMW!AP240,SSEH!AP240,SSES!AP240)</f>
        <v>0</v>
      </c>
      <c r="AQ240" s="229">
        <f>CHOOSE(m_identity,ENWL!AQ240, NPgN!AQ240, NPgY!AQ240, WMID!AQ240, EMID!AQ240, SWALES!AQ240, SWEST!AQ240, LPN!AQ240,SPN!AQ240,EPN!AQ240,SPD!AQ240,SPMW!AQ240,SSEH!AQ240,SSES!AQ240)</f>
        <v>0</v>
      </c>
    </row>
    <row r="241" spans="4:44" ht="15" customHeight="1"/>
    <row r="242" spans="4:44" s="98" customFormat="1" ht="15" customHeight="1">
      <c r="E242" s="161" t="s">
        <v>397</v>
      </c>
      <c r="F242" s="19"/>
      <c r="G242" s="98"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56"/>
      <c r="AJ242" s="150">
        <f>CHOOSE(m_identity,ENWL!AJ242, NPgN!AJ242, NPgY!AJ242, WMID!AJ242, EMID!AJ242, SWALES!AJ242, SWEST!AJ242, LPN!AJ242,SPN!AJ242,EPN!AJ242,SPD!AJ242,SPMW!AJ242,SSEH!AJ242,SSES!AJ242)</f>
        <v>29.998509159439635</v>
      </c>
      <c r="AK242" s="150">
        <f>CHOOSE(m_identity,ENWL!AK242, NPgN!AK242, NPgY!AK242, WMID!AK242, EMID!AK242, SWALES!AK242, SWEST!AK242, LPN!AK242,SPN!AK242,EPN!AK242,SPD!AK242,SPMW!AK242,SSEH!AK242,SSES!AK242)</f>
        <v>36.863495450317984</v>
      </c>
      <c r="AL242" s="150">
        <f>CHOOSE(m_identity,ENWL!AL242, NPgN!AL242, NPgY!AL242, WMID!AL242, EMID!AL242, SWALES!AL242, SWEST!AL242, LPN!AL242,SPN!AL242,EPN!AL242,SPD!AL242,SPMW!AL242,SSEH!AL242,SSES!AL242)</f>
        <v>34.780362338389125</v>
      </c>
      <c r="AM242" s="150">
        <f>CHOOSE(m_identity,ENWL!AM242, NPgN!AM242, NPgY!AM242, WMID!AM242, EMID!AM242, SWALES!AM242, SWEST!AM242, LPN!AM242,SPN!AM242,EPN!AM242,SPD!AM242,SPMW!AM242,SSEH!AM242,SSES!AM242)</f>
        <v>38.395806644473808</v>
      </c>
      <c r="AN242" s="150">
        <f>CHOOSE(m_identity,ENWL!AN242, NPgN!AN242, NPgY!AN242, WMID!AN242, EMID!AN242, SWALES!AN242, SWEST!AN242, LPN!AN242,SPN!AN242,EPN!AN242,SPD!AN242,SPMW!AN242,SSEH!AN242,SSES!AN242)</f>
        <v>18.057968689533375</v>
      </c>
      <c r="AO242" s="150">
        <f>CHOOSE(m_identity,ENWL!AO242, NPgN!AO242, NPgY!AO242, WMID!AO242, EMID!AO242, SWALES!AO242, SWEST!AO242, LPN!AO242,SPN!AO242,EPN!AO242,SPD!AO242,SPMW!AO242,SSEH!AO242,SSES!AO242)</f>
        <v>27.165661312650784</v>
      </c>
      <c r="AP242" s="150">
        <f>CHOOSE(m_identity,ENWL!AP242, NPgN!AP242, NPgY!AP242, WMID!AP242, EMID!AP242, SWALES!AP242, SWEST!AP242, LPN!AP242,SPN!AP242,EPN!AP242,SPD!AP242,SPMW!AP242,SSEH!AP242,SSES!AP242)</f>
        <v>38.328084023450032</v>
      </c>
      <c r="AQ242" s="150">
        <f>CHOOSE(m_identity,ENWL!AQ242, NPgN!AQ242, NPgY!AQ242, WMID!AQ242, EMID!AQ242, SWALES!AQ242, SWEST!AQ242, LPN!AQ242,SPN!AQ242,EPN!AQ242,SPD!AQ242,SPMW!AQ242,SSEH!AQ242,SSES!AQ242)</f>
        <v>33.445837567223187</v>
      </c>
    </row>
    <row r="243" spans="4:44" s="98" customFormat="1" ht="15" customHeight="1">
      <c r="E243" s="161" t="s">
        <v>545</v>
      </c>
      <c r="G243" s="98" t="s">
        <v>657</v>
      </c>
      <c r="I243" s="58"/>
      <c r="AE243" s="156"/>
      <c r="AJ243" s="150">
        <f>CHOOSE(m_identity,ENWL!AJ243, NPgN!AJ243, NPgY!AJ243, WMID!AJ243, EMID!AJ243, SWALES!AJ243, SWEST!AJ243, LPN!AJ243,SPN!AJ243,EPN!AJ243,SPD!AJ243,SPMW!AJ243,SSEH!AJ243,SSES!AJ243)</f>
        <v>0</v>
      </c>
      <c r="AK243" s="150">
        <f>CHOOSE(m_identity,ENWL!AK243, NPgN!AK243, NPgY!AK243, WMID!AK243, EMID!AK243, SWALES!AK243, SWEST!AK243, LPN!AK243,SPN!AK243,EPN!AK243,SPD!AK243,SPMW!AK243,SSEH!AK243,SSES!AK243)</f>
        <v>0</v>
      </c>
      <c r="AL243" s="150">
        <f>CHOOSE(m_identity,ENWL!AL243, NPgN!AL243, NPgY!AL243, WMID!AL243, EMID!AL243, SWALES!AL243, SWEST!AL243, LPN!AL243,SPN!AL243,EPN!AL243,SPD!AL243,SPMW!AL243,SSEH!AL243,SSES!AL243)</f>
        <v>0</v>
      </c>
      <c r="AM243" s="150">
        <f>CHOOSE(m_identity,ENWL!AM243, NPgN!AM243, NPgY!AM243, WMID!AM243, EMID!AM243, SWALES!AM243, SWEST!AM243, LPN!AM243,SPN!AM243,EPN!AM243,SPD!AM243,SPMW!AM243,SSEH!AM243,SSES!AM243)</f>
        <v>0</v>
      </c>
      <c r="AN243" s="150">
        <f>CHOOSE(m_identity,ENWL!AN243, NPgN!AN243, NPgY!AN243, WMID!AN243, EMID!AN243, SWALES!AN243, SWEST!AN243, LPN!AN243,SPN!AN243,EPN!AN243,SPD!AN243,SPMW!AN243,SSEH!AN243,SSES!AN243)</f>
        <v>0</v>
      </c>
      <c r="AO243" s="150">
        <f>CHOOSE(m_identity,ENWL!AO243, NPgN!AO243, NPgY!AO243, WMID!AO243, EMID!AO243, SWALES!AO243, SWEST!AO243, LPN!AO243,SPN!AO243,EPN!AO243,SPD!AO243,SPMW!AO243,SSEH!AO243,SSES!AO243)</f>
        <v>0</v>
      </c>
      <c r="AP243" s="150">
        <f>CHOOSE(m_identity,ENWL!AP243, NPgN!AP243, NPgY!AP243, WMID!AP243, EMID!AP243, SWALES!AP243, SWEST!AP243, LPN!AP243,SPN!AP243,EPN!AP243,SPD!AP243,SPMW!AP243,SSEH!AP243,SSES!AP243)</f>
        <v>0</v>
      </c>
      <c r="AQ243" s="150">
        <f>CHOOSE(m_identity,ENWL!AQ243, NPgN!AQ243, NPgY!AQ243, WMID!AQ243, EMID!AQ243, SWALES!AQ243, SWEST!AQ243, LPN!AQ243,SPN!AQ243,EPN!AQ243,SPD!AQ243,SPMW!AQ243,SSEH!AQ243,SSES!AQ243)</f>
        <v>0</v>
      </c>
    </row>
    <row r="244" spans="4:44" s="98" customFormat="1" ht="15" customHeight="1">
      <c r="E244" s="161" t="s">
        <v>398</v>
      </c>
      <c r="G244" s="98" t="s">
        <v>657</v>
      </c>
      <c r="I244" s="58"/>
      <c r="AG244" s="59"/>
      <c r="AH244" s="59"/>
      <c r="AI244" s="59"/>
      <c r="AJ244" s="150">
        <f>CHOOSE(m_identity,ENWL!AJ244, NPgN!AJ244, NPgY!AJ244, WMID!AJ244, EMID!AJ244, SWALES!AJ244, SWEST!AJ244, LPN!AJ244,SPN!AJ244,EPN!AJ244,SPD!AJ244,SPMW!AJ244,SSEH!AJ244,SSES!AJ244)</f>
        <v>0</v>
      </c>
      <c r="AK244" s="150">
        <f>CHOOSE(m_identity,ENWL!AK244, NPgN!AK244, NPgY!AK244, WMID!AK244, EMID!AK244, SWALES!AK244, SWEST!AK244, LPN!AK244,SPN!AK244,EPN!AK244,SPD!AK244,SPMW!AK244,SSEH!AK244,SSES!AK244)</f>
        <v>0</v>
      </c>
      <c r="AL244" s="150">
        <f>CHOOSE(m_identity,ENWL!AL244, NPgN!AL244, NPgY!AL244, WMID!AL244, EMID!AL244, SWALES!AL244, SWEST!AL244, LPN!AL244,SPN!AL244,EPN!AL244,SPD!AL244,SPMW!AL244,SSEH!AL244,SSES!AL244)</f>
        <v>0</v>
      </c>
      <c r="AM244" s="150">
        <f>CHOOSE(m_identity,ENWL!AM244, NPgN!AM244, NPgY!AM244, WMID!AM244, EMID!AM244, SWALES!AM244, SWEST!AM244, LPN!AM244,SPN!AM244,EPN!AM244,SPD!AM244,SPMW!AM244,SSEH!AM244,SSES!AM244)</f>
        <v>0</v>
      </c>
      <c r="AN244" s="150">
        <f>CHOOSE(m_identity,ENWL!AN244, NPgN!AN244, NPgY!AN244, WMID!AN244, EMID!AN244, SWALES!AN244, SWEST!AN244, LPN!AN244,SPN!AN244,EPN!AN244,SPD!AN244,SPMW!AN244,SSEH!AN244,SSES!AN244)</f>
        <v>0</v>
      </c>
      <c r="AO244" s="150">
        <f>CHOOSE(m_identity,ENWL!AO244, NPgN!AO244, NPgY!AO244, WMID!AO244, EMID!AO244, SWALES!AO244, SWEST!AO244, LPN!AO244,SPN!AO244,EPN!AO244,SPD!AO244,SPMW!AO244,SSEH!AO244,SSES!AO244)</f>
        <v>0</v>
      </c>
      <c r="AP244" s="150">
        <f>CHOOSE(m_identity,ENWL!AP244, NPgN!AP244, NPgY!AP244, WMID!AP244, EMID!AP244, SWALES!AP244, SWEST!AP244, LPN!AP244,SPN!AP244,EPN!AP244,SPD!AP244,SPMW!AP244,SSEH!AP244,SSES!AP244)</f>
        <v>0</v>
      </c>
      <c r="AQ244" s="150">
        <f>CHOOSE(m_identity,ENWL!AQ244, NPgN!AQ244, NPgY!AQ244, WMID!AQ244, EMID!AQ244, SWALES!AQ244, SWEST!AQ244, LPN!AQ244,SPN!AQ244,EPN!AQ244,SPD!AQ244,SPMW!AQ244,SSEH!AQ244,SSES!AQ244)</f>
        <v>0</v>
      </c>
    </row>
    <row r="245" spans="4:44" s="98" customFormat="1" ht="15" customHeight="1">
      <c r="E245" s="161" t="s">
        <v>573</v>
      </c>
      <c r="G245" s="98" t="s">
        <v>657</v>
      </c>
      <c r="I245" s="58"/>
      <c r="AG245" s="59"/>
      <c r="AH245" s="59"/>
      <c r="AI245" s="59"/>
      <c r="AJ245" s="150">
        <f>CHOOSE(m_identity,ENWL!AJ245, NPgN!AJ245, NPgY!AJ245, WMID!AJ245, EMID!AJ245, SWALES!AJ245, SWEST!AJ245, LPN!AJ245,SPN!AJ245,EPN!AJ245,SPD!AJ245,SPMW!AJ245,SSEH!AJ245,SSES!AJ245)</f>
        <v>0</v>
      </c>
      <c r="AK245" s="150">
        <f>CHOOSE(m_identity,ENWL!AK245, NPgN!AK245, NPgY!AK245, WMID!AK245, EMID!AK245, SWALES!AK245, SWEST!AK245, LPN!AK245,SPN!AK245,EPN!AK245,SPD!AK245,SPMW!AK245,SSEH!AK245,SSES!AK245)</f>
        <v>0</v>
      </c>
      <c r="AL245" s="150">
        <f>CHOOSE(m_identity,ENWL!AL245, NPgN!AL245, NPgY!AL245, WMID!AL245, EMID!AL245, SWALES!AL245, SWEST!AL245, LPN!AL245,SPN!AL245,EPN!AL245,SPD!AL245,SPMW!AL245,SSEH!AL245,SSES!AL245)</f>
        <v>0</v>
      </c>
      <c r="AM245" s="150">
        <f>CHOOSE(m_identity,ENWL!AM245, NPgN!AM245, NPgY!AM245, WMID!AM245, EMID!AM245, SWALES!AM245, SWEST!AM245, LPN!AM245,SPN!AM245,EPN!AM245,SPD!AM245,SPMW!AM245,SSEH!AM245,SSES!AM245)</f>
        <v>0</v>
      </c>
      <c r="AN245" s="150">
        <f>CHOOSE(m_identity,ENWL!AN245, NPgN!AN245, NPgY!AN245, WMID!AN245, EMID!AN245, SWALES!AN245, SWEST!AN245, LPN!AN245,SPN!AN245,EPN!AN245,SPD!AN245,SPMW!AN245,SSEH!AN245,SSES!AN245)</f>
        <v>0</v>
      </c>
      <c r="AO245" s="150">
        <f>CHOOSE(m_identity,ENWL!AO245, NPgN!AO245, NPgY!AO245, WMID!AO245, EMID!AO245, SWALES!AO245, SWEST!AO245, LPN!AO245,SPN!AO245,EPN!AO245,SPD!AO245,SPMW!AO245,SSEH!AO245,SSES!AO245)</f>
        <v>0</v>
      </c>
      <c r="AP245" s="150">
        <f>CHOOSE(m_identity,ENWL!AP245, NPgN!AP245, NPgY!AP245, WMID!AP245, EMID!AP245, SWALES!AP245, SWEST!AP245, LPN!AP245,SPN!AP245,EPN!AP245,SPD!AP245,SPMW!AP245,SSEH!AP245,SSES!AP245)</f>
        <v>0</v>
      </c>
      <c r="AQ245" s="150">
        <f>CHOOSE(m_identity,ENWL!AQ245, NPgN!AQ245, NPgY!AQ245, WMID!AQ245, EMID!AQ245, SWALES!AQ245, SWEST!AQ245, LPN!AQ245,SPN!AQ245,EPN!AQ245,SPD!AQ245,SPMW!AQ245,SSEH!AQ245,SSES!AQ245)</f>
        <v>0</v>
      </c>
    </row>
    <row r="246" spans="4:44" s="98" customFormat="1" ht="15" customHeight="1">
      <c r="E246" s="161" t="s">
        <v>722</v>
      </c>
      <c r="G246" s="98" t="s">
        <v>657</v>
      </c>
      <c r="I246" s="58"/>
      <c r="AG246" s="59"/>
      <c r="AH246" s="59"/>
      <c r="AI246" s="59"/>
      <c r="AJ246" s="150">
        <f>CHOOSE(m_identity,ENWL!AJ246, NPgN!AJ246, NPgY!AJ246, WMID!AJ246, EMID!AJ246, SWALES!AJ246, SWEST!AJ246, LPN!AJ246,SPN!AJ246,EPN!AJ246,SPD!AJ246,SPMW!AJ246,SSEH!AJ246,SSES!AJ246)</f>
        <v>0</v>
      </c>
      <c r="AK246" s="150">
        <f>CHOOSE(m_identity,ENWL!AK246, NPgN!AK246, NPgY!AK246, WMID!AK246, EMID!AK246, SWALES!AK246, SWEST!AK246, LPN!AK246,SPN!AK246,EPN!AK246,SPD!AK246,SPMW!AK246,SSEH!AK246,SSES!AK246)</f>
        <v>0</v>
      </c>
      <c r="AL246" s="150">
        <f>CHOOSE(m_identity,ENWL!AL246, NPgN!AL246, NPgY!AL246, WMID!AL246, EMID!AL246, SWALES!AL246, SWEST!AL246, LPN!AL246,SPN!AL246,EPN!AL246,SPD!AL246,SPMW!AL246,SSEH!AL246,SSES!AL246)</f>
        <v>0</v>
      </c>
      <c r="AM246" s="150">
        <f>CHOOSE(m_identity,ENWL!AM246, NPgN!AM246, NPgY!AM246, WMID!AM246, EMID!AM246, SWALES!AM246, SWEST!AM246, LPN!AM246,SPN!AM246,EPN!AM246,SPD!AM246,SPMW!AM246,SSEH!AM246,SSES!AM246)</f>
        <v>0</v>
      </c>
      <c r="AN246" s="150">
        <f>CHOOSE(m_identity,ENWL!AN246, NPgN!AN246, NPgY!AN246, WMID!AN246, EMID!AN246, SWALES!AN246, SWEST!AN246, LPN!AN246,SPN!AN246,EPN!AN246,SPD!AN246,SPMW!AN246,SSEH!AN246,SSES!AN246)</f>
        <v>0</v>
      </c>
      <c r="AO246" s="150">
        <f>CHOOSE(m_identity,ENWL!AO246, NPgN!AO246, NPgY!AO246, WMID!AO246, EMID!AO246, SWALES!AO246, SWEST!AO246, LPN!AO246,SPN!AO246,EPN!AO246,SPD!AO246,SPMW!AO246,SSEH!AO246,SSES!AO246)</f>
        <v>0</v>
      </c>
      <c r="AP246" s="150">
        <f>CHOOSE(m_identity,ENWL!AP246, NPgN!AP246, NPgY!AP246, WMID!AP246, EMID!AP246, SWALES!AP246, SWEST!AP246, LPN!AP246,SPN!AP246,EPN!AP246,SPD!AP246,SPMW!AP246,SSEH!AP246,SSES!AP246)</f>
        <v>0</v>
      </c>
      <c r="AQ246" s="150">
        <f>CHOOSE(m_identity,ENWL!AQ246, NPgN!AQ246, NPgY!AQ246, WMID!AQ246, EMID!AQ246, SWALES!AQ246, SWEST!AQ246, LPN!AQ246,SPN!AQ246,EPN!AQ246,SPD!AQ246,SPMW!AQ246,SSEH!AQ246,SSES!AQ246)</f>
        <v>0</v>
      </c>
    </row>
    <row r="247" spans="4:44" s="98" customFormat="1" ht="15" customHeight="1">
      <c r="E247" s="161" t="s">
        <v>704</v>
      </c>
      <c r="G247" s="98" t="s">
        <v>657</v>
      </c>
      <c r="I247" s="58"/>
      <c r="AG247" s="59"/>
      <c r="AH247" s="59"/>
      <c r="AI247" s="59"/>
      <c r="AJ247" s="150">
        <f>CHOOSE(m_identity,ENWL!AJ247, NPgN!AJ247, NPgY!AJ247, WMID!AJ247, EMID!AJ247, SWALES!AJ247, SWEST!AJ247, LPN!AJ247,SPN!AJ247,EPN!AJ247,SPD!AJ247,SPMW!AJ247,SSEH!AJ247,SSES!AJ247)</f>
        <v>0.31627891376680822</v>
      </c>
      <c r="AK247" s="150">
        <f>CHOOSE(m_identity,ENWL!AK247, NPgN!AK247, NPgY!AK247, WMID!AK247, EMID!AK247, SWALES!AK247, SWEST!AK247, LPN!AK247,SPN!AK247,EPN!AK247,SPD!AK247,SPMW!AK247,SSEH!AK247,SSES!AK247)</f>
        <v>0.47789882411187673</v>
      </c>
      <c r="AL247" s="150">
        <f>CHOOSE(m_identity,ENWL!AL247, NPgN!AL247, NPgY!AL247, WMID!AL247, EMID!AL247, SWALES!AL247, SWEST!AL247, LPN!AL247,SPN!AL247,EPN!AL247,SPD!AL247,SPMW!AL247,SSEH!AL247,SSES!AL247)</f>
        <v>0.41353688895298796</v>
      </c>
      <c r="AM247" s="150">
        <f>CHOOSE(m_identity,ENWL!AM247, NPgN!AM247, NPgY!AM247, WMID!AM247, EMID!AM247, SWALES!AM247, SWEST!AM247, LPN!AM247,SPN!AM247,EPN!AM247,SPD!AM247,SPMW!AM247,SSEH!AM247,SSES!AM247)</f>
        <v>0.46630039570498383</v>
      </c>
      <c r="AN247" s="150">
        <f>CHOOSE(m_identity,ENWL!AN247, NPgN!AN247, NPgY!AN247, WMID!AN247, EMID!AN247, SWALES!AN247, SWEST!AN247, LPN!AN247,SPN!AN247,EPN!AN247,SPD!AN247,SPMW!AN247,SSEH!AN247,SSES!AN247)</f>
        <v>0.353746727087066</v>
      </c>
      <c r="AO247" s="150">
        <f>CHOOSE(m_identity,ENWL!AO247, NPgN!AO247, NPgY!AO247, WMID!AO247, EMID!AO247, SWALES!AO247, SWEST!AO247, LPN!AO247,SPN!AO247,EPN!AO247,SPD!AO247,SPMW!AO247,SSEH!AO247,SSES!AO247)</f>
        <v>0.42537000302186329</v>
      </c>
      <c r="AP247" s="150">
        <f>CHOOSE(m_identity,ENWL!AP247, NPgN!AP247, NPgY!AP247, WMID!AP247, EMID!AP247, SWALES!AP247, SWEST!AP247, LPN!AP247,SPN!AP247,EPN!AP247,SPD!AP247,SPMW!AP247,SSEH!AP247,SSES!AP247)</f>
        <v>0.41234491070006635</v>
      </c>
      <c r="AQ247" s="150">
        <f>CHOOSE(m_identity,ENWL!AQ247, NPgN!AQ247, NPgY!AQ247, WMID!AQ247, EMID!AQ247, SWALES!AQ247, SWEST!AQ247, LPN!AQ247,SPN!AQ247,EPN!AQ247,SPD!AQ247,SPMW!AQ247,SSEH!AQ247,SSES!AQ247)</f>
        <v>0.36349701908194176</v>
      </c>
    </row>
    <row r="248" spans="4:44" s="98" customFormat="1" ht="15" customHeight="1">
      <c r="E248" s="161" t="s">
        <v>399</v>
      </c>
      <c r="G248" s="98" t="s">
        <v>657</v>
      </c>
      <c r="I248" s="58"/>
      <c r="AJ248" s="150">
        <f>CHOOSE(m_identity,ENWL!AJ248, NPgN!AJ248, NPgY!AJ248, WMID!AJ248, EMID!AJ248, SWALES!AJ248, SWEST!AJ248, LPN!AJ248,SPN!AJ248,EPN!AJ248,SPD!AJ248,SPMW!AJ248,SSEH!AJ248,SSES!AJ248)</f>
        <v>1.2055240297138416</v>
      </c>
      <c r="AK248" s="150">
        <f>CHOOSE(m_identity,ENWL!AK248, NPgN!AK248, NPgY!AK248, WMID!AK248, EMID!AK248, SWALES!AK248, SWEST!AK248, LPN!AK248,SPN!AK248,EPN!AK248,SPD!AK248,SPMW!AK248,SSEH!AK248,SSES!AK248)</f>
        <v>2.2975944448781873</v>
      </c>
      <c r="AL248" s="150">
        <f>CHOOSE(m_identity,ENWL!AL248, NPgN!AL248, NPgY!AL248, WMID!AL248, EMID!AL248, SWALES!AL248, SWEST!AL248, LPN!AL248,SPN!AL248,EPN!AL248,SPD!AL248,SPMW!AL248,SSEH!AL248,SSES!AL248)</f>
        <v>3.2764945319999708</v>
      </c>
      <c r="AM248" s="150">
        <f>CHOOSE(m_identity,ENWL!AM248, NPgN!AM248, NPgY!AM248, WMID!AM248, EMID!AM248, SWALES!AM248, SWEST!AM248, LPN!AM248,SPN!AM248,EPN!AM248,SPD!AM248,SPMW!AM248,SSEH!AM248,SSES!AM248)</f>
        <v>3.6370116670252708</v>
      </c>
      <c r="AN248" s="150">
        <f>CHOOSE(m_identity,ENWL!AN248, NPgN!AN248, NPgY!AN248, WMID!AN248, EMID!AN248, SWALES!AN248, SWEST!AN248, LPN!AN248,SPN!AN248,EPN!AN248,SPD!AN248,SPMW!AN248,SSEH!AN248,SSES!AN248)</f>
        <v>3.445166659007044</v>
      </c>
      <c r="AO248" s="150">
        <f>CHOOSE(m_identity,ENWL!AO248, NPgN!AO248, NPgY!AO248, WMID!AO248, EMID!AO248, SWALES!AO248, SWEST!AO248, LPN!AO248,SPN!AO248,EPN!AO248,SPD!AO248,SPMW!AO248,SSEH!AO248,SSES!AO248)</f>
        <v>2.4060349304739139</v>
      </c>
      <c r="AP248" s="150">
        <f>CHOOSE(m_identity,ENWL!AP248, NPgN!AP248, NPgY!AP248, WMID!AP248, EMID!AP248, SWALES!AP248, SWEST!AP248, LPN!AP248,SPN!AP248,EPN!AP248,SPD!AP248,SPMW!AP248,SSEH!AP248,SSES!AP248)</f>
        <v>0</v>
      </c>
      <c r="AQ248" s="150">
        <f>CHOOSE(m_identity,ENWL!AQ248, NPgN!AQ248, NPgY!AQ248, WMID!AQ248, EMID!AQ248, SWALES!AQ248, SWEST!AQ248, LPN!AQ248,SPN!AQ248,EPN!AQ248,SPD!AQ248,SPMW!AQ248,SSEH!AQ248,SSES!AQ248)</f>
        <v>0</v>
      </c>
    </row>
    <row r="249" spans="4:44" ht="15" customHeight="1"/>
    <row r="250" spans="4:44" s="55" customFormat="1" ht="15" customHeight="1">
      <c r="D250" s="160" t="s">
        <v>153</v>
      </c>
      <c r="E250" s="160"/>
      <c r="F250" s="160"/>
      <c r="G250" s="160"/>
      <c r="H250" s="160"/>
      <c r="I250" s="160"/>
      <c r="J250" s="160"/>
      <c r="K250" s="160"/>
      <c r="L250" s="160"/>
      <c r="M250" s="160"/>
      <c r="N250" s="160"/>
      <c r="O250" s="160"/>
      <c r="P250" s="160"/>
      <c r="Q250" s="160"/>
      <c r="R250" s="160"/>
      <c r="S250" s="160"/>
      <c r="T250" s="160"/>
      <c r="U250" s="160"/>
      <c r="V250" s="160"/>
      <c r="W250" s="160"/>
      <c r="X250" s="160"/>
      <c r="Y250" s="160"/>
      <c r="Z250" s="160"/>
      <c r="AA250" s="160"/>
      <c r="AB250" s="160"/>
      <c r="AC250" s="160"/>
      <c r="AD250" s="160"/>
      <c r="AE250" s="160"/>
      <c r="AF250" s="160"/>
      <c r="AG250" s="160"/>
      <c r="AH250" s="160"/>
      <c r="AI250" s="160"/>
      <c r="AJ250" s="160"/>
      <c r="AK250" s="160"/>
      <c r="AL250" s="160"/>
      <c r="AM250" s="160"/>
      <c r="AN250" s="160"/>
      <c r="AO250" s="160"/>
      <c r="AP250" s="160"/>
      <c r="AQ250" s="160"/>
    </row>
    <row r="251" spans="4:44" s="55" customFormat="1" ht="15" customHeight="1">
      <c r="I251" s="58"/>
      <c r="M251" s="98"/>
      <c r="N251" s="98"/>
    </row>
    <row r="252" spans="4:44" s="54" customFormat="1" ht="15" customHeight="1">
      <c r="E252" s="98" t="s">
        <v>147</v>
      </c>
      <c r="G252" s="98" t="s">
        <v>657</v>
      </c>
      <c r="M252" s="87"/>
      <c r="N252" s="87"/>
      <c r="AJ252" s="213">
        <f t="shared" ref="AJ252:AQ253" si="17">AJ12</f>
        <v>0</v>
      </c>
      <c r="AK252" s="213">
        <f t="shared" si="17"/>
        <v>0</v>
      </c>
      <c r="AL252" s="213">
        <f t="shared" si="17"/>
        <v>0</v>
      </c>
      <c r="AM252" s="213">
        <f t="shared" si="17"/>
        <v>0</v>
      </c>
      <c r="AN252" s="213">
        <f t="shared" si="17"/>
        <v>0</v>
      </c>
      <c r="AO252" s="213">
        <f t="shared" si="17"/>
        <v>0</v>
      </c>
      <c r="AP252" s="213">
        <f t="shared" si="17"/>
        <v>0</v>
      </c>
      <c r="AQ252" s="213">
        <f t="shared" si="17"/>
        <v>0</v>
      </c>
      <c r="AR252" s="60"/>
    </row>
    <row r="253" spans="4:44" s="54" customFormat="1" ht="15" customHeight="1">
      <c r="E253" s="98" t="s">
        <v>542</v>
      </c>
      <c r="G253" s="98" t="s">
        <v>657</v>
      </c>
      <c r="M253" s="87"/>
      <c r="N253" s="87"/>
      <c r="AJ253" s="213">
        <f t="shared" si="17"/>
        <v>0</v>
      </c>
      <c r="AK253" s="213">
        <f t="shared" si="17"/>
        <v>0</v>
      </c>
      <c r="AL253" s="213">
        <f t="shared" si="17"/>
        <v>0</v>
      </c>
      <c r="AM253" s="213">
        <f t="shared" si="17"/>
        <v>0</v>
      </c>
      <c r="AN253" s="213">
        <f t="shared" si="17"/>
        <v>0</v>
      </c>
      <c r="AO253" s="213">
        <f t="shared" si="17"/>
        <v>0</v>
      </c>
      <c r="AP253" s="213">
        <f t="shared" si="17"/>
        <v>0</v>
      </c>
      <c r="AQ253" s="213">
        <f t="shared" si="17"/>
        <v>0</v>
      </c>
      <c r="AR253" s="60"/>
    </row>
    <row r="254" spans="4:44" s="54" customFormat="1" ht="15" customHeight="1">
      <c r="E254" s="56" t="s">
        <v>154</v>
      </c>
      <c r="G254" s="98" t="s">
        <v>657</v>
      </c>
      <c r="M254" s="87"/>
      <c r="N254" s="87"/>
      <c r="AJ254" s="213">
        <f t="shared" ref="AJ254:AQ254" si="18">AJ14</f>
        <v>0</v>
      </c>
      <c r="AK254" s="213">
        <f t="shared" si="18"/>
        <v>0</v>
      </c>
      <c r="AL254" s="213">
        <f t="shared" si="18"/>
        <v>0</v>
      </c>
      <c r="AM254" s="213">
        <f t="shared" si="18"/>
        <v>0</v>
      </c>
      <c r="AN254" s="213">
        <f t="shared" si="18"/>
        <v>0</v>
      </c>
      <c r="AO254" s="213">
        <f t="shared" si="18"/>
        <v>0</v>
      </c>
      <c r="AP254" s="213">
        <f t="shared" si="18"/>
        <v>0</v>
      </c>
      <c r="AQ254" s="213">
        <f t="shared" si="18"/>
        <v>0</v>
      </c>
      <c r="AR254" s="60"/>
    </row>
    <row r="255" spans="4:44" s="87" customFormat="1" ht="15" customHeight="1">
      <c r="E255" s="56" t="s">
        <v>570</v>
      </c>
      <c r="G255" s="98" t="s">
        <v>657</v>
      </c>
      <c r="AJ255" s="213">
        <f t="shared" ref="AJ255:AQ255" si="19">AJ15</f>
        <v>0</v>
      </c>
      <c r="AK255" s="213">
        <f t="shared" si="19"/>
        <v>0</v>
      </c>
      <c r="AL255" s="213">
        <f t="shared" si="19"/>
        <v>0</v>
      </c>
      <c r="AM255" s="213">
        <f t="shared" si="19"/>
        <v>0</v>
      </c>
      <c r="AN255" s="213">
        <f t="shared" si="19"/>
        <v>0</v>
      </c>
      <c r="AO255" s="213">
        <f t="shared" si="19"/>
        <v>0</v>
      </c>
      <c r="AP255" s="213">
        <f t="shared" si="19"/>
        <v>0</v>
      </c>
      <c r="AQ255" s="213">
        <f t="shared" si="19"/>
        <v>0</v>
      </c>
      <c r="AR255" s="60"/>
    </row>
    <row r="256" spans="4:44" s="87" customFormat="1" ht="15" customHeight="1">
      <c r="E256" s="161" t="s">
        <v>723</v>
      </c>
      <c r="G256" s="98" t="s">
        <v>657</v>
      </c>
      <c r="AJ256" s="213">
        <f>AJ16</f>
        <v>0</v>
      </c>
      <c r="AK256" s="213">
        <f t="shared" ref="AK256:AQ256" si="20">AK16</f>
        <v>0</v>
      </c>
      <c r="AL256" s="213">
        <f t="shared" si="20"/>
        <v>0</v>
      </c>
      <c r="AM256" s="213">
        <f t="shared" si="20"/>
        <v>0</v>
      </c>
      <c r="AN256" s="213">
        <f t="shared" si="20"/>
        <v>0</v>
      </c>
      <c r="AO256" s="213">
        <f t="shared" si="20"/>
        <v>0</v>
      </c>
      <c r="AP256" s="213">
        <f t="shared" si="20"/>
        <v>0</v>
      </c>
      <c r="AQ256" s="213">
        <f t="shared" si="20"/>
        <v>0</v>
      </c>
      <c r="AR256" s="60"/>
    </row>
    <row r="257" spans="2:44" s="87" customFormat="1" ht="15" customHeight="1">
      <c r="E257" s="56" t="s">
        <v>701</v>
      </c>
      <c r="G257" s="98" t="s">
        <v>657</v>
      </c>
      <c r="AJ257" s="213">
        <f t="shared" ref="AJ257:AQ257" si="21">AJ17</f>
        <v>0</v>
      </c>
      <c r="AK257" s="213">
        <f t="shared" si="21"/>
        <v>0</v>
      </c>
      <c r="AL257" s="213">
        <f t="shared" si="21"/>
        <v>0</v>
      </c>
      <c r="AM257" s="213">
        <f t="shared" si="21"/>
        <v>0</v>
      </c>
      <c r="AN257" s="213">
        <f t="shared" si="21"/>
        <v>0</v>
      </c>
      <c r="AO257" s="213">
        <f t="shared" si="21"/>
        <v>0</v>
      </c>
      <c r="AP257" s="213">
        <f t="shared" si="21"/>
        <v>0</v>
      </c>
      <c r="AQ257" s="213">
        <f t="shared" si="21"/>
        <v>0</v>
      </c>
      <c r="AR257" s="60"/>
    </row>
    <row r="258" spans="2:44" s="54" customFormat="1" ht="15" customHeight="1">
      <c r="E258" s="4" t="s">
        <v>155</v>
      </c>
      <c r="G258" s="98" t="s">
        <v>657</v>
      </c>
      <c r="M258" s="87"/>
      <c r="N258" s="87"/>
      <c r="AJ258" s="213">
        <f t="shared" ref="AJ258:AQ258" si="22">AJ18</f>
        <v>0</v>
      </c>
      <c r="AK258" s="213">
        <f t="shared" si="22"/>
        <v>0</v>
      </c>
      <c r="AL258" s="213">
        <f t="shared" si="22"/>
        <v>0</v>
      </c>
      <c r="AM258" s="213">
        <f t="shared" si="22"/>
        <v>0</v>
      </c>
      <c r="AN258" s="213">
        <f t="shared" si="22"/>
        <v>0</v>
      </c>
      <c r="AO258" s="213">
        <f t="shared" si="22"/>
        <v>0</v>
      </c>
      <c r="AP258" s="213">
        <f t="shared" si="22"/>
        <v>0</v>
      </c>
      <c r="AQ258" s="213">
        <f t="shared" si="22"/>
        <v>0</v>
      </c>
      <c r="AR258" s="60"/>
    </row>
    <row r="259" spans="2:44" s="12" customFormat="1" ht="15" customHeight="1">
      <c r="J259" s="14"/>
      <c r="K259" s="14"/>
      <c r="L259" s="14"/>
      <c r="M259" s="14"/>
      <c r="N259" s="14"/>
      <c r="O259" s="14"/>
      <c r="P259" s="14"/>
      <c r="Q259" s="14"/>
      <c r="R259" s="14"/>
      <c r="S259" s="14"/>
      <c r="T259" s="14"/>
      <c r="U259" s="14"/>
      <c r="V259" s="14"/>
      <c r="W259" s="14"/>
      <c r="X259" s="14"/>
      <c r="Y259" s="14"/>
      <c r="Z259" s="14"/>
    </row>
    <row r="260" spans="2:44" s="146" customFormat="1" ht="15" customHeight="1">
      <c r="C260" s="292" t="s">
        <v>599</v>
      </c>
      <c r="D260" s="292"/>
      <c r="E260" s="292"/>
      <c r="F260" s="292"/>
      <c r="G260" s="17"/>
      <c r="H260" s="17"/>
      <c r="I260" s="17"/>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c r="AQ260" s="17"/>
    </row>
    <row r="261" spans="2:44" s="146" customFormat="1" ht="15" customHeight="1">
      <c r="C261" s="145"/>
      <c r="D261" s="145"/>
      <c r="E261" s="145"/>
      <c r="F261" s="145"/>
      <c r="J261" s="14"/>
      <c r="K261" s="14"/>
      <c r="L261" s="14"/>
      <c r="M261" s="14"/>
      <c r="N261" s="14"/>
      <c r="O261" s="14"/>
      <c r="P261" s="14"/>
      <c r="Q261" s="14"/>
      <c r="R261" s="14"/>
      <c r="S261" s="14"/>
      <c r="T261" s="14"/>
      <c r="U261" s="14"/>
      <c r="V261" s="14"/>
      <c r="W261" s="14"/>
      <c r="X261" s="14"/>
      <c r="Y261" s="14"/>
      <c r="Z261" s="14"/>
    </row>
    <row r="262" spans="2:44" s="149" customFormat="1" ht="15" customHeight="1">
      <c r="C262" s="145"/>
      <c r="D262" s="145"/>
      <c r="E262" s="248" t="s">
        <v>649</v>
      </c>
      <c r="F262" s="145"/>
      <c r="G262" s="19" t="s">
        <v>657</v>
      </c>
      <c r="J262" s="14"/>
      <c r="K262" s="14"/>
      <c r="L262" s="14"/>
      <c r="M262" s="14"/>
      <c r="N262" s="14"/>
      <c r="O262" s="14"/>
      <c r="P262" s="14"/>
      <c r="Q262" s="14"/>
      <c r="R262" s="14"/>
      <c r="S262" s="14"/>
      <c r="T262" s="14"/>
      <c r="U262" s="14"/>
      <c r="V262" s="14"/>
      <c r="W262" s="14"/>
      <c r="X262" s="14"/>
      <c r="Y262" s="14"/>
      <c r="Z262" s="14"/>
      <c r="AJ262" s="227">
        <f>CHOOSE(m_identity,ENWL!AJ262, NPgN!AJ262, NPgY!AJ262, WMID!AJ262, EMID!AJ262, SWALES!AJ262, SWEST!AJ262, LPN!AJ262,SPN!AJ262,EPN!AJ262,SPD!AJ262,SPMW!AJ262,SSEH!AJ262,SSES!AJ262)</f>
        <v>45.906857142857142</v>
      </c>
      <c r="AK262" s="227">
        <f>CHOOSE(m_identity,ENWL!AK262, NPgN!AK262, NPgY!AK262, WMID!AK262, EMID!AK262, SWALES!AK262, SWEST!AK262, LPN!AK262,SPN!AK262,EPN!AK262,SPD!AK262,SPMW!AK262,SSEH!AK262,SSES!AK262)</f>
        <v>41.451999999999998</v>
      </c>
      <c r="AL262" s="227">
        <f>CHOOSE(m_identity,ENWL!AL262, NPgN!AL262, NPgY!AL262, WMID!AL262, EMID!AL262, SWALES!AL262, SWEST!AL262, LPN!AL262,SPN!AL262,EPN!AL262,SPD!AL262,SPMW!AL262,SSEH!AL262,SSES!AL262)</f>
        <v>42.637</v>
      </c>
      <c r="AM262" s="227">
        <f>CHOOSE(m_identity,ENWL!AM262, NPgN!AM262, NPgY!AM262, WMID!AM262, EMID!AM262, SWALES!AM262, SWEST!AM262, LPN!AM262,SPN!AM262,EPN!AM262,SPD!AM262,SPMW!AM262,SSEH!AM262,SSES!AM262)</f>
        <v>42.642000000000003</v>
      </c>
      <c r="AN262" s="227">
        <f>CHOOSE(m_identity,ENWL!AN262, NPgN!AN262, NPgY!AN262, WMID!AN262, EMID!AN262, SWALES!AN262, SWEST!AN262, LPN!AN262,SPN!AN262,EPN!AN262,SPD!AN262,SPMW!AN262,SSEH!AN262,SSES!AN262)</f>
        <v>43.69614285714286</v>
      </c>
      <c r="AO262" s="227">
        <f>CHOOSE(m_identity,ENWL!AO262, NPgN!AO262, NPgY!AO262, WMID!AO262, EMID!AO262, SWALES!AO262, SWEST!AO262, LPN!AO262,SPN!AO262,EPN!AO262,SPD!AO262,SPMW!AO262,SSEH!AO262,SSES!AO262)</f>
        <v>42.652000000000001</v>
      </c>
      <c r="AP262" s="227">
        <f>CHOOSE(m_identity,ENWL!AP262, NPgN!AP262, NPgY!AP262, WMID!AP262, EMID!AP262, SWALES!AP262, SWEST!AP262, LPN!AP262,SPN!AP262,EPN!AP262,SPD!AP262,SPMW!AP262,SSEH!AP262,SSES!AP262)</f>
        <v>41.993000000000002</v>
      </c>
      <c r="AQ262" s="227">
        <f>CHOOSE(m_identity,ENWL!AQ262, NPgN!AQ262, NPgY!AQ262, WMID!AQ262, EMID!AQ262, SWALES!AQ262, SWEST!AQ262, LPN!AQ262,SPN!AQ262,EPN!AQ262,SPD!AQ262,SPMW!AQ262,SSEH!AQ262,SSES!AQ262)</f>
        <v>41.993000000000002</v>
      </c>
    </row>
    <row r="263" spans="2:44" s="149" customFormat="1" ht="15" customHeight="1">
      <c r="C263" s="145"/>
      <c r="D263" s="145"/>
      <c r="E263" s="248" t="s">
        <v>650</v>
      </c>
      <c r="F263" s="145"/>
      <c r="G263" s="19" t="s">
        <v>657</v>
      </c>
      <c r="J263" s="14"/>
      <c r="K263" s="14"/>
      <c r="L263" s="14"/>
      <c r="M263" s="14"/>
      <c r="N263" s="14"/>
      <c r="O263" s="14"/>
      <c r="P263" s="14"/>
      <c r="Q263" s="14"/>
      <c r="R263" s="14"/>
      <c r="S263" s="14"/>
      <c r="T263" s="14"/>
      <c r="U263" s="14"/>
      <c r="V263" s="14"/>
      <c r="W263" s="14"/>
      <c r="X263" s="14"/>
      <c r="Y263" s="14"/>
      <c r="Z263" s="14"/>
      <c r="AJ263" s="227">
        <f>CHOOSE(m_identity,ENWL!AJ263, NPgN!AJ263, NPgY!AJ263, WMID!AJ263, EMID!AJ263, SWALES!AJ263, SWEST!AJ263, LPN!AJ263,SPN!AJ263,EPN!AJ263,SPD!AJ263,SPMW!AJ263,SSEH!AJ263,SSES!AJ263)</f>
        <v>13.22</v>
      </c>
      <c r="AK263" s="227">
        <f>CHOOSE(m_identity,ENWL!AK263, NPgN!AK263, NPgY!AK263, WMID!AK263, EMID!AK263, SWALES!AK263, SWEST!AK263, LPN!AK263,SPN!AK263,EPN!AK263,SPD!AK263,SPMW!AK263,SSEH!AK263,SSES!AK263)</f>
        <v>13.29</v>
      </c>
      <c r="AL263" s="227">
        <f>CHOOSE(m_identity,ENWL!AL263, NPgN!AL263, NPgY!AL263, WMID!AL263, EMID!AL263, SWALES!AL263, SWEST!AL263, LPN!AL263,SPN!AL263,EPN!AL263,SPD!AL263,SPMW!AL263,SSEH!AL263,SSES!AL263)</f>
        <v>13.359</v>
      </c>
      <c r="AM263" s="227">
        <f>CHOOSE(m_identity,ENWL!AM263, NPgN!AM263, NPgY!AM263, WMID!AM263, EMID!AM263, SWALES!AM263, SWEST!AM263, LPN!AM263,SPN!AM263,EPN!AM263,SPD!AM263,SPMW!AM263,SSEH!AM263,SSES!AM263)</f>
        <v>13.356999999999999</v>
      </c>
      <c r="AN263" s="227">
        <f>CHOOSE(m_identity,ENWL!AN263, NPgN!AN263, NPgY!AN263, WMID!AN263, EMID!AN263, SWALES!AN263, SWEST!AN263, LPN!AN263,SPN!AN263,EPN!AN263,SPD!AN263,SPMW!AN263,SSEH!AN263,SSES!AN263)</f>
        <v>13.355</v>
      </c>
      <c r="AO263" s="227">
        <f>CHOOSE(m_identity,ENWL!AO263, NPgN!AO263, NPgY!AO263, WMID!AO263, EMID!AO263, SWALES!AO263, SWEST!AO263, LPN!AO263,SPN!AO263,EPN!AO263,SPD!AO263,SPMW!AO263,SSEH!AO263,SSES!AO263)</f>
        <v>13.353</v>
      </c>
      <c r="AP263" s="227">
        <f>CHOOSE(m_identity,ENWL!AP263, NPgN!AP263, NPgY!AP263, WMID!AP263, EMID!AP263, SWALES!AP263, SWEST!AP263, LPN!AP263,SPN!AP263,EPN!AP263,SPD!AP263,SPMW!AP263,SSEH!AP263,SSES!AP263)</f>
        <v>13.351000000000001</v>
      </c>
      <c r="AQ263" s="227">
        <f>CHOOSE(m_identity,ENWL!AQ263, NPgN!AQ263, NPgY!AQ263, WMID!AQ263, EMID!AQ263, SWALES!AQ263, SWEST!AQ263, LPN!AQ263,SPN!AQ263,EPN!AQ263,SPD!AQ263,SPMW!AQ263,SSEH!AQ263,SSES!AQ263)</f>
        <v>13.702999999999999</v>
      </c>
    </row>
    <row r="264" spans="2:44" ht="15" customHeight="1">
      <c r="C264" s="147"/>
      <c r="D264" s="147"/>
      <c r="E264" s="19" t="s">
        <v>105</v>
      </c>
      <c r="F264" s="147"/>
      <c r="G264" s="19" t="s">
        <v>657</v>
      </c>
      <c r="AJ264" s="375">
        <f>SUM(AJ262:AJ263)</f>
        <v>59.126857142857141</v>
      </c>
      <c r="AK264" s="165">
        <f t="shared" ref="AK264:AQ264" si="23">SUM(AK262:AK263)</f>
        <v>54.741999999999997</v>
      </c>
      <c r="AL264" s="165">
        <f t="shared" si="23"/>
        <v>55.996000000000002</v>
      </c>
      <c r="AM264" s="165">
        <f t="shared" si="23"/>
        <v>55.999000000000002</v>
      </c>
      <c r="AN264" s="165">
        <f t="shared" si="23"/>
        <v>57.051142857142864</v>
      </c>
      <c r="AO264" s="165">
        <f t="shared" si="23"/>
        <v>56.005000000000003</v>
      </c>
      <c r="AP264" s="165">
        <f t="shared" si="23"/>
        <v>55.344000000000001</v>
      </c>
      <c r="AQ264" s="165">
        <f t="shared" si="23"/>
        <v>55.695999999999998</v>
      </c>
    </row>
    <row r="265" spans="2:44" s="146" customFormat="1" ht="15" customHeight="1">
      <c r="J265" s="14"/>
      <c r="K265" s="14"/>
      <c r="L265" s="14"/>
      <c r="M265" s="14"/>
      <c r="N265" s="14"/>
      <c r="O265" s="14"/>
      <c r="P265" s="14"/>
      <c r="Q265" s="14"/>
      <c r="R265" s="14"/>
      <c r="S265" s="14"/>
      <c r="T265" s="14"/>
      <c r="U265" s="14"/>
      <c r="V265" s="14"/>
      <c r="W265" s="14"/>
      <c r="X265" s="14"/>
      <c r="Y265" s="14"/>
      <c r="Z265" s="14"/>
    </row>
    <row r="266" spans="2:44" ht="15" customHeight="1">
      <c r="B266" s="159" t="s">
        <v>212</v>
      </c>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159"/>
      <c r="AK266" s="159"/>
      <c r="AL266" s="159"/>
      <c r="AM266" s="159"/>
      <c r="AN266" s="159"/>
      <c r="AO266" s="159"/>
      <c r="AP266" s="159"/>
      <c r="AQ266" s="159"/>
    </row>
    <row r="267" spans="2:44" ht="15" customHeight="1"/>
    <row r="268" spans="2:44" s="12" customFormat="1" ht="15" customHeight="1">
      <c r="D268" s="3"/>
      <c r="E268" s="155" t="str">
        <f t="shared" ref="E268" si="24">E34</f>
        <v>Pension Scheme Established Deficit revenue adjustment</v>
      </c>
      <c r="F268" s="3"/>
      <c r="G268" s="190" t="s">
        <v>657</v>
      </c>
      <c r="H268" s="3"/>
      <c r="I268" s="3"/>
      <c r="J268" s="3"/>
      <c r="K268" s="3"/>
      <c r="L268" s="3"/>
      <c r="M268" s="155"/>
      <c r="N268" s="155"/>
      <c r="O268" s="3"/>
      <c r="P268" s="3"/>
      <c r="Q268" s="3"/>
      <c r="R268" s="3"/>
      <c r="S268" s="3"/>
      <c r="T268" s="3"/>
      <c r="U268" s="3"/>
      <c r="V268" s="3"/>
      <c r="W268" s="3"/>
      <c r="X268" s="3"/>
      <c r="Y268" s="3"/>
      <c r="Z268" s="3"/>
      <c r="AA268" s="3"/>
      <c r="AB268" s="3"/>
      <c r="AC268" s="3"/>
      <c r="AD268" s="3"/>
      <c r="AE268" s="3"/>
      <c r="AF268" s="3"/>
      <c r="AG268" s="3"/>
      <c r="AH268" s="3"/>
      <c r="AI268" s="39"/>
      <c r="AJ268" s="213">
        <f t="shared" ref="AJ268:AQ268" si="25">AJ34</f>
        <v>32.225321017886749</v>
      </c>
      <c r="AK268" s="213">
        <f t="shared" si="25"/>
        <v>32.225321017886749</v>
      </c>
      <c r="AL268" s="213">
        <f t="shared" si="25"/>
        <v>32.225321017886749</v>
      </c>
      <c r="AM268" s="213">
        <f t="shared" si="25"/>
        <v>32.225321017886749</v>
      </c>
      <c r="AN268" s="213">
        <f t="shared" si="25"/>
        <v>32.225321017886749</v>
      </c>
      <c r="AO268" s="213">
        <f t="shared" si="25"/>
        <v>32.225321017886749</v>
      </c>
      <c r="AP268" s="213">
        <f t="shared" si="25"/>
        <v>32.225321017886749</v>
      </c>
      <c r="AQ268" s="213">
        <f t="shared" si="25"/>
        <v>32.225321017886749</v>
      </c>
      <c r="AR268" s="3"/>
    </row>
    <row r="269" spans="2:44" s="156" customFormat="1" ht="15" customHeight="1"/>
    <row r="270" spans="2:44" s="156" customFormat="1" ht="15" customHeight="1">
      <c r="E270" s="143" t="s">
        <v>821</v>
      </c>
      <c r="G270" s="19" t="s">
        <v>657</v>
      </c>
      <c r="I270" s="219">
        <f>CHOOSE(m_identity,ENWL!I270, NPgN!I270, NPgY!I270, WMID!I270, EMID!I270, SWALES!I270, SWEST!I270, LPN!I270,SPN!I270,EPN!I270,SPD!I270,SPMW!I270,SSEH!I270,SSES!I270)</f>
        <v>28.325903754914044</v>
      </c>
      <c r="AJ270" s="219">
        <f>CHOOSE(m_identity,ENWL!AJ270, NPgN!AJ270, NPgY!AJ270, WMID!AJ270, EMID!AJ270, SWALES!AJ270, SWEST!AJ270, LPN!AJ270,SPN!AJ270,EPN!AJ270,SPD!AJ270,SPMW!AJ270,SSEH!AJ270,SSES!AJ270)</f>
        <v>3.5407379693642556</v>
      </c>
      <c r="AK270" s="423">
        <f>CHOOSE(m_identity,ENWL!AK270, NPgN!AK270, NPgY!AK270, WMID!AK270, EMID!AK270, SWALES!AK270, SWEST!AK270, LPN!AK270,SPN!AK270,EPN!AK270,SPD!AK270,SPMW!AK270,SSEH!AK270,SSES!AK270)</f>
        <v>3.673781198563117</v>
      </c>
      <c r="AL270" s="423">
        <f>CHOOSE(m_identity,ENWL!AL270, NPgN!AL270, NPgY!AL270, WMID!AL270, EMID!AL270, SWALES!AL270, SWEST!AL270, LPN!AL270,SPN!AL270,EPN!AL270,SPD!AL270,SPMW!AL270,SSEH!AL270,SSES!AL270)</f>
        <v>3.8118235270991256</v>
      </c>
      <c r="AM270" s="423">
        <f>CHOOSE(m_identity,ENWL!AM270, NPgN!AM270, NPgY!AM270, WMID!AM270, EMID!AM270, SWALES!AM270, SWEST!AM270, LPN!AM270,SPN!AM270,EPN!AM270,SPD!AM270,SPMW!AM270,SSEH!AM270,SSES!AM270)</f>
        <v>3.9550527961298751</v>
      </c>
      <c r="AN270" s="423">
        <f>CHOOSE(m_identity,ENWL!AN270, NPgN!AN270, NPgY!AN270, WMID!AN270, EMID!AN270, SWALES!AN270, SWEST!AN270, LPN!AN270,SPN!AN270,EPN!AN270,SPD!AN270,SPMW!AN270,SSEH!AN270,SSES!AN270)</f>
        <v>4.1036639049444545</v>
      </c>
      <c r="AO270" s="423">
        <f>CHOOSE(m_identity,ENWL!AO270, NPgN!AO270, NPgY!AO270, WMID!AO270, EMID!AO270, SWALES!AO270, SWEST!AO270, LPN!AO270,SPN!AO270,EPN!AO270,SPD!AO270,SPMW!AO270,SSEH!AO270,SSES!AO270)</f>
        <v>4.2578590761727417</v>
      </c>
      <c r="AP270" s="423">
        <f>CHOOSE(m_identity,ENWL!AP270, NPgN!AP270, NPgY!AP270, WMID!AP270, EMID!AP270, SWALES!AP270, SWEST!AP270, LPN!AP270,SPN!AP270,EPN!AP270,SPD!AP270,SPMW!AP270,SSEH!AP270,SSES!AP270)</f>
        <v>4.417848130959932</v>
      </c>
      <c r="AQ270" s="424">
        <f>CHOOSE(m_identity,ENWL!AQ270, NPgN!AQ270, NPgY!AQ270, WMID!AQ270, EMID!AQ270, SWALES!AQ270, SWEST!AQ270, LPN!AQ270,SPN!AQ270,EPN!AQ270,SPD!AQ270,SPMW!AQ270,SSEH!AQ270,SSES!AQ270)</f>
        <v>4.5838487744807512</v>
      </c>
    </row>
    <row r="271" spans="2:44" s="156" customFormat="1" ht="15" customHeight="1">
      <c r="E271" s="155" t="str">
        <f>E35</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s="156" customFormat="1" ht="15" customHeight="1">
      <c r="E272" s="143" t="s">
        <v>715</v>
      </c>
      <c r="F272" s="19"/>
      <c r="G272" s="19" t="s">
        <v>657</v>
      </c>
      <c r="H272" s="54"/>
      <c r="I272" s="3"/>
      <c r="J272" s="54"/>
      <c r="K272" s="54"/>
      <c r="L272" s="54"/>
      <c r="M272" s="87"/>
      <c r="N272" s="87"/>
      <c r="O272" s="54"/>
      <c r="P272" s="54"/>
      <c r="Q272" s="54"/>
      <c r="R272" s="54"/>
      <c r="S272" s="54"/>
      <c r="T272" s="54"/>
      <c r="U272" s="54"/>
      <c r="V272" s="54"/>
      <c r="W272" s="54"/>
      <c r="X272" s="54"/>
      <c r="Y272" s="54"/>
      <c r="Z272" s="54"/>
      <c r="AA272" s="54"/>
      <c r="AB272" s="54"/>
      <c r="AC272" s="54"/>
      <c r="AD272" s="54"/>
      <c r="AE272" s="54"/>
      <c r="AF272" s="54"/>
      <c r="AG272" s="54"/>
      <c r="AH272" s="54"/>
      <c r="AI272" s="54"/>
      <c r="AJ272" s="165">
        <f>AJ270+AJ271</f>
        <v>3.5407379693642556</v>
      </c>
      <c r="AK272" s="165">
        <f t="shared" ref="AK272:AQ272" si="26">AK270+AK271</f>
        <v>3.673781198563117</v>
      </c>
      <c r="AL272" s="165">
        <f t="shared" si="26"/>
        <v>3.8118235270991256</v>
      </c>
      <c r="AM272" s="165">
        <f t="shared" si="26"/>
        <v>3.9550527961298751</v>
      </c>
      <c r="AN272" s="165">
        <f t="shared" si="26"/>
        <v>4.1036639049444545</v>
      </c>
      <c r="AO272" s="165">
        <f t="shared" si="26"/>
        <v>4.2578590761727417</v>
      </c>
      <c r="AP272" s="165">
        <f t="shared" si="26"/>
        <v>4.417848130959932</v>
      </c>
      <c r="AQ272" s="165">
        <f t="shared" si="26"/>
        <v>4.5838487744807512</v>
      </c>
    </row>
    <row r="273" spans="5:43" s="156" customFormat="1" ht="15" customHeight="1">
      <c r="AJ273" s="378"/>
      <c r="AK273" s="378"/>
      <c r="AL273" s="378"/>
      <c r="AM273" s="378"/>
      <c r="AN273" s="378"/>
      <c r="AO273" s="378"/>
      <c r="AP273" s="378"/>
      <c r="AQ273" s="378"/>
    </row>
    <row r="274" spans="5:43" s="156" customFormat="1" ht="15" customHeight="1">
      <c r="E274" s="155" t="s">
        <v>716</v>
      </c>
      <c r="G274" s="19" t="s">
        <v>657</v>
      </c>
      <c r="I274" s="219">
        <f>CHOOSE(m_identity,ENWL!I274, NPgN!I274, NPgY!I274, WMID!I274, EMID!I274, SWALES!I274, SWEST!I274, LPN!I274,SPN!I274,EPN!I274,SPD!I274,SPMW!I274,SSEH!I274,SSES!I274)</f>
        <v>8.800126440261268</v>
      </c>
      <c r="AJ274" s="422">
        <f>CHOOSE(m_identity,ENWL!AJ274, NPgN!AJ274, NPgY!AJ274, WMID!AJ274, EMID!AJ274, SWALES!AJ274, SWEST!AJ274, LPN!AJ274,SPN!AJ274,EPN!AJ274,SPD!AJ274,SPMW!AJ274,SSEH!AJ274,SSES!AJ274)</f>
        <v>1.1000158050326585</v>
      </c>
      <c r="AK274" s="423">
        <f>CHOOSE(m_identity,ENWL!AK274, NPgN!AK274, NPgY!AK274, WMID!AK274, EMID!AK274, SWALES!AK274, SWEST!AK274, LPN!AK274,SPN!AK274,EPN!AK274,SPD!AK274,SPMW!AK274,SSEH!AK274,SSES!AK274)</f>
        <v>1.1413488989067606</v>
      </c>
      <c r="AL274" s="423">
        <f>CHOOSE(m_identity,ENWL!AL274, NPgN!AL274, NPgY!AL274, WMID!AL274, EMID!AL274, SWALES!AL274, SWEST!AL274, LPN!AL274,SPN!AL274,EPN!AL274,SPD!AL274,SPMW!AL274,SSEH!AL274,SSES!AL274)</f>
        <v>1.1842350837831821</v>
      </c>
      <c r="AM274" s="423">
        <f>CHOOSE(m_identity,ENWL!AM274, NPgN!AM274, NPgY!AM274, WMID!AM274, EMID!AM274, SWALES!AM274, SWEST!AM274, LPN!AM274,SPN!AM274,EPN!AM274,SPD!AM274,SPMW!AM274,SSEH!AM274,SSES!AM274)</f>
        <v>1.2287327170563351</v>
      </c>
      <c r="AN274" s="423">
        <f>CHOOSE(m_identity,ENWL!AN274, NPgN!AN274, NPgY!AN274, WMID!AN274, EMID!AN274, SWALES!AN274, SWEST!AN274, LPN!AN274,SPN!AN274,EPN!AN274,SPD!AN274,SPMW!AN274,SSEH!AN274,SSES!AN274)</f>
        <v>1.2749023488997269</v>
      </c>
      <c r="AO274" s="423">
        <f>CHOOSE(m_identity,ENWL!AO274, NPgN!AO274, NPgY!AO274, WMID!AO274, EMID!AO274, SWALES!AO274, SWEST!AO274, LPN!AO274,SPN!AO274,EPN!AO274,SPD!AO274,SPMW!AO274,SSEH!AO274,SSES!AO274)</f>
        <v>1.322806804659634</v>
      </c>
      <c r="AP274" s="423">
        <f>CHOOSE(m_identity,ENWL!AP274, NPgN!AP274, NPgY!AP274, WMID!AP274, EMID!AP274, SWALES!AP274, SWEST!AP274, LPN!AP274,SPN!AP274,EPN!AP274,SPD!AP274,SPMW!AP274,SSEH!AP274,SSES!AP274)</f>
        <v>1.3725112703447195</v>
      </c>
      <c r="AQ274" s="424">
        <f>CHOOSE(m_identity,ENWL!AQ274, NPgN!AQ274, NPgY!AQ274, WMID!AQ274, EMID!AQ274, SWALES!AQ274, SWEST!AQ274, LPN!AQ274,SPN!AQ274,EPN!AQ274,SPD!AQ274,SPMW!AQ274,SSEH!AQ274,SSES!AQ274)</f>
        <v>1.4240833813279223</v>
      </c>
    </row>
    <row r="275" spans="5:43" s="156" customFormat="1" ht="15" customHeight="1">
      <c r="E275" s="155" t="str">
        <f>E37</f>
        <v>RAV Rolling Incentive legacy adjustments' price control allowed revenue adjustment</v>
      </c>
      <c r="G275" s="19" t="s">
        <v>657</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s="156" customFormat="1" ht="15" customHeight="1">
      <c r="E276" s="155" t="s">
        <v>716</v>
      </c>
      <c r="F276" s="19"/>
      <c r="G276" s="19" t="s">
        <v>657</v>
      </c>
      <c r="AJ276" s="165">
        <f>AJ274+AJ275</f>
        <v>1.1000158050326585</v>
      </c>
      <c r="AK276" s="165">
        <f t="shared" ref="AK276:AQ276" si="27">AK274+AK275</f>
        <v>1.1413488989067606</v>
      </c>
      <c r="AL276" s="165">
        <f t="shared" si="27"/>
        <v>1.1842350837831821</v>
      </c>
      <c r="AM276" s="165">
        <f t="shared" si="27"/>
        <v>1.2287327170563351</v>
      </c>
      <c r="AN276" s="165">
        <f t="shared" si="27"/>
        <v>1.2749023488997269</v>
      </c>
      <c r="AO276" s="165">
        <f t="shared" si="27"/>
        <v>1.322806804659634</v>
      </c>
      <c r="AP276" s="165">
        <f t="shared" si="27"/>
        <v>1.3725112703447195</v>
      </c>
      <c r="AQ276" s="165">
        <f t="shared" si="27"/>
        <v>1.4240833813279223</v>
      </c>
    </row>
    <row r="277" spans="5:43" s="156" customFormat="1" ht="15" customHeight="1">
      <c r="E277" s="155"/>
      <c r="F277" s="19"/>
      <c r="G277" s="19"/>
      <c r="AJ277" s="155"/>
      <c r="AK277" s="155"/>
      <c r="AL277" s="155"/>
      <c r="AM277" s="155"/>
      <c r="AN277" s="155"/>
      <c r="AO277" s="155"/>
      <c r="AP277" s="155"/>
      <c r="AQ277" s="155"/>
    </row>
    <row r="278" spans="5:43" s="156" customFormat="1" ht="15" customHeight="1">
      <c r="E278" s="155" t="s">
        <v>774</v>
      </c>
      <c r="F278" s="19"/>
      <c r="G278" s="19" t="s">
        <v>657</v>
      </c>
      <c r="AJ278" s="219">
        <f>CHOOSE(m_identity,ENWL!AJ278, NPgN!AJ278, NPgY!AJ278, WMID!AJ278, EMID!AJ278, SWALES!AJ278, SWEST!AJ278, LPN!AJ278,SPN!AJ278,EPN!AJ278,SPD!AJ278,SPMW!AJ278,SSEH!AJ278,SSES!AJ278)</f>
        <v>0</v>
      </c>
      <c r="AK278" s="219">
        <f>CHOOSE(m_identity,ENWL!AK278, NPgN!AK278, NPgY!AK278, WMID!AK278, EMID!AK278, SWALES!AK278, SWEST!AK278, LPN!AK278,SPN!AK278,EPN!AK278,SPD!AK278,SPMW!AK278,SSEH!AK278,SSES!AK278)</f>
        <v>0</v>
      </c>
      <c r="AL278" s="219">
        <f>CHOOSE(m_identity,ENWL!AL278, NPgN!AL278, NPgY!AL278, WMID!AL278, EMID!AL278, SWALES!AL278, SWEST!AL278, LPN!AL278,SPN!AL278,EPN!AL278,SPD!AL278,SPMW!AL278,SSEH!AL278,SSES!AL278)</f>
        <v>0</v>
      </c>
      <c r="AM278" s="219">
        <f>CHOOSE(m_identity,ENWL!AM278, NPgN!AM278, NPgY!AM278, WMID!AM278, EMID!AM278, SWALES!AM278, SWEST!AM278, LPN!AM278,SPN!AM278,EPN!AM278,SPD!AM278,SPMW!AM278,SSEH!AM278,SSES!AM278)</f>
        <v>0</v>
      </c>
      <c r="AN278" s="219">
        <f>CHOOSE(m_identity,ENWL!AN278, NPgN!AN278, NPgY!AN278, WMID!AN278, EMID!AN278, SWALES!AN278, SWEST!AN278, LPN!AN278,SPN!AN278,EPN!AN278,SPD!AN278,SPMW!AN278,SSEH!AN278,SSES!AN278)</f>
        <v>0</v>
      </c>
      <c r="AO278" s="219">
        <f>CHOOSE(m_identity,ENWL!AO278, NPgN!AO278, NPgY!AO278, WMID!AO278, EMID!AO278, SWALES!AO278, SWEST!AO278, LPN!AO278,SPN!AO278,EPN!AO278,SPD!AO278,SPMW!AO278,SSEH!AO278,SSES!AO278)</f>
        <v>0</v>
      </c>
      <c r="AP278" s="219">
        <f>CHOOSE(m_identity,ENWL!AP278, NPgN!AP278, NPgY!AP278, WMID!AP278, EMID!AP278, SWALES!AP278, SWEST!AP278, LPN!AP278,SPN!AP278,EPN!AP278,SPD!AP278,SPMW!AP278,SSEH!AP278,SSES!AP278)</f>
        <v>0</v>
      </c>
      <c r="AQ278" s="219">
        <f>CHOOSE(m_identity,ENWL!AQ278, NPgN!AQ278, NPgY!AQ278, WMID!AQ278, EMID!AQ278, SWALES!AQ278, SWEST!AQ278, LPN!AQ278,SPN!AQ278,EPN!AQ278,SPD!AQ278,SPMW!AQ278,SSEH!AQ278,SSES!AQ278)</f>
        <v>0</v>
      </c>
    </row>
    <row r="279" spans="5:43" s="156" customFormat="1" ht="15" customHeight="1">
      <c r="E279" s="155"/>
      <c r="F279" s="19"/>
      <c r="G279" s="19"/>
      <c r="AJ279" s="155"/>
      <c r="AK279" s="155"/>
      <c r="AL279" s="155"/>
      <c r="AM279" s="155"/>
      <c r="AN279" s="155"/>
      <c r="AO279" s="155"/>
      <c r="AP279" s="155"/>
      <c r="AQ279" s="155"/>
    </row>
    <row r="280" spans="5:43" s="156" customFormat="1" ht="15" customHeight="1">
      <c r="E280" s="155" t="s">
        <v>637</v>
      </c>
      <c r="F280" s="19"/>
      <c r="G280" s="19" t="s">
        <v>657</v>
      </c>
      <c r="AJ280" s="219">
        <f>CHOOSE(m_identity,ENWL!AJ280, NPgN!AJ280, NPgY!AJ280, WMID!AJ280, EMID!AJ280, SWALES!AJ280, SWEST!AJ280, LPN!AJ280,SPN!AJ280,EPN!AJ280,SPD!AJ280,SPMW!AJ280,SSEH!AJ280,SSES!AJ280)</f>
        <v>15.447403729421062</v>
      </c>
      <c r="AK280" s="219">
        <f>CHOOSE(m_identity,ENWL!AK280, NPgN!AK280, NPgY!AK280, WMID!AK280, EMID!AK280, SWALES!AK280, SWEST!AK280, LPN!AK280,SPN!AK280,EPN!AK280,SPD!AK280,SPMW!AK280,SSEH!AK280,SSES!AK280)</f>
        <v>15.44740372942106</v>
      </c>
      <c r="AL280" s="219">
        <f>CHOOSE(m_identity,ENWL!AL280, NPgN!AL280, NPgY!AL280, WMID!AL280, EMID!AL280, SWALES!AL280, SWEST!AL280, LPN!AL280,SPN!AL280,EPN!AL280,SPD!AL280,SPMW!AL280,SSEH!AL280,SSES!AL280)</f>
        <v>7.4655138810891444</v>
      </c>
      <c r="AM280" s="219">
        <f>CHOOSE(m_identity,ENWL!AM280, NPgN!AM280, NPgY!AM280, WMID!AM280, EMID!AM280, SWALES!AM280, SWEST!AM280, LPN!AM280,SPN!AM280,EPN!AM280,SPD!AM280,SPMW!AM280,SSEH!AM280,SSES!AM280)</f>
        <v>0</v>
      </c>
      <c r="AN280" s="219">
        <f>CHOOSE(m_identity,ENWL!AN280, NPgN!AN280, NPgY!AN280, WMID!AN280, EMID!AN280, SWALES!AN280, SWEST!AN280, LPN!AN280,SPN!AN280,EPN!AN280,SPD!AN280,SPMW!AN280,SSEH!AN280,SSES!AN280)</f>
        <v>0</v>
      </c>
      <c r="AO280" s="219">
        <f>CHOOSE(m_identity,ENWL!AO280, NPgN!AO280, NPgY!AO280, WMID!AO280, EMID!AO280, SWALES!AO280, SWEST!AO280, LPN!AO280,SPN!AO280,EPN!AO280,SPD!AO280,SPMW!AO280,SSEH!AO280,SSES!AO280)</f>
        <v>0</v>
      </c>
      <c r="AP280" s="219">
        <f>CHOOSE(m_identity,ENWL!AP280, NPgN!AP280, NPgY!AP280, WMID!AP280, EMID!AP280, SWALES!AP280, SWEST!AP280, LPN!AP280,SPN!AP280,EPN!AP280,SPD!AP280,SPMW!AP280,SSEH!AP280,SSES!AP280)</f>
        <v>0</v>
      </c>
      <c r="AQ280" s="219">
        <f>CHOOSE(m_identity,ENWL!AQ280, NPgN!AQ280, NPgY!AQ280, WMID!AQ280, EMID!AQ280, SWALES!AQ280, SWEST!AQ280, LPN!AQ280,SPN!AQ280,EPN!AQ280,SPD!AQ280,SPMW!AQ280,SSEH!AQ280,SSES!AQ280)</f>
        <v>0</v>
      </c>
    </row>
    <row r="281" spans="5:43" s="156" customFormat="1" ht="15" customHeight="1">
      <c r="E281" s="378" t="s">
        <v>769</v>
      </c>
      <c r="F281" s="378"/>
      <c r="G281" s="19" t="s">
        <v>657</v>
      </c>
      <c r="AJ281" s="219">
        <f>CHOOSE(m_identity,ENWL!AJ281, NPgN!AJ281, NPgY!AJ281, WMID!AJ281, EMID!AJ281, SWALES!AJ281, SWEST!AJ281, LPN!AJ281,SPN!AJ281,EPN!AJ281,SPD!AJ281,SPMW!AJ281,SSEH!AJ281,SSES!AJ281)</f>
        <v>0</v>
      </c>
      <c r="AK281" s="219">
        <f>CHOOSE(m_identity,ENWL!AK281, NPgN!AK281, NPgY!AK281, WMID!AK281, EMID!AK281, SWALES!AK281, SWEST!AK281, LPN!AK281,SPN!AK281,EPN!AK281,SPD!AK281,SPMW!AK281,SSEH!AK281,SSES!AK281)</f>
        <v>0</v>
      </c>
      <c r="AL281" s="219">
        <f>CHOOSE(m_identity,ENWL!AL281, NPgN!AL281, NPgY!AL281, WMID!AL281, EMID!AL281, SWALES!AL281, SWEST!AL281, LPN!AL281,SPN!AL281,EPN!AL281,SPD!AL281,SPMW!AL281,SSEH!AL281,SSES!AL281)</f>
        <v>0</v>
      </c>
      <c r="AM281" s="219">
        <f>CHOOSE(m_identity,ENWL!AM281, NPgN!AM281, NPgY!AM281, WMID!AM281, EMID!AM281, SWALES!AM281, SWEST!AM281, LPN!AM281,SPN!AM281,EPN!AM281,SPD!AM281,SPMW!AM281,SSEH!AM281,SSES!AM281)</f>
        <v>0</v>
      </c>
      <c r="AN281" s="219">
        <f>CHOOSE(m_identity,ENWL!AN281, NPgN!AN281, NPgY!AN281, WMID!AN281, EMID!AN281, SWALES!AN281, SWEST!AN281, LPN!AN281,SPN!AN281,EPN!AN281,SPD!AN281,SPMW!AN281,SSEH!AN281,SSES!AN281)</f>
        <v>0</v>
      </c>
      <c r="AO281" s="219">
        <f>CHOOSE(m_identity,ENWL!AO281, NPgN!AO281, NPgY!AO281, WMID!AO281, EMID!AO281, SWALES!AO281, SWEST!AO281, LPN!AO281,SPN!AO281,EPN!AO281,SPD!AO281,SPMW!AO281,SSEH!AO281,SSES!AO281)</f>
        <v>0</v>
      </c>
      <c r="AP281" s="219">
        <f>CHOOSE(m_identity,ENWL!AP281, NPgN!AP281, NPgY!AP281, WMID!AP281, EMID!AP281, SWALES!AP281, SWEST!AP281, LPN!AP281,SPN!AP281,EPN!AP281,SPD!AP281,SPMW!AP281,SSEH!AP281,SSES!AP281)</f>
        <v>0</v>
      </c>
      <c r="AQ281" s="219">
        <f>CHOOSE(m_identity,ENWL!AQ281, NPgN!AQ281, NPgY!AQ281, WMID!AQ281, EMID!AQ281, SWALES!AQ281, SWEST!AQ281, LPN!AQ281,SPN!AQ281,EPN!AQ281,SPD!AQ281,SPMW!AQ281,SSEH!AQ281,SSES!AQ281)</f>
        <v>0</v>
      </c>
    </row>
    <row r="282" spans="5:43" s="156" customFormat="1" ht="15" customHeight="1"/>
    <row r="283" spans="5:43" s="156" customFormat="1" ht="15" customHeight="1">
      <c r="E283" s="156" t="s">
        <v>794</v>
      </c>
      <c r="G283" s="19" t="s">
        <v>657</v>
      </c>
      <c r="AJ283" s="219">
        <f>CHOOSE(m_identity,ENWL!AJ283, NPgN!AJ283, NPgY!AJ283, WMID!AJ283, EMID!AJ283, SWALES!AJ283, SWEST!AJ283, LPN!AJ283,SPN!AJ283,EPN!AJ283,SPD!AJ283,SPMW!AJ283,SSEH!AJ283,SSES!AJ283)</f>
        <v>0.22000000000000003</v>
      </c>
      <c r="AK283" s="219">
        <f>CHOOSE(m_identity,ENWL!AK283, NPgN!AK283, NPgY!AK283, WMID!AK283, EMID!AK283, SWALES!AK283, SWEST!AK283, LPN!AK283,SPN!AK283,EPN!AK283,SPD!AK283,SPMW!AK283,SSEH!AK283,SSES!AK283)</f>
        <v>0.22000000000000003</v>
      </c>
      <c r="AL283" s="219">
        <f>CHOOSE(m_identity,ENWL!AL283, NPgN!AL283, NPgY!AL283, WMID!AL283, EMID!AL283, SWALES!AL283, SWEST!AL283, LPN!AL283,SPN!AL283,EPN!AL283,SPD!AL283,SPMW!AL283,SSEH!AL283,SSES!AL283)</f>
        <v>0.22000000000000003</v>
      </c>
      <c r="AM283" s="219">
        <f>CHOOSE(m_identity,ENWL!AM283, NPgN!AM283, NPgY!AM283, WMID!AM283, EMID!AM283, SWALES!AM283, SWEST!AM283, LPN!AM283,SPN!AM283,EPN!AM283,SPD!AM283,SPMW!AM283,SSEH!AM283,SSES!AM283)</f>
        <v>0.22000000000000003</v>
      </c>
      <c r="AN283" s="219">
        <f>CHOOSE(m_identity,ENWL!AN283, NPgN!AN283, NPgY!AN283, WMID!AN283, EMID!AN283, SWALES!AN283, SWEST!AN283, LPN!AN283,SPN!AN283,EPN!AN283,SPD!AN283,SPMW!AN283,SSEH!AN283,SSES!AN283)</f>
        <v>0.22000000000000003</v>
      </c>
      <c r="AO283" s="219">
        <f>CHOOSE(m_identity,ENWL!AO283, NPgN!AO283, NPgY!AO283, WMID!AO283, EMID!AO283, SWALES!AO283, SWEST!AO283, LPN!AO283,SPN!AO283,EPN!AO283,SPD!AO283,SPMW!AO283,SSEH!AO283,SSES!AO283)</f>
        <v>0.22000000000000003</v>
      </c>
      <c r="AP283" s="219">
        <f>CHOOSE(m_identity,ENWL!AP283, NPgN!AP283, NPgY!AP283, WMID!AP283, EMID!AP283, SWALES!AP283, SWEST!AP283, LPN!AP283,SPN!AP283,EPN!AP283,SPD!AP283,SPMW!AP283,SSEH!AP283,SSES!AP283)</f>
        <v>0.22000000000000003</v>
      </c>
      <c r="AQ283" s="219">
        <f>CHOOSE(m_identity,ENWL!AQ283, NPgN!AQ283, NPgY!AQ283, WMID!AQ283, EMID!AQ283, SWALES!AQ283, SWEST!AQ283, LPN!AQ283,SPN!AQ283,EPN!AQ283,SPD!AQ283,SPMW!AQ283,SSEH!AQ283,SSES!AQ283)</f>
        <v>0.22000000000000003</v>
      </c>
    </row>
    <row r="284" spans="5:43" s="156" customFormat="1" ht="15" customHeight="1">
      <c r="E284" s="156" t="s">
        <v>789</v>
      </c>
      <c r="G284" s="19" t="s">
        <v>657</v>
      </c>
      <c r="AJ284" s="219">
        <f>CHOOSE(m_identity,ENWL!AJ284, NPgN!AJ284, NPgY!AJ284, WMID!AJ284, EMID!AJ284, SWALES!AJ284, SWEST!AJ284, LPN!AJ284,SPN!AJ284,EPN!AJ284,SPD!AJ284,SPMW!AJ284,SSEH!AJ284,SSES!AJ284)</f>
        <v>0</v>
      </c>
      <c r="AK284" s="219">
        <f>CHOOSE(m_identity,ENWL!AK284, NPgN!AK284, NPgY!AK284, WMID!AK284, EMID!AK284, SWALES!AK284, SWEST!AK284, LPN!AK284,SPN!AK284,EPN!AK284,SPD!AK284,SPMW!AK284,SSEH!AK284,SSES!AK284)</f>
        <v>0</v>
      </c>
      <c r="AL284" s="219">
        <f>CHOOSE(m_identity,ENWL!AL284, NPgN!AL284, NPgY!AL284, WMID!AL284, EMID!AL284, SWALES!AL284, SWEST!AL284, LPN!AL284,SPN!AL284,EPN!AL284,SPD!AL284,SPMW!AL284,SSEH!AL284,SSES!AL284)</f>
        <v>0</v>
      </c>
      <c r="AM284" s="219">
        <f>CHOOSE(m_identity,ENWL!AM284, NPgN!AM284, NPgY!AM284, WMID!AM284, EMID!AM284, SWALES!AM284, SWEST!AM284, LPN!AM284,SPN!AM284,EPN!AM284,SPD!AM284,SPMW!AM284,SSEH!AM284,SSES!AM284)</f>
        <v>0</v>
      </c>
      <c r="AN284" s="219">
        <f>CHOOSE(m_identity,ENWL!AN284, NPgN!AN284, NPgY!AN284, WMID!AN284, EMID!AN284, SWALES!AN284, SWEST!AN284, LPN!AN284,SPN!AN284,EPN!AN284,SPD!AN284,SPMW!AN284,SSEH!AN284,SSES!AN284)</f>
        <v>0</v>
      </c>
      <c r="AO284" s="219">
        <f>CHOOSE(m_identity,ENWL!AO284, NPgN!AO284, NPgY!AO284, WMID!AO284, EMID!AO284, SWALES!AO284, SWEST!AO284, LPN!AO284,SPN!AO284,EPN!AO284,SPD!AO284,SPMW!AO284,SSEH!AO284,SSES!AO284)</f>
        <v>0</v>
      </c>
      <c r="AP284" s="219">
        <f>CHOOSE(m_identity,ENWL!AP284, NPgN!AP284, NPgY!AP284, WMID!AP284, EMID!AP284, SWALES!AP284, SWEST!AP284, LPN!AP284,SPN!AP284,EPN!AP284,SPD!AP284,SPMW!AP284,SSEH!AP284,SSES!AP284)</f>
        <v>0</v>
      </c>
      <c r="AQ284" s="219">
        <f>CHOOSE(m_identity,ENWL!AQ284, NPgN!AQ284, NPgY!AQ284, WMID!AQ284, EMID!AQ284, SWALES!AQ284, SWEST!AQ284, LPN!AQ284,SPN!AQ284,EPN!AQ284,SPD!AQ284,SPMW!AQ284,SSEH!AQ284,SSES!AQ284)</f>
        <v>0</v>
      </c>
    </row>
    <row r="285" spans="5:43" s="156" customFormat="1" ht="15" customHeight="1">
      <c r="E285" s="156" t="s">
        <v>799</v>
      </c>
      <c r="G285" s="19" t="s">
        <v>657</v>
      </c>
      <c r="AJ285" s="165">
        <f>CHOOSE(m_identity,ENWL!AJ285, NPgN!AJ285, NPgY!AJ285, WMID!AJ285, EMID!AJ285, SWALES!AJ285, SWEST!AJ285, LPN!AJ285,SPN!AJ285,EPN!AJ285,SPD!AJ285,SPMW!AJ285,SSEH!AJ285,SSES!AJ285)</f>
        <v>0.22000000000000003</v>
      </c>
      <c r="AK285" s="165">
        <f>CHOOSE(m_identity,ENWL!AK285, NPgN!AK285, NPgY!AK285, WMID!AK285, EMID!AK285, SWALES!AK285, SWEST!AK285, LPN!AK285,SPN!AK285,EPN!AK285,SPD!AK285,SPMW!AK285,SSEH!AK285,SSES!AK285)</f>
        <v>0.22000000000000003</v>
      </c>
      <c r="AL285" s="165">
        <f>CHOOSE(m_identity,ENWL!AL285, NPgN!AL285, NPgY!AL285, WMID!AL285, EMID!AL285, SWALES!AL285, SWEST!AL285, LPN!AL285,SPN!AL285,EPN!AL285,SPD!AL285,SPMW!AL285,SSEH!AL285,SSES!AL285)</f>
        <v>0.22000000000000003</v>
      </c>
      <c r="AM285" s="165">
        <f>CHOOSE(m_identity,ENWL!AM285, NPgN!AM285, NPgY!AM285, WMID!AM285, EMID!AM285, SWALES!AM285, SWEST!AM285, LPN!AM285,SPN!AM285,EPN!AM285,SPD!AM285,SPMW!AM285,SSEH!AM285,SSES!AM285)</f>
        <v>0.22000000000000003</v>
      </c>
      <c r="AN285" s="165">
        <f>CHOOSE(m_identity,ENWL!AN285, NPgN!AN285, NPgY!AN285, WMID!AN285, EMID!AN285, SWALES!AN285, SWEST!AN285, LPN!AN285,SPN!AN285,EPN!AN285,SPD!AN285,SPMW!AN285,SSEH!AN285,SSES!AN285)</f>
        <v>0.22000000000000003</v>
      </c>
      <c r="AO285" s="165">
        <f>CHOOSE(m_identity,ENWL!AO285, NPgN!AO285, NPgY!AO285, WMID!AO285, EMID!AO285, SWALES!AO285, SWEST!AO285, LPN!AO285,SPN!AO285,EPN!AO285,SPD!AO285,SPMW!AO285,SSEH!AO285,SSES!AO285)</f>
        <v>0.22000000000000003</v>
      </c>
      <c r="AP285" s="165">
        <f>CHOOSE(m_identity,ENWL!AP285, NPgN!AP285, NPgY!AP285, WMID!AP285, EMID!AP285, SWALES!AP285, SWEST!AP285, LPN!AP285,SPN!AP285,EPN!AP285,SPD!AP285,SPMW!AP285,SSEH!AP285,SSES!AP285)</f>
        <v>0.22000000000000003</v>
      </c>
      <c r="AQ285" s="165">
        <f>CHOOSE(m_identity,ENWL!AQ285, NPgN!AQ285, NPgY!AQ285, WMID!AQ285, EMID!AQ285, SWALES!AQ285, SWEST!AQ285, LPN!AQ285,SPN!AQ285,EPN!AQ285,SPD!AQ285,SPMW!AQ285,SSEH!AQ285,SSES!AQ285)</f>
        <v>0.22000000000000003</v>
      </c>
    </row>
    <row r="286" spans="5:43" s="156" customFormat="1" ht="15" customHeight="1"/>
    <row r="287" spans="5:43" s="156" customFormat="1" ht="15" customHeight="1">
      <c r="E287" s="19" t="s">
        <v>791</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J287" s="219">
        <f>CHOOSE(m_identity,ENWL!AJ287, NPgN!AJ287, NPgY!AJ287, WMID!AJ287, EMID!AJ287, SWALES!AJ287, SWEST!AJ287, LPN!AJ287,SPN!AJ287,EPN!AJ287,SPD!AJ287,SPMW!AJ287,SSEH!AJ287,SSES!AJ287)</f>
        <v>0</v>
      </c>
      <c r="AK287" s="219">
        <f>CHOOSE(m_identity,ENWL!AK287, NPgN!AK287, NPgY!AK287, WMID!AK287, EMID!AK287, SWALES!AK287, SWEST!AK287, LPN!AK287,SPN!AK287,EPN!AK287,SPD!AK287,SPMW!AK287,SSEH!AK287,SSES!AK287)</f>
        <v>0</v>
      </c>
      <c r="AL287" s="219">
        <f>CHOOSE(m_identity,ENWL!AL287, NPgN!AL287, NPgY!AL287, WMID!AL287, EMID!AL287, SWALES!AL287, SWEST!AL287, LPN!AL287,SPN!AL287,EPN!AL287,SPD!AL287,SPMW!AL287,SSEH!AL287,SSES!AL287)</f>
        <v>0</v>
      </c>
      <c r="AM287" s="219">
        <f>CHOOSE(m_identity,ENWL!AM287, NPgN!AM287, NPgY!AM287, WMID!AM287, EMID!AM287, SWALES!AM287, SWEST!AM287, LPN!AM287,SPN!AM287,EPN!AM287,SPD!AM287,SPMW!AM287,SSEH!AM287,SSES!AM287)</f>
        <v>0</v>
      </c>
      <c r="AN287" s="219">
        <f>CHOOSE(m_identity,ENWL!AN287, NPgN!AN287, NPgY!AN287, WMID!AN287, EMID!AN287, SWALES!AN287, SWEST!AN287, LPN!AN287,SPN!AN287,EPN!AN287,SPD!AN287,SPMW!AN287,SSEH!AN287,SSES!AN287)</f>
        <v>0</v>
      </c>
      <c r="AO287" s="219">
        <f>CHOOSE(m_identity,ENWL!AO287, NPgN!AO287, NPgY!AO287, WMID!AO287, EMID!AO287, SWALES!AO287, SWEST!AO287, LPN!AO287,SPN!AO287,EPN!AO287,SPD!AO287,SPMW!AO287,SSEH!AO287,SSES!AO287)</f>
        <v>0</v>
      </c>
      <c r="AP287" s="219">
        <f>CHOOSE(m_identity,ENWL!AP287, NPgN!AP287, NPgY!AP287, WMID!AP287, EMID!AP287, SWALES!AP287, SWEST!AP287, LPN!AP287,SPN!AP287,EPN!AP287,SPD!AP287,SPMW!AP287,SSEH!AP287,SSES!AP287)</f>
        <v>0</v>
      </c>
      <c r="AQ287" s="219">
        <f>CHOOSE(m_identity,ENWL!AQ287, NPgN!AQ287, NPgY!AQ287, WMID!AQ287, EMID!AQ287, SWALES!AQ287, SWEST!AQ287, LPN!AQ287,SPN!AQ287,EPN!AQ287,SPD!AQ287,SPMW!AQ287,SSEH!AQ287,SSES!AQ287)</f>
        <v>0</v>
      </c>
    </row>
    <row r="288" spans="5:43" ht="15" customHeight="1">
      <c r="E288" s="19" t="s">
        <v>792</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156"/>
      <c r="AF288" s="156"/>
      <c r="AG288" s="156"/>
      <c r="AH288" s="156"/>
      <c r="AI288" s="156"/>
      <c r="AJ288" s="219">
        <f>CHOOSE(m_identity,ENWL!AJ288, NPgN!AJ288, NPgY!AJ288, WMID!AJ288, EMID!AJ288, SWALES!AJ288, SWEST!AJ288, LPN!AJ288,SPN!AJ288,EPN!AJ288,SPD!AJ288,SPMW!AJ288,SSEH!AJ288,SSES!AJ288)</f>
        <v>0</v>
      </c>
      <c r="AK288" s="219">
        <f>CHOOSE(m_identity,ENWL!AK288, NPgN!AK288, NPgY!AK288, WMID!AK288, EMID!AK288, SWALES!AK288, SWEST!AK288, LPN!AK288,SPN!AK288,EPN!AK288,SPD!AK288,SPMW!AK288,SSEH!AK288,SSES!AK288)</f>
        <v>0</v>
      </c>
      <c r="AL288" s="219">
        <f>CHOOSE(m_identity,ENWL!AL288, NPgN!AL288, NPgY!AL288, WMID!AL288, EMID!AL288, SWALES!AL288, SWEST!AL288, LPN!AL288,SPN!AL288,EPN!AL288,SPD!AL288,SPMW!AL288,SSEH!AL288,SSES!AL288)</f>
        <v>0</v>
      </c>
      <c r="AM288" s="219">
        <f>CHOOSE(m_identity,ENWL!AM288, NPgN!AM288, NPgY!AM288, WMID!AM288, EMID!AM288, SWALES!AM288, SWEST!AM288, LPN!AM288,SPN!AM288,EPN!AM288,SPD!AM288,SPMW!AM288,SSEH!AM288,SSES!AM288)</f>
        <v>0</v>
      </c>
      <c r="AN288" s="219">
        <f>CHOOSE(m_identity,ENWL!AN288, NPgN!AN288, NPgY!AN288, WMID!AN288, EMID!AN288, SWALES!AN288, SWEST!AN288, LPN!AN288,SPN!AN288,EPN!AN288,SPD!AN288,SPMW!AN288,SSEH!AN288,SSES!AN288)</f>
        <v>0</v>
      </c>
      <c r="AO288" s="219">
        <f>CHOOSE(m_identity,ENWL!AO288, NPgN!AO288, NPgY!AO288, WMID!AO288, EMID!AO288, SWALES!AO288, SWEST!AO288, LPN!AO288,SPN!AO288,EPN!AO288,SPD!AO288,SPMW!AO288,SSEH!AO288,SSES!AO288)</f>
        <v>0</v>
      </c>
      <c r="AP288" s="219">
        <f>CHOOSE(m_identity,ENWL!AP288, NPgN!AP288, NPgY!AP288, WMID!AP288, EMID!AP288, SWALES!AP288, SWEST!AP288, LPN!AP288,SPN!AP288,EPN!AP288,SPD!AP288,SPMW!AP288,SSEH!AP288,SSES!AP288)</f>
        <v>0</v>
      </c>
      <c r="AQ288" s="219">
        <f>CHOOSE(m_identity,ENWL!AQ288, NPgN!AQ288, NPgY!AQ288, WMID!AQ288, EMID!AQ288, SWALES!AQ288, SWEST!AQ288, LPN!AQ288,SPN!AQ288,EPN!AQ288,SPD!AQ288,SPMW!AQ288,SSEH!AQ288,SSES!AQ288)</f>
        <v>0</v>
      </c>
    </row>
    <row r="289" spans="4:43" s="156" customFormat="1" ht="15" customHeight="1">
      <c r="E289" s="19" t="s">
        <v>793</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J289" s="165">
        <f>SUM(AJ287,AJ288)</f>
        <v>0</v>
      </c>
      <c r="AK289" s="165">
        <f t="shared" ref="AK289:AQ289" si="28">SUM(AK287,AK288)</f>
        <v>0</v>
      </c>
      <c r="AL289" s="165">
        <f t="shared" si="28"/>
        <v>0</v>
      </c>
      <c r="AM289" s="165">
        <f t="shared" si="28"/>
        <v>0</v>
      </c>
      <c r="AN289" s="165">
        <f t="shared" si="28"/>
        <v>0</v>
      </c>
      <c r="AO289" s="165">
        <f t="shared" si="28"/>
        <v>0</v>
      </c>
      <c r="AP289" s="165">
        <f t="shared" si="28"/>
        <v>0</v>
      </c>
      <c r="AQ289" s="165">
        <f t="shared" si="28"/>
        <v>0</v>
      </c>
    </row>
    <row r="290" spans="4:43" s="156" customFormat="1" ht="15" customHeight="1">
      <c r="E290" s="19"/>
      <c r="F290" s="19"/>
      <c r="G290" s="190"/>
      <c r="H290" s="19"/>
      <c r="I290" s="19"/>
      <c r="J290" s="88"/>
      <c r="K290" s="88"/>
      <c r="L290" s="88"/>
      <c r="M290" s="88"/>
      <c r="N290" s="88"/>
      <c r="O290" s="88"/>
      <c r="P290" s="88"/>
      <c r="Q290" s="88"/>
      <c r="R290" s="88"/>
      <c r="S290" s="88"/>
      <c r="T290" s="88"/>
      <c r="U290" s="88"/>
      <c r="V290" s="88"/>
      <c r="W290" s="88"/>
      <c r="X290" s="88"/>
      <c r="Y290" s="88"/>
      <c r="Z290" s="88"/>
      <c r="AA290" s="19"/>
      <c r="AB290" s="19"/>
      <c r="AC290" s="19"/>
      <c r="AD290" s="19"/>
      <c r="AE290" s="155"/>
      <c r="AF290" s="155"/>
      <c r="AG290" s="155"/>
      <c r="AH290" s="155"/>
      <c r="AI290" s="155"/>
      <c r="AJ290" s="155"/>
      <c r="AK290" s="155"/>
      <c r="AL290" s="155"/>
      <c r="AM290" s="155"/>
      <c r="AN290" s="155"/>
      <c r="AO290" s="155"/>
      <c r="AP290" s="155"/>
      <c r="AQ290" s="155"/>
    </row>
    <row r="291" spans="4:43" s="156" customFormat="1" ht="15" customHeight="1">
      <c r="D291" s="292" t="s">
        <v>593</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s="156" customFormat="1" ht="15" customHeight="1">
      <c r="E292" s="19"/>
      <c r="F292" s="19"/>
      <c r="G292" s="190"/>
      <c r="H292" s="19"/>
      <c r="I292" s="19"/>
      <c r="J292" s="88"/>
      <c r="K292" s="88"/>
      <c r="L292" s="88"/>
      <c r="M292" s="88"/>
      <c r="N292" s="88"/>
      <c r="O292" s="88"/>
      <c r="P292" s="88"/>
      <c r="Q292" s="88"/>
      <c r="R292" s="88"/>
      <c r="S292" s="88"/>
      <c r="T292" s="88"/>
      <c r="U292" s="88"/>
      <c r="V292" s="88"/>
      <c r="W292" s="88"/>
      <c r="X292" s="88"/>
      <c r="Y292" s="88"/>
      <c r="Z292" s="88"/>
      <c r="AA292" s="19"/>
      <c r="AB292" s="19"/>
      <c r="AC292" s="19"/>
      <c r="AD292" s="19"/>
      <c r="AE292" s="155"/>
      <c r="AF292" s="155"/>
      <c r="AG292" s="155"/>
      <c r="AH292" s="155"/>
      <c r="AI292" s="155"/>
      <c r="AJ292" s="155"/>
      <c r="AK292" s="155"/>
      <c r="AL292" s="155"/>
      <c r="AM292" s="155"/>
      <c r="AN292" s="155"/>
      <c r="AO292" s="155"/>
      <c r="AP292" s="155"/>
      <c r="AQ292" s="155"/>
    </row>
    <row r="293" spans="4:43" s="156" customFormat="1" ht="15" customHeight="1">
      <c r="E293" s="19" t="s">
        <v>740</v>
      </c>
      <c r="F293" s="19"/>
      <c r="G293" s="190" t="s">
        <v>657</v>
      </c>
      <c r="H293" s="19"/>
      <c r="I293" s="19"/>
      <c r="J293" s="88"/>
      <c r="K293" s="88"/>
      <c r="L293" s="88"/>
      <c r="M293" s="88"/>
      <c r="N293" s="88"/>
      <c r="O293" s="88"/>
      <c r="P293" s="88"/>
      <c r="Q293" s="88"/>
      <c r="R293" s="88"/>
      <c r="S293" s="88"/>
      <c r="T293" s="88"/>
      <c r="U293" s="88"/>
      <c r="V293" s="88"/>
      <c r="W293" s="88"/>
      <c r="X293" s="88"/>
      <c r="Y293" s="88"/>
      <c r="Z293" s="88"/>
      <c r="AA293" s="19"/>
      <c r="AB293" s="19"/>
      <c r="AC293" s="19"/>
      <c r="AD293" s="19"/>
      <c r="AE293" s="219">
        <f>CHOOSE(m_identity,ENWL!AE293, NPgN!AE293, NPgY!AE293, WMID!AE293, EMID!AE293, SWALES!AE293, SWEST!AE293, LPN!AE293,SPN!AE293,EPN!AE293,SPD!AE293,SPMW!AE293,SSEH!AE293,SSES!AE293)</f>
        <v>0</v>
      </c>
      <c r="AF293" s="219">
        <f>CHOOSE(m_identity,ENWL!AF293, NPgN!AF293, NPgY!AF293, WMID!AF293, EMID!AF293, SWALES!AF293, SWEST!AF293, LPN!AF293,SPN!AF293,EPN!AF293,SPD!AF293,SPMW!AF293,SSEH!AF293,SSES!AF293)</f>
        <v>0</v>
      </c>
      <c r="AG293" s="219">
        <f>CHOOSE(m_identity,ENWL!AG293, NPgN!AG293, NPgY!AG293, WMID!AG293, EMID!AG293, SWALES!AG293, SWEST!AG293, LPN!AG293,SPN!AG293,EPN!AG293,SPD!AG293,SPMW!AG293,SSEH!AG293,SSES!AG293)</f>
        <v>0</v>
      </c>
      <c r="AH293" s="219">
        <f>CHOOSE(m_identity,ENWL!AH293, NPgN!AH293, NPgY!AH293, WMID!AH293, EMID!AH293, SWALES!AH293, SWEST!AH293, LPN!AH293,SPN!AH293,EPN!AH293,SPD!AH293,SPMW!AH293,SSEH!AH293,SSES!AH293)</f>
        <v>0</v>
      </c>
      <c r="AI293" s="219">
        <f>CHOOSE(m_identity,ENWL!AI293, NPgN!AI293, NPgY!AI293, WMID!AI293, EMID!AI293, SWALES!AI293, SWEST!AI293, LPN!AI293,SPN!AI293,EPN!AI293,SPD!AI293,SPMW!AI293,SSEH!AI293,SSES!AI293)</f>
        <v>0</v>
      </c>
      <c r="AJ293" s="219">
        <f>CHOOSE(m_identity,ENWL!AJ293, NPgN!AJ293, NPgY!AJ293, WMID!AJ293, EMID!AJ293, SWALES!AJ293, SWEST!AJ293, LPN!AJ293,SPN!AJ293,EPN!AJ293,SPD!AJ293,SPMW!AJ293,SSEH!AJ293,SSES!AJ293)</f>
        <v>33.56</v>
      </c>
      <c r="AK293" s="219">
        <f>CHOOSE(m_identity,ENWL!AK293, NPgN!AK293, NPgY!AK293, WMID!AK293, EMID!AK293, SWALES!AK293, SWEST!AK293, LPN!AK293,SPN!AK293,EPN!AK293,SPD!AK293,SPMW!AK293,SSEH!AK293,SSES!AK293)</f>
        <v>34.54</v>
      </c>
      <c r="AL293" s="219">
        <f>CHOOSE(m_identity,ENWL!AL293, NPgN!AL293, NPgY!AL293, WMID!AL293, EMID!AL293, SWALES!AL293, SWEST!AL293, LPN!AL293,SPN!AL293,EPN!AL293,SPD!AL293,SPMW!AL293,SSEH!AL293,SSES!AL293)</f>
        <v>35.5</v>
      </c>
      <c r="AM293" s="219">
        <f>CHOOSE(m_identity,ENWL!AM293, NPgN!AM293, NPgY!AM293, WMID!AM293, EMID!AM293, SWALES!AM293, SWEST!AM293, LPN!AM293,SPN!AM293,EPN!AM293,SPD!AM293,SPMW!AM293,SSEH!AM293,SSES!AM293)</f>
        <v>36.299999999999997</v>
      </c>
      <c r="AN293" s="219">
        <f>CHOOSE(m_identity,ENWL!AN293, NPgN!AN293, NPgY!AN293, WMID!AN293, EMID!AN293, SWALES!AN293, SWEST!AN293, LPN!AN293,SPN!AN293,EPN!AN293,SPD!AN293,SPMW!AN293,SSEH!AN293,SSES!AN293)</f>
        <v>37.090000000000003</v>
      </c>
      <c r="AO293" s="219">
        <f>CHOOSE(m_identity,ENWL!AO293, NPgN!AO293, NPgY!AO293, WMID!AO293, EMID!AO293, SWALES!AO293, SWEST!AO293, LPN!AO293,SPN!AO293,EPN!AO293,SPD!AO293,SPMW!AO293,SSEH!AO293,SSES!AO293)</f>
        <v>38.590000000000003</v>
      </c>
      <c r="AP293" s="219">
        <f>CHOOSE(m_identity,ENWL!AP293, NPgN!AP293, NPgY!AP293, WMID!AP293, EMID!AP293, SWALES!AP293, SWEST!AP293, LPN!AP293,SPN!AP293,EPN!AP293,SPD!AP293,SPMW!AP293,SSEH!AP293,SSES!AP293)</f>
        <v>39.369999999999997</v>
      </c>
      <c r="AQ293" s="219">
        <f>CHOOSE(m_identity,ENWL!AQ293, NPgN!AQ293, NPgY!AQ293, WMID!AQ293, EMID!AQ293, SWALES!AQ293, SWEST!AQ293, LPN!AQ293,SPN!AQ293,EPN!AQ293,SPD!AQ293,SPMW!AQ293,SSEH!AQ293,SSES!AQ293)</f>
        <v>40.090000000000003</v>
      </c>
    </row>
    <row r="294" spans="4:43" s="156" customFormat="1" ht="15" customHeight="1">
      <c r="E294" s="19" t="s">
        <v>741</v>
      </c>
      <c r="F294" s="19"/>
      <c r="G294" s="190" t="s">
        <v>657</v>
      </c>
      <c r="H294" s="19"/>
      <c r="I294" s="19"/>
      <c r="J294" s="88"/>
      <c r="K294" s="88"/>
      <c r="L294" s="88"/>
      <c r="M294" s="88"/>
      <c r="N294" s="88"/>
      <c r="O294" s="88"/>
      <c r="P294" s="88"/>
      <c r="Q294" s="88"/>
      <c r="R294" s="88"/>
      <c r="S294" s="88"/>
      <c r="T294" s="88"/>
      <c r="U294" s="88"/>
      <c r="V294" s="88"/>
      <c r="W294" s="88"/>
      <c r="X294" s="88"/>
      <c r="Y294" s="88"/>
      <c r="Z294" s="88"/>
      <c r="AA294" s="19"/>
      <c r="AB294" s="19"/>
      <c r="AC294" s="19"/>
      <c r="AD294" s="19"/>
      <c r="AE294" s="219">
        <f>CHOOSE(m_identity,ENWL!AE294, NPgN!AE294, NPgY!AE294, WMID!AE294, EMID!AE294, SWALES!AE294, SWEST!AE294, LPN!AE294,SPN!AE294,EPN!AE294,SPD!AE294,SPMW!AE294,SSEH!AE294,SSES!AE294)</f>
        <v>0</v>
      </c>
      <c r="AF294" s="219">
        <f>CHOOSE(m_identity,ENWL!AF294, NPgN!AF294, NPgY!AF294, WMID!AF294, EMID!AF294, SWALES!AF294, SWEST!AF294, LPN!AF294,SPN!AF294,EPN!AF294,SPD!AF294,SPMW!AF294,SSEH!AF294,SSES!AF294)</f>
        <v>0</v>
      </c>
      <c r="AG294" s="219">
        <f>CHOOSE(m_identity,ENWL!AG294, NPgN!AG294, NPgY!AG294, WMID!AG294, EMID!AG294, SWALES!AG294, SWEST!AG294, LPN!AG294,SPN!AG294,EPN!AG294,SPD!AG294,SPMW!AG294,SSEH!AG294,SSES!AG294)</f>
        <v>0</v>
      </c>
      <c r="AH294" s="219">
        <f>CHOOSE(m_identity,ENWL!AH294, NPgN!AH294, NPgY!AH294, WMID!AH294, EMID!AH294, SWALES!AH294, SWEST!AH294, LPN!AH294,SPN!AH294,EPN!AH294,SPD!AH294,SPMW!AH294,SSEH!AH294,SSES!AH294)</f>
        <v>0</v>
      </c>
      <c r="AI294" s="219">
        <f>CHOOSE(m_identity,ENWL!AI294, NPgN!AI294, NPgY!AI294, WMID!AI294, EMID!AI294, SWALES!AI294, SWEST!AI294, LPN!AI294,SPN!AI294,EPN!AI294,SPD!AI294,SPMW!AI294,SSEH!AI294,SSES!AI294)</f>
        <v>0</v>
      </c>
      <c r="AJ294" s="219">
        <f>CHOOSE(m_identity,ENWL!AJ294, NPgN!AJ294, NPgY!AJ294, WMID!AJ294, EMID!AJ294, SWALES!AJ294, SWEST!AJ294, LPN!AJ294,SPN!AJ294,EPN!AJ294,SPD!AJ294,SPMW!AJ294,SSEH!AJ294,SSES!AJ294)</f>
        <v>-32.729999999999997</v>
      </c>
      <c r="AK294" s="219">
        <f>CHOOSE(m_identity,ENWL!AK294, NPgN!AK294, NPgY!AK294, WMID!AK294, EMID!AK294, SWALES!AK294, SWEST!AK294, LPN!AK294,SPN!AK294,EPN!AK294,SPD!AK294,SPMW!AK294,SSEH!AK294,SSES!AK294)</f>
        <v>-33.67</v>
      </c>
      <c r="AL294" s="219">
        <f>CHOOSE(m_identity,ENWL!AL294, NPgN!AL294, NPgY!AL294, WMID!AL294, EMID!AL294, SWALES!AL294, SWEST!AL294, LPN!AL294,SPN!AL294,EPN!AL294,SPD!AL294,SPMW!AL294,SSEH!AL294,SSES!AL294)</f>
        <v>-34.630000000000003</v>
      </c>
      <c r="AM294" s="219">
        <f>CHOOSE(m_identity,ENWL!AM294, NPgN!AM294, NPgY!AM294, WMID!AM294, EMID!AM294, SWALES!AM294, SWEST!AM294, LPN!AM294,SPN!AM294,EPN!AM294,SPD!AM294,SPMW!AM294,SSEH!AM294,SSES!AM294)</f>
        <v>-35.410000000000004</v>
      </c>
      <c r="AN294" s="219">
        <f>CHOOSE(m_identity,ENWL!AN294, NPgN!AN294, NPgY!AN294, WMID!AN294, EMID!AN294, SWALES!AN294, SWEST!AN294, LPN!AN294,SPN!AN294,EPN!AN294,SPD!AN294,SPMW!AN294,SSEH!AN294,SSES!AN294)</f>
        <v>-36.169999999999995</v>
      </c>
      <c r="AO294" s="219">
        <f>CHOOSE(m_identity,ENWL!AO294, NPgN!AO294, NPgY!AO294, WMID!AO294, EMID!AO294, SWALES!AO294, SWEST!AO294, LPN!AO294,SPN!AO294,EPN!AO294,SPD!AO294,SPMW!AO294,SSEH!AO294,SSES!AO294)</f>
        <v>-37.64</v>
      </c>
      <c r="AP294" s="219">
        <f>CHOOSE(m_identity,ENWL!AP294, NPgN!AP294, NPgY!AP294, WMID!AP294, EMID!AP294, SWALES!AP294, SWEST!AP294, LPN!AP294,SPN!AP294,EPN!AP294,SPD!AP294,SPMW!AP294,SSEH!AP294,SSES!AP294)</f>
        <v>-38.4</v>
      </c>
      <c r="AQ294" s="219">
        <f>CHOOSE(m_identity,ENWL!AQ294, NPgN!AQ294, NPgY!AQ294, WMID!AQ294, EMID!AQ294, SWALES!AQ294, SWEST!AQ294, LPN!AQ294,SPN!AQ294,EPN!AQ294,SPD!AQ294,SPMW!AQ294,SSEH!AQ294,SSES!AQ294)</f>
        <v>-39.159999999999997</v>
      </c>
    </row>
    <row r="295" spans="4:43" s="156" customFormat="1" ht="15" customHeight="1">
      <c r="E295" s="19" t="s">
        <v>742</v>
      </c>
      <c r="F295" s="19"/>
      <c r="G295" s="190" t="s">
        <v>657</v>
      </c>
      <c r="H295" s="19"/>
      <c r="I295" s="19"/>
      <c r="J295" s="88"/>
      <c r="K295" s="88"/>
      <c r="L295" s="88"/>
      <c r="M295" s="88"/>
      <c r="N295" s="88"/>
      <c r="O295" s="88"/>
      <c r="P295" s="88"/>
      <c r="Q295" s="88"/>
      <c r="R295" s="88"/>
      <c r="S295" s="88"/>
      <c r="T295" s="88"/>
      <c r="U295" s="88"/>
      <c r="V295" s="88"/>
      <c r="W295" s="88"/>
      <c r="X295" s="88"/>
      <c r="Y295" s="88"/>
      <c r="Z295" s="88"/>
      <c r="AA295" s="19"/>
      <c r="AB295" s="19"/>
      <c r="AC295" s="19"/>
      <c r="AD295" s="19"/>
      <c r="AE295" s="165">
        <f t="shared" ref="AE295:AI295" si="29">SUM(AE293,AE294)</f>
        <v>0</v>
      </c>
      <c r="AF295" s="165">
        <f t="shared" si="29"/>
        <v>0</v>
      </c>
      <c r="AG295" s="165">
        <f t="shared" si="29"/>
        <v>0</v>
      </c>
      <c r="AH295" s="165">
        <f t="shared" si="29"/>
        <v>0</v>
      </c>
      <c r="AI295" s="165">
        <f t="shared" si="29"/>
        <v>0</v>
      </c>
      <c r="AJ295" s="165">
        <f>SUM(AJ293,AJ294)</f>
        <v>0.8300000000000054</v>
      </c>
      <c r="AK295" s="165">
        <f t="shared" ref="AK295:AQ295" si="30">SUM(AK293,AK294)</f>
        <v>0.86999999999999744</v>
      </c>
      <c r="AL295" s="165">
        <f t="shared" si="30"/>
        <v>0.86999999999999744</v>
      </c>
      <c r="AM295" s="165">
        <f t="shared" si="30"/>
        <v>0.88999999999999346</v>
      </c>
      <c r="AN295" s="165">
        <f t="shared" si="30"/>
        <v>0.92000000000000881</v>
      </c>
      <c r="AO295" s="165">
        <f t="shared" si="30"/>
        <v>0.95000000000000284</v>
      </c>
      <c r="AP295" s="165">
        <f t="shared" si="30"/>
        <v>0.96999999999999886</v>
      </c>
      <c r="AQ295" s="165">
        <f t="shared" si="30"/>
        <v>0.93000000000000682</v>
      </c>
    </row>
    <row r="296" spans="4:43" s="156" customFormat="1" ht="15" customHeight="1">
      <c r="E296" s="19"/>
      <c r="F296" s="19"/>
      <c r="G296" s="190"/>
      <c r="H296" s="19"/>
      <c r="I296" s="19"/>
      <c r="J296" s="88"/>
      <c r="K296" s="88"/>
      <c r="L296" s="88"/>
      <c r="M296" s="88"/>
      <c r="N296" s="88"/>
      <c r="O296" s="88"/>
      <c r="P296" s="88"/>
      <c r="Q296" s="88"/>
      <c r="R296" s="88"/>
      <c r="S296" s="88"/>
      <c r="T296" s="88"/>
      <c r="U296" s="88"/>
      <c r="V296" s="88"/>
      <c r="W296" s="88"/>
      <c r="X296" s="88"/>
      <c r="Y296" s="88"/>
      <c r="Z296" s="88"/>
      <c r="AA296" s="19"/>
      <c r="AB296" s="19"/>
      <c r="AC296" s="19"/>
      <c r="AD296" s="19"/>
      <c r="AE296" s="155"/>
      <c r="AF296" s="155"/>
      <c r="AG296" s="155"/>
      <c r="AH296" s="155"/>
      <c r="AI296" s="155"/>
      <c r="AJ296" s="155"/>
      <c r="AK296" s="155"/>
      <c r="AL296" s="155"/>
      <c r="AM296" s="155"/>
      <c r="AN296" s="155"/>
      <c r="AO296" s="155"/>
      <c r="AP296" s="155"/>
      <c r="AQ296" s="155"/>
    </row>
    <row r="297" spans="4:43" s="156" customFormat="1" ht="15" customHeight="1">
      <c r="E297" s="19" t="s">
        <v>743</v>
      </c>
      <c r="F297" s="19"/>
      <c r="G297" s="190" t="s">
        <v>657</v>
      </c>
      <c r="H297" s="19"/>
      <c r="I297" s="19"/>
      <c r="J297" s="88"/>
      <c r="K297" s="88"/>
      <c r="L297" s="88"/>
      <c r="M297" s="88"/>
      <c r="N297" s="88"/>
      <c r="O297" s="88"/>
      <c r="P297" s="88"/>
      <c r="Q297" s="88"/>
      <c r="R297" s="88"/>
      <c r="S297" s="88"/>
      <c r="T297" s="88"/>
      <c r="U297" s="88"/>
      <c r="V297" s="88"/>
      <c r="W297" s="88"/>
      <c r="X297" s="88"/>
      <c r="Y297" s="88"/>
      <c r="Z297" s="88"/>
      <c r="AA297" s="19"/>
      <c r="AB297" s="19"/>
      <c r="AC297" s="19"/>
      <c r="AD297" s="19"/>
      <c r="AE297" s="219">
        <f>CHOOSE(m_identity,ENWL!AE297, NPgN!AE297, NPgY!AE297, WMID!AE297, EMID!AE297, SWALES!AE297, SWEST!AE297, LPN!AE297,SPN!AE297,EPN!AE297,SPD!AE297,SPMW!AE297,SSEH!AE297,SSES!AE297)</f>
        <v>0</v>
      </c>
      <c r="AF297" s="219">
        <f>CHOOSE(m_identity,ENWL!AF297, NPgN!AF297, NPgY!AF297, WMID!AF297, EMID!AF297, SWALES!AF297, SWEST!AF297, LPN!AF297,SPN!AF297,EPN!AF297,SPD!AF297,SPMW!AF297,SSEH!AF297,SSES!AF297)</f>
        <v>0</v>
      </c>
      <c r="AG297" s="219">
        <f>CHOOSE(m_identity,ENWL!AG297, NPgN!AG297, NPgY!AG297, WMID!AG297, EMID!AG297, SWALES!AG297, SWEST!AG297, LPN!AG297,SPN!AG297,EPN!AG297,SPD!AG297,SPMW!AG297,SSEH!AG297,SSES!AG297)</f>
        <v>0</v>
      </c>
      <c r="AH297" s="219">
        <f>CHOOSE(m_identity,ENWL!AH297, NPgN!AH297, NPgY!AH297, WMID!AH297, EMID!AH297, SWALES!AH297, SWEST!AH297, LPN!AH297,SPN!AH297,EPN!AH297,SPD!AH297,SPMW!AH297,SSEH!AH297,SSES!AH297)</f>
        <v>0</v>
      </c>
      <c r="AI297" s="219">
        <f>CHOOSE(m_identity,ENWL!AI297, NPgN!AI297, NPgY!AI297, WMID!AI297, EMID!AI297, SWALES!AI297, SWEST!AI297, LPN!AI297,SPN!AI297,EPN!AI297,SPD!AI297,SPMW!AI297,SSEH!AI297,SSES!AI297)</f>
        <v>0</v>
      </c>
      <c r="AJ297" s="219">
        <f>CHOOSE(m_identity,ENWL!AJ297, NPgN!AJ297, NPgY!AJ297, WMID!AJ297, EMID!AJ297, SWALES!AJ297, SWEST!AJ297, LPN!AJ297,SPN!AJ297,EPN!AJ297,SPD!AJ297,SPMW!AJ297,SSEH!AJ297,SSES!AJ297)</f>
        <v>10.18</v>
      </c>
      <c r="AK297" s="219">
        <f>CHOOSE(m_identity,ENWL!AK297, NPgN!AK297, NPgY!AK297, WMID!AK297, EMID!AK297, SWALES!AK297, SWEST!AK297, LPN!AK297,SPN!AK297,EPN!AK297,SPD!AK297,SPMW!AK297,SSEH!AK297,SSES!AK297)</f>
        <v>10.4</v>
      </c>
      <c r="AL297" s="219">
        <f>CHOOSE(m_identity,ENWL!AL297, NPgN!AL297, NPgY!AL297, WMID!AL297, EMID!AL297, SWALES!AL297, SWEST!AL297, LPN!AL297,SPN!AL297,EPN!AL297,SPD!AL297,SPMW!AL297,SSEH!AL297,SSES!AL297)</f>
        <v>10.66</v>
      </c>
      <c r="AM297" s="219">
        <f>CHOOSE(m_identity,ENWL!AM297, NPgN!AM297, NPgY!AM297, WMID!AM297, EMID!AM297, SWALES!AM297, SWEST!AM297, LPN!AM297,SPN!AM297,EPN!AM297,SPD!AM297,SPMW!AM297,SSEH!AM297,SSES!AM297)</f>
        <v>10.91</v>
      </c>
      <c r="AN297" s="219">
        <f>CHOOSE(m_identity,ENWL!AN297, NPgN!AN297, NPgY!AN297, WMID!AN297, EMID!AN297, SWALES!AN297, SWEST!AN297, LPN!AN297,SPN!AN297,EPN!AN297,SPD!AN297,SPMW!AN297,SSEH!AN297,SSES!AN297)</f>
        <v>11.15</v>
      </c>
      <c r="AO297" s="219">
        <f>CHOOSE(m_identity,ENWL!AO297, NPgN!AO297, NPgY!AO297, WMID!AO297, EMID!AO297, SWALES!AO297, SWEST!AO297, LPN!AO297,SPN!AO297,EPN!AO297,SPD!AO297,SPMW!AO297,SSEH!AO297,SSES!AO297)</f>
        <v>11.41</v>
      </c>
      <c r="AP297" s="219">
        <f>CHOOSE(m_identity,ENWL!AP297, NPgN!AP297, NPgY!AP297, WMID!AP297, EMID!AP297, SWALES!AP297, SWEST!AP297, LPN!AP297,SPN!AP297,EPN!AP297,SPD!AP297,SPMW!AP297,SSEH!AP297,SSES!AP297)</f>
        <v>11.66</v>
      </c>
      <c r="AQ297" s="219">
        <f>CHOOSE(m_identity,ENWL!AQ297, NPgN!AQ297, NPgY!AQ297, WMID!AQ297, EMID!AQ297, SWALES!AQ297, SWEST!AQ297, LPN!AQ297,SPN!AQ297,EPN!AQ297,SPD!AQ297,SPMW!AQ297,SSEH!AQ297,SSES!AQ297)</f>
        <v>11.97</v>
      </c>
    </row>
    <row r="298" spans="4:43" s="156" customFormat="1" ht="15" customHeight="1">
      <c r="E298" s="19" t="s">
        <v>744</v>
      </c>
      <c r="F298" s="19"/>
      <c r="G298" s="190" t="s">
        <v>657</v>
      </c>
      <c r="H298" s="19"/>
      <c r="I298" s="19"/>
      <c r="J298" s="88"/>
      <c r="K298" s="88"/>
      <c r="L298" s="88"/>
      <c r="M298" s="88"/>
      <c r="N298" s="88"/>
      <c r="O298" s="88"/>
      <c r="P298" s="88"/>
      <c r="Q298" s="88"/>
      <c r="R298" s="88"/>
      <c r="S298" s="88"/>
      <c r="T298" s="88"/>
      <c r="U298" s="88"/>
      <c r="V298" s="88"/>
      <c r="W298" s="88"/>
      <c r="X298" s="88"/>
      <c r="Y298" s="88"/>
      <c r="Z298" s="88"/>
      <c r="AA298" s="19"/>
      <c r="AB298" s="19"/>
      <c r="AC298" s="19"/>
      <c r="AD298" s="19"/>
      <c r="AE298" s="219">
        <f>CHOOSE(m_identity,ENWL!AE298, NPgN!AE298, NPgY!AE298, WMID!AE298, EMID!AE298, SWALES!AE298, SWEST!AE298, LPN!AE298,SPN!AE298,EPN!AE298,SPD!AE298,SPMW!AE298,SSEH!AE298,SSES!AE298)</f>
        <v>0</v>
      </c>
      <c r="AF298" s="219">
        <f>CHOOSE(m_identity,ENWL!AF298, NPgN!AF298, NPgY!AF298, WMID!AF298, EMID!AF298, SWALES!AF298, SWEST!AF298, LPN!AF298,SPN!AF298,EPN!AF298,SPD!AF298,SPMW!AF298,SSEH!AF298,SSES!AF298)</f>
        <v>0</v>
      </c>
      <c r="AG298" s="219">
        <f>CHOOSE(m_identity,ENWL!AG298, NPgN!AG298, NPgY!AG298, WMID!AG298, EMID!AG298, SWALES!AG298, SWEST!AG298, LPN!AG298,SPN!AG298,EPN!AG298,SPD!AG298,SPMW!AG298,SSEH!AG298,SSES!AG298)</f>
        <v>0</v>
      </c>
      <c r="AH298" s="219">
        <f>CHOOSE(m_identity,ENWL!AH298, NPgN!AH298, NPgY!AH298, WMID!AH298, EMID!AH298, SWALES!AH298, SWEST!AH298, LPN!AH298,SPN!AH298,EPN!AH298,SPD!AH298,SPMW!AH298,SSEH!AH298,SSES!AH298)</f>
        <v>0</v>
      </c>
      <c r="AI298" s="219">
        <f>CHOOSE(m_identity,ENWL!AI298, NPgN!AI298, NPgY!AI298, WMID!AI298, EMID!AI298, SWALES!AI298, SWEST!AI298, LPN!AI298,SPN!AI298,EPN!AI298,SPD!AI298,SPMW!AI298,SSEH!AI298,SSES!AI298)</f>
        <v>0</v>
      </c>
      <c r="AJ298" s="219">
        <f>CHOOSE(m_identity,ENWL!AJ298, NPgN!AJ298, NPgY!AJ298, WMID!AJ298, EMID!AJ298, SWALES!AJ298, SWEST!AJ298, LPN!AJ298,SPN!AJ298,EPN!AJ298,SPD!AJ298,SPMW!AJ298,SSEH!AJ298,SSES!AJ298)</f>
        <v>-9.93</v>
      </c>
      <c r="AK298" s="219">
        <f>CHOOSE(m_identity,ENWL!AK298, NPgN!AK298, NPgY!AK298, WMID!AK298, EMID!AK298, SWALES!AK298, SWEST!AK298, LPN!AK298,SPN!AK298,EPN!AK298,SPD!AK298,SPMW!AK298,SSEH!AK298,SSES!AK298)</f>
        <v>-10.17</v>
      </c>
      <c r="AL298" s="219">
        <f>CHOOSE(m_identity,ENWL!AL298, NPgN!AL298, NPgY!AL298, WMID!AL298, EMID!AL298, SWALES!AL298, SWEST!AL298, LPN!AL298,SPN!AL298,EPN!AL298,SPD!AL298,SPMW!AL298,SSEH!AL298,SSES!AL298)</f>
        <v>-10.4</v>
      </c>
      <c r="AM298" s="219">
        <f>CHOOSE(m_identity,ENWL!AM298, NPgN!AM298, NPgY!AM298, WMID!AM298, EMID!AM298, SWALES!AM298, SWEST!AM298, LPN!AM298,SPN!AM298,EPN!AM298,SPD!AM298,SPMW!AM298,SSEH!AM298,SSES!AM298)</f>
        <v>-10.639999999999999</v>
      </c>
      <c r="AN298" s="219">
        <f>CHOOSE(m_identity,ENWL!AN298, NPgN!AN298, NPgY!AN298, WMID!AN298, EMID!AN298, SWALES!AN298, SWEST!AN298, LPN!AN298,SPN!AN298,EPN!AN298,SPD!AN298,SPMW!AN298,SSEH!AN298,SSES!AN298)</f>
        <v>-10.879999999999999</v>
      </c>
      <c r="AO298" s="219">
        <f>CHOOSE(m_identity,ENWL!AO298, NPgN!AO298, NPgY!AO298, WMID!AO298, EMID!AO298, SWALES!AO298, SWEST!AO298, LPN!AO298,SPN!AO298,EPN!AO298,SPD!AO298,SPMW!AO298,SSEH!AO298,SSES!AO298)</f>
        <v>-11.129999999999999</v>
      </c>
      <c r="AP298" s="219">
        <f>CHOOSE(m_identity,ENWL!AP298, NPgN!AP298, NPgY!AP298, WMID!AP298, EMID!AP298, SWALES!AP298, SWEST!AP298, LPN!AP298,SPN!AP298,EPN!AP298,SPD!AP298,SPMW!AP298,SSEH!AP298,SSES!AP298)</f>
        <v>-11.37</v>
      </c>
      <c r="AQ298" s="219">
        <f>CHOOSE(m_identity,ENWL!AQ298, NPgN!AQ298, NPgY!AQ298, WMID!AQ298, EMID!AQ298, SWALES!AQ298, SWEST!AQ298, LPN!AQ298,SPN!AQ298,EPN!AQ298,SPD!AQ298,SPMW!AQ298,SSEH!AQ298,SSES!AQ298)</f>
        <v>-11.62</v>
      </c>
    </row>
    <row r="299" spans="4:43" s="156" customFormat="1" ht="15" customHeight="1">
      <c r="E299" s="19" t="s">
        <v>745</v>
      </c>
      <c r="F299" s="19"/>
      <c r="G299" s="190" t="s">
        <v>657</v>
      </c>
      <c r="H299" s="19"/>
      <c r="I299" s="19"/>
      <c r="J299" s="88"/>
      <c r="K299" s="88"/>
      <c r="L299" s="88"/>
      <c r="M299" s="88"/>
      <c r="N299" s="88"/>
      <c r="O299" s="88"/>
      <c r="P299" s="88"/>
      <c r="Q299" s="88"/>
      <c r="R299" s="88"/>
      <c r="S299" s="88"/>
      <c r="T299" s="88"/>
      <c r="U299" s="88"/>
      <c r="V299" s="88"/>
      <c r="W299" s="88"/>
      <c r="X299" s="88"/>
      <c r="Y299" s="88"/>
      <c r="Z299" s="88"/>
      <c r="AA299" s="19"/>
      <c r="AB299" s="19"/>
      <c r="AC299" s="19"/>
      <c r="AD299" s="19"/>
      <c r="AE299" s="165">
        <f t="shared" ref="AE299:AI299" si="31">SUM(AE297,AE298)</f>
        <v>0</v>
      </c>
      <c r="AF299" s="165">
        <f t="shared" si="31"/>
        <v>0</v>
      </c>
      <c r="AG299" s="165">
        <f t="shared" si="31"/>
        <v>0</v>
      </c>
      <c r="AH299" s="165">
        <f t="shared" si="31"/>
        <v>0</v>
      </c>
      <c r="AI299" s="165">
        <f t="shared" si="31"/>
        <v>0</v>
      </c>
      <c r="AJ299" s="165">
        <f>SUM(AJ297,AJ298)</f>
        <v>0.25</v>
      </c>
      <c r="AK299" s="165">
        <f t="shared" ref="AK299" si="32">SUM(AK297,AK298)</f>
        <v>0.23000000000000043</v>
      </c>
      <c r="AL299" s="165">
        <f t="shared" ref="AL299" si="33">SUM(AL297,AL298)</f>
        <v>0.25999999999999979</v>
      </c>
      <c r="AM299" s="165">
        <f t="shared" ref="AM299" si="34">SUM(AM297,AM298)</f>
        <v>0.27000000000000135</v>
      </c>
      <c r="AN299" s="165">
        <f t="shared" ref="AN299" si="35">SUM(AN297,AN298)</f>
        <v>0.27000000000000135</v>
      </c>
      <c r="AO299" s="165">
        <f t="shared" ref="AO299" si="36">SUM(AO297,AO298)</f>
        <v>0.28000000000000114</v>
      </c>
      <c r="AP299" s="165">
        <f t="shared" ref="AP299" si="37">SUM(AP297,AP298)</f>
        <v>0.29000000000000092</v>
      </c>
      <c r="AQ299" s="165">
        <f t="shared" ref="AQ299" si="38">SUM(AQ297,AQ298)</f>
        <v>0.35000000000000142</v>
      </c>
    </row>
    <row r="300" spans="4:43" s="156" customFormat="1" ht="15" customHeight="1">
      <c r="E300" s="19"/>
      <c r="F300" s="19"/>
      <c r="G300" s="190"/>
      <c r="H300" s="19"/>
      <c r="I300" s="19"/>
      <c r="J300" s="88"/>
      <c r="K300" s="88"/>
      <c r="L300" s="88"/>
      <c r="M300" s="88"/>
      <c r="N300" s="88"/>
      <c r="O300" s="88"/>
      <c r="P300" s="88"/>
      <c r="Q300" s="88"/>
      <c r="R300" s="88"/>
      <c r="S300" s="88"/>
      <c r="T300" s="88"/>
      <c r="U300" s="88"/>
      <c r="V300" s="88"/>
      <c r="W300" s="88"/>
      <c r="X300" s="88"/>
      <c r="Y300" s="88"/>
      <c r="Z300" s="88"/>
      <c r="AA300" s="19"/>
      <c r="AB300" s="19"/>
      <c r="AC300" s="19"/>
      <c r="AD300" s="19"/>
      <c r="AE300" s="155"/>
      <c r="AF300" s="155"/>
      <c r="AG300" s="155"/>
      <c r="AH300" s="155"/>
      <c r="AI300" s="155"/>
      <c r="AJ300" s="155"/>
      <c r="AK300" s="155"/>
      <c r="AL300" s="155"/>
      <c r="AM300" s="155"/>
      <c r="AN300" s="155"/>
      <c r="AO300" s="155"/>
      <c r="AP300" s="155"/>
      <c r="AQ300" s="155"/>
    </row>
    <row r="301" spans="4:43" s="156" customFormat="1" ht="15" customHeight="1">
      <c r="E301" s="19" t="s">
        <v>746</v>
      </c>
      <c r="F301" s="19"/>
      <c r="G301" s="190" t="s">
        <v>657</v>
      </c>
      <c r="H301" s="19"/>
      <c r="I301" s="19"/>
      <c r="J301" s="88"/>
      <c r="K301" s="88"/>
      <c r="L301" s="88"/>
      <c r="M301" s="88"/>
      <c r="N301" s="88"/>
      <c r="O301" s="88"/>
      <c r="P301" s="88"/>
      <c r="Q301" s="88"/>
      <c r="R301" s="88"/>
      <c r="S301" s="88"/>
      <c r="T301" s="88"/>
      <c r="U301" s="88"/>
      <c r="V301" s="88"/>
      <c r="W301" s="88"/>
      <c r="X301" s="88"/>
      <c r="Y301" s="88"/>
      <c r="Z301" s="88"/>
      <c r="AA301" s="19"/>
      <c r="AB301" s="19"/>
      <c r="AC301" s="19"/>
      <c r="AD301" s="19"/>
      <c r="AE301" s="219">
        <f>CHOOSE(m_identity,ENWL!AE301, NPgN!AE301, NPgY!AE301, WMID!AE301, EMID!AE301, SWALES!AE301, SWEST!AE301, LPN!AE301,SPN!AE301,EPN!AE301,SPD!AE301,SPMW!AE301,SSEH!AE301,SSES!AE301)</f>
        <v>0</v>
      </c>
      <c r="AF301" s="219">
        <f>CHOOSE(m_identity,ENWL!AF301, NPgN!AF301, NPgY!AF301, WMID!AF301, EMID!AF301, SWALES!AF301, SWEST!AF301, LPN!AF301,SPN!AF301,EPN!AF301,SPD!AF301,SPMW!AF301,SSEH!AF301,SSES!AF301)</f>
        <v>0</v>
      </c>
      <c r="AG301" s="219">
        <f>CHOOSE(m_identity,ENWL!AG301, NPgN!AG301, NPgY!AG301, WMID!AG301, EMID!AG301, SWALES!AG301, SWEST!AG301, LPN!AG301,SPN!AG301,EPN!AG301,SPD!AG301,SPMW!AG301,SSEH!AG301,SSES!AG301)</f>
        <v>0</v>
      </c>
      <c r="AH301" s="219">
        <f>CHOOSE(m_identity,ENWL!AH301, NPgN!AH301, NPgY!AH301, WMID!AH301, EMID!AH301, SWALES!AH301, SWEST!AH301, LPN!AH301,SPN!AH301,EPN!AH301,SPD!AH301,SPMW!AH301,SSEH!AH301,SSES!AH301)</f>
        <v>0</v>
      </c>
      <c r="AI301" s="219">
        <f>CHOOSE(m_identity,ENWL!AI301, NPgN!AI301, NPgY!AI301, WMID!AI301, EMID!AI301, SWALES!AI301, SWEST!AI301, LPN!AI301,SPN!AI301,EPN!AI301,SPD!AI301,SPMW!AI301,SSEH!AI301,SSES!AI301)</f>
        <v>0</v>
      </c>
      <c r="AJ301" s="219">
        <f>CHOOSE(m_identity,ENWL!AJ301, NPgN!AJ301, NPgY!AJ301, WMID!AJ301, EMID!AJ301, SWALES!AJ301, SWEST!AJ301, LPN!AJ301,SPN!AJ301,EPN!AJ301,SPD!AJ301,SPMW!AJ301,SSEH!AJ301,SSES!AJ301)</f>
        <v>8</v>
      </c>
      <c r="AK301" s="219">
        <f>CHOOSE(m_identity,ENWL!AK301, NPgN!AK301, NPgY!AK301, WMID!AK301, EMID!AK301, SWALES!AK301, SWEST!AK301, LPN!AK301,SPN!AK301,EPN!AK301,SPD!AK301,SPMW!AK301,SSEH!AK301,SSES!AK301)</f>
        <v>8</v>
      </c>
      <c r="AL301" s="219">
        <f>CHOOSE(m_identity,ENWL!AL301, NPgN!AL301, NPgY!AL301, WMID!AL301, EMID!AL301, SWALES!AL301, SWEST!AL301, LPN!AL301,SPN!AL301,EPN!AL301,SPD!AL301,SPMW!AL301,SSEH!AL301,SSES!AL301)</f>
        <v>8</v>
      </c>
      <c r="AM301" s="219">
        <f>CHOOSE(m_identity,ENWL!AM301, NPgN!AM301, NPgY!AM301, WMID!AM301, EMID!AM301, SWALES!AM301, SWEST!AM301, LPN!AM301,SPN!AM301,EPN!AM301,SPD!AM301,SPMW!AM301,SSEH!AM301,SSES!AM301)</f>
        <v>8</v>
      </c>
      <c r="AN301" s="219">
        <f>CHOOSE(m_identity,ENWL!AN301, NPgN!AN301, NPgY!AN301, WMID!AN301, EMID!AN301, SWALES!AN301, SWEST!AN301, LPN!AN301,SPN!AN301,EPN!AN301,SPD!AN301,SPMW!AN301,SSEH!AN301,SSES!AN301)</f>
        <v>8</v>
      </c>
      <c r="AO301" s="219">
        <f>CHOOSE(m_identity,ENWL!AO301, NPgN!AO301, NPgY!AO301, WMID!AO301, EMID!AO301, SWALES!AO301, SWEST!AO301, LPN!AO301,SPN!AO301,EPN!AO301,SPD!AO301,SPMW!AO301,SSEH!AO301,SSES!AO301)</f>
        <v>8</v>
      </c>
      <c r="AP301" s="219">
        <f>CHOOSE(m_identity,ENWL!AP301, NPgN!AP301, NPgY!AP301, WMID!AP301, EMID!AP301, SWALES!AP301, SWEST!AP301, LPN!AP301,SPN!AP301,EPN!AP301,SPD!AP301,SPMW!AP301,SSEH!AP301,SSES!AP301)</f>
        <v>8</v>
      </c>
      <c r="AQ301" s="219">
        <f>CHOOSE(m_identity,ENWL!AQ301, NPgN!AQ301, NPgY!AQ301, WMID!AQ301, EMID!AQ301, SWALES!AQ301, SWEST!AQ301, LPN!AQ301,SPN!AQ301,EPN!AQ301,SPD!AQ301,SPMW!AQ301,SSEH!AQ301,SSES!AQ301)</f>
        <v>8</v>
      </c>
    </row>
    <row r="302" spans="4:43" s="156" customFormat="1" ht="15" customHeight="1">
      <c r="E302" s="19" t="s">
        <v>747</v>
      </c>
      <c r="F302" s="19"/>
      <c r="G302" s="190" t="s">
        <v>657</v>
      </c>
      <c r="H302" s="19"/>
      <c r="I302" s="19"/>
      <c r="J302" s="88"/>
      <c r="K302" s="88"/>
      <c r="L302" s="88"/>
      <c r="M302" s="88"/>
      <c r="N302" s="88"/>
      <c r="O302" s="88"/>
      <c r="P302" s="88"/>
      <c r="Q302" s="88"/>
      <c r="R302" s="88"/>
      <c r="S302" s="88"/>
      <c r="T302" s="88"/>
      <c r="U302" s="88"/>
      <c r="V302" s="88"/>
      <c r="W302" s="88"/>
      <c r="X302" s="88"/>
      <c r="Y302" s="88"/>
      <c r="Z302" s="88"/>
      <c r="AA302" s="19"/>
      <c r="AB302" s="19"/>
      <c r="AC302" s="19"/>
      <c r="AD302" s="19"/>
      <c r="AE302" s="219">
        <f>CHOOSE(m_identity,ENWL!AE302, NPgN!AE302, NPgY!AE302, WMID!AE302, EMID!AE302, SWALES!AE302, SWEST!AE302, LPN!AE302,SPN!AE302,EPN!AE302,SPD!AE302,SPMW!AE302,SSEH!AE302,SSES!AE302)</f>
        <v>0</v>
      </c>
      <c r="AF302" s="219">
        <f>CHOOSE(m_identity,ENWL!AF302, NPgN!AF302, NPgY!AF302, WMID!AF302, EMID!AF302, SWALES!AF302, SWEST!AF302, LPN!AF302,SPN!AF302,EPN!AF302,SPD!AF302,SPMW!AF302,SSEH!AF302,SSES!AF302)</f>
        <v>0</v>
      </c>
      <c r="AG302" s="219">
        <f>CHOOSE(m_identity,ENWL!AG302, NPgN!AG302, NPgY!AG302, WMID!AG302, EMID!AG302, SWALES!AG302, SWEST!AG302, LPN!AG302,SPN!AG302,EPN!AG302,SPD!AG302,SPMW!AG302,SSEH!AG302,SSES!AG302)</f>
        <v>0</v>
      </c>
      <c r="AH302" s="219">
        <f>CHOOSE(m_identity,ENWL!AH302, NPgN!AH302, NPgY!AH302, WMID!AH302, EMID!AH302, SWALES!AH302, SWEST!AH302, LPN!AH302,SPN!AH302,EPN!AH302,SPD!AH302,SPMW!AH302,SSEH!AH302,SSES!AH302)</f>
        <v>0</v>
      </c>
      <c r="AI302" s="219">
        <f>CHOOSE(m_identity,ENWL!AI302, NPgN!AI302, NPgY!AI302, WMID!AI302, EMID!AI302, SWALES!AI302, SWEST!AI302, LPN!AI302,SPN!AI302,EPN!AI302,SPD!AI302,SPMW!AI302,SSEH!AI302,SSES!AI302)</f>
        <v>0</v>
      </c>
      <c r="AJ302" s="219">
        <f>CHOOSE(m_identity,ENWL!AJ302, NPgN!AJ302, NPgY!AJ302, WMID!AJ302, EMID!AJ302, SWALES!AJ302, SWEST!AJ302, LPN!AJ302,SPN!AJ302,EPN!AJ302,SPD!AJ302,SPMW!AJ302,SSEH!AJ302,SSES!AJ302)</f>
        <v>-6.5605195626507635</v>
      </c>
      <c r="AK302" s="219">
        <f>CHOOSE(m_identity,ENWL!AK302, NPgN!AK302, NPgY!AK302, WMID!AK302, EMID!AK302, SWALES!AK302, SWEST!AK302, LPN!AK302,SPN!AK302,EPN!AK302,SPD!AK302,SPMW!AK302,SSEH!AK302,SSES!AK302)</f>
        <v>-6.5506515687103759</v>
      </c>
      <c r="AL302" s="219">
        <f>CHOOSE(m_identity,ENWL!AL302, NPgN!AL302, NPgY!AL302, WMID!AL302, EMID!AL302, SWALES!AL302, SWEST!AL302, LPN!AL302,SPN!AL302,EPN!AL302,SPD!AL302,SPMW!AL302,SSEH!AL302,SSES!AL302)</f>
        <v>-6.5408822547093921</v>
      </c>
      <c r="AM302" s="219">
        <f>CHOOSE(m_identity,ENWL!AM302, NPgN!AM302, NPgY!AM302, WMID!AM302, EMID!AM302, SWALES!AM302, SWEST!AM302, LPN!AM302,SPN!AM302,EPN!AM302,SPD!AM302,SPMW!AM302,SSEH!AM302,SSES!AM302)</f>
        <v>-6.5312106338484188</v>
      </c>
      <c r="AN302" s="219">
        <f>CHOOSE(m_identity,ENWL!AN302, NPgN!AN302, NPgY!AN302, WMID!AN302, EMID!AN302, SWALES!AN302, SWEST!AN302, LPN!AN302,SPN!AN302,EPN!AN302,SPD!AN302,SPMW!AN302,SSEH!AN302,SSES!AN302)</f>
        <v>-6.5216357291960545</v>
      </c>
      <c r="AO302" s="219">
        <f>CHOOSE(m_identity,ENWL!AO302, NPgN!AO302, NPgY!AO302, WMID!AO302, EMID!AO302, SWALES!AO302, SWEST!AO302, LPN!AO302,SPN!AO302,EPN!AO302,SPD!AO302,SPMW!AO302,SSEH!AO302,SSES!AO302)</f>
        <v>-6.5121565735902136</v>
      </c>
      <c r="AP302" s="219">
        <f>CHOOSE(m_identity,ENWL!AP302, NPgN!AP302, NPgY!AP302, WMID!AP302, EMID!AP302, SWALES!AP302, SWEST!AP302, LPN!AP302,SPN!AP302,EPN!AP302,SPD!AP302,SPMW!AP302,SSEH!AP302,SSES!AP302)</f>
        <v>-6.5027722095404314</v>
      </c>
      <c r="AQ302" s="219">
        <f>CHOOSE(m_identity,ENWL!AQ302, NPgN!AQ302, NPgY!AQ302, WMID!AQ302, EMID!AQ302, SWALES!AQ302, SWEST!AQ302, LPN!AQ302,SPN!AQ302,EPN!AQ302,SPD!AQ302,SPMW!AQ302,SSEH!AQ302,SSES!AQ302)</f>
        <v>-6.4934816891311478</v>
      </c>
    </row>
    <row r="303" spans="4:43" s="156" customFormat="1" ht="15" customHeight="1">
      <c r="E303" s="19" t="s">
        <v>748</v>
      </c>
      <c r="F303" s="19"/>
      <c r="G303" s="190" t="s">
        <v>657</v>
      </c>
      <c r="H303" s="19"/>
      <c r="I303" s="19"/>
      <c r="J303" s="88"/>
      <c r="K303" s="88"/>
      <c r="L303" s="88"/>
      <c r="M303" s="88"/>
      <c r="N303" s="88"/>
      <c r="O303" s="88"/>
      <c r="P303" s="88"/>
      <c r="Q303" s="88"/>
      <c r="R303" s="88"/>
      <c r="S303" s="88"/>
      <c r="T303" s="88"/>
      <c r="U303" s="88"/>
      <c r="V303" s="88"/>
      <c r="W303" s="88"/>
      <c r="X303" s="88"/>
      <c r="Y303" s="88"/>
      <c r="Z303" s="88"/>
      <c r="AA303" s="19"/>
      <c r="AB303" s="19"/>
      <c r="AC303" s="19"/>
      <c r="AD303" s="19"/>
      <c r="AE303" s="165">
        <f t="shared" ref="AE303:AI303" si="39">SUM(AE301,AE302)</f>
        <v>0</v>
      </c>
      <c r="AF303" s="165">
        <f t="shared" si="39"/>
        <v>0</v>
      </c>
      <c r="AG303" s="165">
        <f t="shared" si="39"/>
        <v>0</v>
      </c>
      <c r="AH303" s="165">
        <f t="shared" si="39"/>
        <v>0</v>
      </c>
      <c r="AI303" s="165">
        <f t="shared" si="39"/>
        <v>0</v>
      </c>
      <c r="AJ303" s="165">
        <f>SUM(AJ301,AJ302)</f>
        <v>1.4394804373492365</v>
      </c>
      <c r="AK303" s="165">
        <f t="shared" ref="AK303" si="40">SUM(AK301,AK302)</f>
        <v>1.4493484312896241</v>
      </c>
      <c r="AL303" s="165">
        <f t="shared" ref="AL303" si="41">SUM(AL301,AL302)</f>
        <v>1.4591177452906079</v>
      </c>
      <c r="AM303" s="165">
        <f t="shared" ref="AM303" si="42">SUM(AM301,AM302)</f>
        <v>1.4687893661515812</v>
      </c>
      <c r="AN303" s="165">
        <f t="shared" ref="AN303" si="43">SUM(AN301,AN302)</f>
        <v>1.4783642708039455</v>
      </c>
      <c r="AO303" s="165">
        <f t="shared" ref="AO303" si="44">SUM(AO301,AO302)</f>
        <v>1.4878434264097864</v>
      </c>
      <c r="AP303" s="165">
        <f t="shared" ref="AP303" si="45">SUM(AP301,AP302)</f>
        <v>1.4972277904595686</v>
      </c>
      <c r="AQ303" s="165">
        <f t="shared" ref="AQ303" si="46">SUM(AQ301,AQ302)</f>
        <v>1.5065183108688522</v>
      </c>
    </row>
    <row r="304" spans="4:43" s="156" customFormat="1" ht="15" customHeight="1">
      <c r="E304" s="19"/>
      <c r="F304" s="19"/>
      <c r="G304" s="190"/>
      <c r="H304" s="19"/>
      <c r="I304" s="19"/>
      <c r="J304" s="88"/>
      <c r="K304" s="88"/>
      <c r="L304" s="88"/>
      <c r="M304" s="88"/>
      <c r="N304" s="88"/>
      <c r="O304" s="88"/>
      <c r="P304" s="88"/>
      <c r="Q304" s="88"/>
      <c r="R304" s="88"/>
      <c r="S304" s="88"/>
      <c r="T304" s="88"/>
      <c r="U304" s="88"/>
      <c r="V304" s="88"/>
      <c r="W304" s="88"/>
      <c r="X304" s="88"/>
      <c r="Y304" s="88"/>
      <c r="Z304" s="88"/>
      <c r="AA304" s="19"/>
      <c r="AB304" s="19"/>
      <c r="AC304" s="19"/>
      <c r="AD304" s="19"/>
      <c r="AE304" s="155"/>
      <c r="AF304" s="155"/>
      <c r="AG304" s="155"/>
      <c r="AH304" s="155"/>
      <c r="AI304" s="155"/>
      <c r="AJ304" s="155"/>
      <c r="AK304" s="155"/>
      <c r="AL304" s="155"/>
      <c r="AM304" s="155"/>
      <c r="AN304" s="155"/>
      <c r="AO304" s="155"/>
      <c r="AP304" s="155"/>
      <c r="AQ304" s="155"/>
    </row>
    <row r="305" spans="5:43" s="156" customFormat="1" ht="15" customHeight="1">
      <c r="E305" s="19" t="s">
        <v>749</v>
      </c>
      <c r="F305" s="19"/>
      <c r="G305" s="190" t="s">
        <v>657</v>
      </c>
      <c r="H305" s="19"/>
      <c r="I305" s="19"/>
      <c r="J305" s="88"/>
      <c r="K305" s="88"/>
      <c r="L305" s="88"/>
      <c r="M305" s="88"/>
      <c r="N305" s="88"/>
      <c r="O305" s="88"/>
      <c r="P305" s="88"/>
      <c r="Q305" s="88"/>
      <c r="R305" s="88"/>
      <c r="S305" s="88"/>
      <c r="T305" s="88"/>
      <c r="U305" s="88"/>
      <c r="V305" s="88"/>
      <c r="W305" s="88"/>
      <c r="X305" s="88"/>
      <c r="Y305" s="88"/>
      <c r="Z305" s="88"/>
      <c r="AA305" s="19"/>
      <c r="AB305" s="19"/>
      <c r="AC305" s="19"/>
      <c r="AD305" s="19"/>
      <c r="AE305" s="219">
        <f>CHOOSE(m_identity,ENWL!AE305, NPgN!AE305, NPgY!AE305, WMID!AE305, EMID!AE305, SWALES!AE305, SWEST!AE305, LPN!AE305,SPN!AE305,EPN!AE305,SPD!AE305,SPMW!AE305,SSEH!AE305,SSES!AE305)</f>
        <v>0</v>
      </c>
      <c r="AF305" s="219">
        <f>CHOOSE(m_identity,ENWL!AF305, NPgN!AF305, NPgY!AF305, WMID!AF305, EMID!AF305, SWALES!AF305, SWEST!AF305, LPN!AF305,SPN!AF305,EPN!AF305,SPD!AF305,SPMW!AF305,SSEH!AF305,SSES!AF305)</f>
        <v>0</v>
      </c>
      <c r="AG305" s="219">
        <f>CHOOSE(m_identity,ENWL!AG305, NPgN!AG305, NPgY!AG305, WMID!AG305, EMID!AG305, SWALES!AG305, SWEST!AG305, LPN!AG305,SPN!AG305,EPN!AG305,SPD!AG305,SPMW!AG305,SSEH!AG305,SSES!AG305)</f>
        <v>0</v>
      </c>
      <c r="AH305" s="219">
        <f>CHOOSE(m_identity,ENWL!AH305, NPgN!AH305, NPgY!AH305, WMID!AH305, EMID!AH305, SWALES!AH305, SWEST!AH305, LPN!AH305,SPN!AH305,EPN!AH305,SPD!AH305,SPMW!AH305,SSEH!AH305,SSES!AH305)</f>
        <v>0</v>
      </c>
      <c r="AI305" s="219">
        <f>CHOOSE(m_identity,ENWL!AI305, NPgN!AI305, NPgY!AI305, WMID!AI305, EMID!AI305, SWALES!AI305, SWEST!AI305, LPN!AI305,SPN!AI305,EPN!AI305,SPD!AI305,SPMW!AI305,SSEH!AI305,SSES!AI305)</f>
        <v>0</v>
      </c>
      <c r="AJ305" s="219">
        <f>CHOOSE(m_identity,ENWL!AJ305, NPgN!AJ305, NPgY!AJ305, WMID!AJ305, EMID!AJ305, SWALES!AJ305, SWEST!AJ305, LPN!AJ305,SPN!AJ305,EPN!AJ305,SPD!AJ305,SPMW!AJ305,SSEH!AJ305,SSES!AJ305)</f>
        <v>1.4</v>
      </c>
      <c r="AK305" s="219">
        <f>CHOOSE(m_identity,ENWL!AK305, NPgN!AK305, NPgY!AK305, WMID!AK305, EMID!AK305, SWALES!AK305, SWEST!AK305, LPN!AK305,SPN!AK305,EPN!AK305,SPD!AK305,SPMW!AK305,SSEH!AK305,SSES!AK305)</f>
        <v>1.4</v>
      </c>
      <c r="AL305" s="219">
        <f>CHOOSE(m_identity,ENWL!AL305, NPgN!AL305, NPgY!AL305, WMID!AL305, EMID!AL305, SWALES!AL305, SWEST!AL305, LPN!AL305,SPN!AL305,EPN!AL305,SPD!AL305,SPMW!AL305,SSEH!AL305,SSES!AL305)</f>
        <v>1.4</v>
      </c>
      <c r="AM305" s="219">
        <f>CHOOSE(m_identity,ENWL!AM305, NPgN!AM305, NPgY!AM305, WMID!AM305, EMID!AM305, SWALES!AM305, SWEST!AM305, LPN!AM305,SPN!AM305,EPN!AM305,SPD!AM305,SPMW!AM305,SSEH!AM305,SSES!AM305)</f>
        <v>1.4</v>
      </c>
      <c r="AN305" s="219">
        <f>CHOOSE(m_identity,ENWL!AN305, NPgN!AN305, NPgY!AN305, WMID!AN305, EMID!AN305, SWALES!AN305, SWEST!AN305, LPN!AN305,SPN!AN305,EPN!AN305,SPD!AN305,SPMW!AN305,SSEH!AN305,SSES!AN305)</f>
        <v>1.4</v>
      </c>
      <c r="AO305" s="219">
        <f>CHOOSE(m_identity,ENWL!AO305, NPgN!AO305, NPgY!AO305, WMID!AO305, EMID!AO305, SWALES!AO305, SWEST!AO305, LPN!AO305,SPN!AO305,EPN!AO305,SPD!AO305,SPMW!AO305,SSEH!AO305,SSES!AO305)</f>
        <v>1.4</v>
      </c>
      <c r="AP305" s="219">
        <f>CHOOSE(m_identity,ENWL!AP305, NPgN!AP305, NPgY!AP305, WMID!AP305, EMID!AP305, SWALES!AP305, SWEST!AP305, LPN!AP305,SPN!AP305,EPN!AP305,SPD!AP305,SPMW!AP305,SSEH!AP305,SSES!AP305)</f>
        <v>1.4</v>
      </c>
      <c r="AQ305" s="219">
        <f>CHOOSE(m_identity,ENWL!AQ305, NPgN!AQ305, NPgY!AQ305, WMID!AQ305, EMID!AQ305, SWALES!AQ305, SWEST!AQ305, LPN!AQ305,SPN!AQ305,EPN!AQ305,SPD!AQ305,SPMW!AQ305,SSEH!AQ305,SSES!AQ305)</f>
        <v>1.4</v>
      </c>
    </row>
    <row r="306" spans="5:43" s="156" customFormat="1" ht="15" customHeight="1">
      <c r="E306" s="19" t="s">
        <v>750</v>
      </c>
      <c r="F306" s="19"/>
      <c r="G306" s="190" t="s">
        <v>657</v>
      </c>
      <c r="H306" s="19"/>
      <c r="I306" s="19"/>
      <c r="J306" s="88"/>
      <c r="K306" s="88"/>
      <c r="L306" s="88"/>
      <c r="M306" s="88"/>
      <c r="N306" s="88"/>
      <c r="O306" s="88"/>
      <c r="P306" s="88"/>
      <c r="Q306" s="88"/>
      <c r="R306" s="88"/>
      <c r="S306" s="88"/>
      <c r="T306" s="88"/>
      <c r="U306" s="88"/>
      <c r="V306" s="88"/>
      <c r="W306" s="88"/>
      <c r="X306" s="88"/>
      <c r="Y306" s="88"/>
      <c r="Z306" s="88"/>
      <c r="AA306" s="19"/>
      <c r="AB306" s="19"/>
      <c r="AC306" s="19"/>
      <c r="AD306" s="19"/>
      <c r="AE306" s="219">
        <f>CHOOSE(m_identity,ENWL!AE306, NPgN!AE306, NPgY!AE306, WMID!AE306, EMID!AE306, SWALES!AE306, SWEST!AE306, LPN!AE306,SPN!AE306,EPN!AE306,SPD!AE306,SPMW!AE306,SSEH!AE306,SSES!AE306)</f>
        <v>0</v>
      </c>
      <c r="AF306" s="219">
        <f>CHOOSE(m_identity,ENWL!AF306, NPgN!AF306, NPgY!AF306, WMID!AF306, EMID!AF306, SWALES!AF306, SWEST!AF306, LPN!AF306,SPN!AF306,EPN!AF306,SPD!AF306,SPMW!AF306,SSEH!AF306,SSES!AF306)</f>
        <v>0</v>
      </c>
      <c r="AG306" s="219">
        <f>CHOOSE(m_identity,ENWL!AG306, NPgN!AG306, NPgY!AG306, WMID!AG306, EMID!AG306, SWALES!AG306, SWEST!AG306, LPN!AG306,SPN!AG306,EPN!AG306,SPD!AG306,SPMW!AG306,SSEH!AG306,SSES!AG306)</f>
        <v>0</v>
      </c>
      <c r="AH306" s="219">
        <f>CHOOSE(m_identity,ENWL!AH306, NPgN!AH306, NPgY!AH306, WMID!AH306, EMID!AH306, SWALES!AH306, SWEST!AH306, LPN!AH306,SPN!AH306,EPN!AH306,SPD!AH306,SPMW!AH306,SSEH!AH306,SSES!AH306)</f>
        <v>0</v>
      </c>
      <c r="AI306" s="219">
        <f>CHOOSE(m_identity,ENWL!AI306, NPgN!AI306, NPgY!AI306, WMID!AI306, EMID!AI306, SWALES!AI306, SWEST!AI306, LPN!AI306,SPN!AI306,EPN!AI306,SPD!AI306,SPMW!AI306,SSEH!AI306,SSES!AI306)</f>
        <v>0</v>
      </c>
      <c r="AJ306" s="219">
        <f>CHOOSE(m_identity,ENWL!AJ306, NPgN!AJ306, NPgY!AJ306, WMID!AJ306, EMID!AJ306, SWALES!AJ306, SWEST!AJ306, LPN!AJ306,SPN!AJ306,EPN!AJ306,SPD!AJ306,SPMW!AJ306,SSEH!AJ306,SSES!AJ306)</f>
        <v>-1.3238163695140619</v>
      </c>
      <c r="AK306" s="219">
        <f>CHOOSE(m_identity,ENWL!AK306, NPgN!AK306, NPgY!AK306, WMID!AK306, EMID!AK306, SWALES!AK306, SWEST!AK306, LPN!AK306,SPN!AK306,EPN!AK306,SPD!AK306,SPMW!AK306,SSEH!AK306,SSES!AK306)</f>
        <v>-1.3218251534544496</v>
      </c>
      <c r="AL306" s="219">
        <f>CHOOSE(m_identity,ENWL!AL306, NPgN!AL306, NPgY!AL306, WMID!AL306, EMID!AL306, SWALES!AL306, SWEST!AL306, LPN!AL306,SPN!AL306,EPN!AL306,SPD!AL306,SPMW!AL306,SSEH!AL306,SSES!AL306)</f>
        <v>-1.3198538495554335</v>
      </c>
      <c r="AM306" s="219">
        <f>CHOOSE(m_identity,ENWL!AM306, NPgN!AM306, NPgY!AM306, WMID!AM306, EMID!AM306, SWALES!AM306, SWEST!AM306, LPN!AM306,SPN!AM306,EPN!AM306,SPD!AM306,SPMW!AM306,SSEH!AM306,SSES!AM306)</f>
        <v>-1.3179022586954074</v>
      </c>
      <c r="AN306" s="219">
        <f>CHOOSE(m_identity,ENWL!AN306, NPgN!AN306, NPgY!AN306, WMID!AN306, EMID!AN306, SWALES!AN306, SWEST!AN306, LPN!AN306,SPN!AN306,EPN!AN306,SPD!AN306,SPMW!AN306,SSEH!AN306,SSES!AN306)</f>
        <v>-1.3159701837439817</v>
      </c>
      <c r="AO306" s="219">
        <f>CHOOSE(m_identity,ENWL!AO306, NPgN!AO306, NPgY!AO306, WMID!AO306, EMID!AO306, SWALES!AO306, SWEST!AO306, LPN!AO306,SPN!AO306,EPN!AO306,SPD!AO306,SPMW!AO306,SSEH!AO306,SSES!AO306)</f>
        <v>-1.3140574295420702</v>
      </c>
      <c r="AP306" s="219">
        <f>CHOOSE(m_identity,ENWL!AP306, NPgN!AP306, NPgY!AP306, WMID!AP306, EMID!AP306, SWALES!AP306, SWEST!AP306, LPN!AP306,SPN!AP306,EPN!AP306,SPD!AP306,SPMW!AP306,SSEH!AP306,SSES!AP306)</f>
        <v>-1.3121638028821778</v>
      </c>
      <c r="AQ306" s="219">
        <f>CHOOSE(m_identity,ENWL!AQ306, NPgN!AQ306, NPgY!AQ306, WMID!AQ306, EMID!AQ306, SWALES!AQ306, SWEST!AQ306, LPN!AQ306,SPN!AQ306,EPN!AQ306,SPD!AQ306,SPMW!AQ306,SSEH!AQ306,SSES!AQ306)</f>
        <v>-1.3102891124888845</v>
      </c>
    </row>
    <row r="307" spans="5:43" s="156" customFormat="1" ht="15" customHeight="1">
      <c r="E307" s="19" t="s">
        <v>751</v>
      </c>
      <c r="F307" s="19"/>
      <c r="G307" s="190" t="s">
        <v>657</v>
      </c>
      <c r="H307" s="19"/>
      <c r="I307" s="19"/>
      <c r="J307" s="88"/>
      <c r="K307" s="88"/>
      <c r="L307" s="88"/>
      <c r="M307" s="88"/>
      <c r="N307" s="88"/>
      <c r="O307" s="88"/>
      <c r="P307" s="88"/>
      <c r="Q307" s="88"/>
      <c r="R307" s="88"/>
      <c r="S307" s="88"/>
      <c r="T307" s="88"/>
      <c r="U307" s="88"/>
      <c r="V307" s="88"/>
      <c r="W307" s="88"/>
      <c r="X307" s="88"/>
      <c r="Y307" s="88"/>
      <c r="Z307" s="88"/>
      <c r="AA307" s="19"/>
      <c r="AB307" s="19"/>
      <c r="AC307" s="19"/>
      <c r="AD307" s="19"/>
      <c r="AE307" s="165">
        <f t="shared" ref="AE307:AI307" si="47">SUM(AE305,AE306)</f>
        <v>0</v>
      </c>
      <c r="AF307" s="165">
        <f t="shared" si="47"/>
        <v>0</v>
      </c>
      <c r="AG307" s="165">
        <f t="shared" si="47"/>
        <v>0</v>
      </c>
      <c r="AH307" s="165">
        <f t="shared" si="47"/>
        <v>0</v>
      </c>
      <c r="AI307" s="165">
        <f t="shared" si="47"/>
        <v>0</v>
      </c>
      <c r="AJ307" s="165">
        <f>SUM(AJ305,AJ306)</f>
        <v>7.6183630485938014E-2</v>
      </c>
      <c r="AK307" s="165">
        <f t="shared" ref="AK307" si="48">SUM(AK305,AK306)</f>
        <v>7.8174846545550292E-2</v>
      </c>
      <c r="AL307" s="165">
        <f t="shared" ref="AL307" si="49">SUM(AL305,AL306)</f>
        <v>8.0146150444566411E-2</v>
      </c>
      <c r="AM307" s="165">
        <f t="shared" ref="AM307" si="50">SUM(AM305,AM306)</f>
        <v>8.2097741304592464E-2</v>
      </c>
      <c r="AN307" s="165">
        <f t="shared" ref="AN307" si="51">SUM(AN305,AN306)</f>
        <v>8.4029816256018242E-2</v>
      </c>
      <c r="AO307" s="165">
        <f t="shared" ref="AO307" si="52">SUM(AO305,AO306)</f>
        <v>8.5942570457929746E-2</v>
      </c>
      <c r="AP307" s="165">
        <f t="shared" ref="AP307" si="53">SUM(AP305,AP306)</f>
        <v>8.783619711782209E-2</v>
      </c>
      <c r="AQ307" s="165">
        <f t="shared" ref="AQ307" si="54">SUM(AQ305,AQ306)</f>
        <v>8.9710887511115445E-2</v>
      </c>
    </row>
    <row r="308" spans="5:43" s="156" customFormat="1" ht="15" customHeight="1">
      <c r="E308" s="19"/>
      <c r="F308" s="19"/>
      <c r="G308" s="190"/>
      <c r="H308" s="19"/>
      <c r="I308" s="19"/>
      <c r="J308" s="88"/>
      <c r="K308" s="88"/>
      <c r="L308" s="88"/>
      <c r="M308" s="88"/>
      <c r="N308" s="88"/>
      <c r="O308" s="88"/>
      <c r="P308" s="88"/>
      <c r="Q308" s="88"/>
      <c r="R308" s="88"/>
      <c r="S308" s="88"/>
      <c r="T308" s="88"/>
      <c r="U308" s="88"/>
      <c r="V308" s="88"/>
      <c r="W308" s="88"/>
      <c r="X308" s="88"/>
      <c r="Y308" s="88"/>
      <c r="Z308" s="88"/>
      <c r="AA308" s="19"/>
      <c r="AB308" s="19"/>
      <c r="AC308" s="19"/>
      <c r="AD308" s="19"/>
      <c r="AE308" s="155"/>
      <c r="AF308" s="155"/>
      <c r="AG308" s="155"/>
      <c r="AH308" s="155"/>
      <c r="AI308" s="155"/>
      <c r="AJ308" s="155"/>
      <c r="AK308" s="155"/>
      <c r="AL308" s="155"/>
      <c r="AM308" s="155"/>
      <c r="AN308" s="155"/>
      <c r="AO308" s="155"/>
      <c r="AP308" s="155"/>
      <c r="AQ308" s="155"/>
    </row>
    <row r="309" spans="5:43" s="156" customFormat="1" ht="15" customHeight="1">
      <c r="E309" s="19" t="s">
        <v>752</v>
      </c>
      <c r="F309" s="19"/>
      <c r="G309" s="190" t="s">
        <v>657</v>
      </c>
      <c r="H309" s="378"/>
      <c r="I309" s="19"/>
      <c r="J309" s="88"/>
      <c r="K309" s="88"/>
      <c r="L309" s="88"/>
      <c r="M309" s="88"/>
      <c r="N309" s="88"/>
      <c r="O309" s="88"/>
      <c r="P309" s="88"/>
      <c r="Q309" s="88"/>
      <c r="R309" s="88"/>
      <c r="S309" s="88"/>
      <c r="T309" s="88"/>
      <c r="U309" s="88"/>
      <c r="V309" s="88"/>
      <c r="W309" s="88"/>
      <c r="X309" s="88"/>
      <c r="Y309" s="88"/>
      <c r="Z309" s="88"/>
      <c r="AA309" s="19"/>
      <c r="AB309" s="19"/>
      <c r="AC309" s="19"/>
      <c r="AD309" s="19"/>
      <c r="AE309" s="219">
        <f>CHOOSE(m_identity,ENWL!AE309, NPgN!AE309, NPgY!AE309, WMID!AE309, EMID!AE309, SWALES!AE309, SWEST!AE309, LPN!AE309,SPN!AE309,EPN!AE309,SPD!AE309,SPMW!AE309,SSEH!AE309,SSES!AE309)</f>
        <v>0</v>
      </c>
      <c r="AF309" s="219">
        <f>CHOOSE(m_identity,ENWL!AF309, NPgN!AF309, NPgY!AF309, WMID!AF309, EMID!AF309, SWALES!AF309, SWEST!AF309, LPN!AF309,SPN!AF309,EPN!AF309,SPD!AF309,SPMW!AF309,SSEH!AF309,SSES!AF309)</f>
        <v>0</v>
      </c>
      <c r="AG309" s="219">
        <f>CHOOSE(m_identity,ENWL!AG309, NPgN!AG309, NPgY!AG309, WMID!AG309, EMID!AG309, SWALES!AG309, SWEST!AG309, LPN!AG309,SPN!AG309,EPN!AG309,SPD!AG309,SPMW!AG309,SSEH!AG309,SSES!AG309)</f>
        <v>0</v>
      </c>
      <c r="AH309" s="219">
        <f>CHOOSE(m_identity,ENWL!AH309, NPgN!AH309, NPgY!AH309, WMID!AH309, EMID!AH309, SWALES!AH309, SWEST!AH309, LPN!AH309,SPN!AH309,EPN!AH309,SPD!AH309,SPMW!AH309,SSEH!AH309,SSES!AH309)</f>
        <v>0</v>
      </c>
      <c r="AI309" s="219">
        <f>CHOOSE(m_identity,ENWL!AI309, NPgN!AI309, NPgY!AI309, WMID!AI309, EMID!AI309, SWALES!AI309, SWEST!AI309, LPN!AI309,SPN!AI309,EPN!AI309,SPD!AI309,SPMW!AI309,SSEH!AI309,SSES!AI309)</f>
        <v>0</v>
      </c>
      <c r="AJ309" s="219">
        <f>CHOOSE(m_identity,ENWL!AJ309, NPgN!AJ309, NPgY!AJ309, WMID!AJ309, EMID!AJ309, SWALES!AJ309, SWEST!AJ309, LPN!AJ309,SPN!AJ309,EPN!AJ309,SPD!AJ309,SPMW!AJ309,SSEH!AJ309,SSES!AJ309)</f>
        <v>0</v>
      </c>
      <c r="AK309" s="219">
        <f>CHOOSE(m_identity,ENWL!AK309, NPgN!AK309, NPgY!AK309, WMID!AK309, EMID!AK309, SWALES!AK309, SWEST!AK309, LPN!AK309,SPN!AK309,EPN!AK309,SPD!AK309,SPMW!AK309,SSEH!AK309,SSES!AK309)</f>
        <v>0</v>
      </c>
      <c r="AL309" s="219">
        <f>CHOOSE(m_identity,ENWL!AL309, NPgN!AL309, NPgY!AL309, WMID!AL309, EMID!AL309, SWALES!AL309, SWEST!AL309, LPN!AL309,SPN!AL309,EPN!AL309,SPD!AL309,SPMW!AL309,SSEH!AL309,SSES!AL309)</f>
        <v>0</v>
      </c>
      <c r="AM309" s="219">
        <f>CHOOSE(m_identity,ENWL!AM309, NPgN!AM309, NPgY!AM309, WMID!AM309, EMID!AM309, SWALES!AM309, SWEST!AM309, LPN!AM309,SPN!AM309,EPN!AM309,SPD!AM309,SPMW!AM309,SSEH!AM309,SSES!AM309)</f>
        <v>0</v>
      </c>
      <c r="AN309" s="219">
        <f>CHOOSE(m_identity,ENWL!AN309, NPgN!AN309, NPgY!AN309, WMID!AN309, EMID!AN309, SWALES!AN309, SWEST!AN309, LPN!AN309,SPN!AN309,EPN!AN309,SPD!AN309,SPMW!AN309,SSEH!AN309,SSES!AN309)</f>
        <v>0</v>
      </c>
      <c r="AO309" s="219">
        <f>CHOOSE(m_identity,ENWL!AO309, NPgN!AO309, NPgY!AO309, WMID!AO309, EMID!AO309, SWALES!AO309, SWEST!AO309, LPN!AO309,SPN!AO309,EPN!AO309,SPD!AO309,SPMW!AO309,SSEH!AO309,SSES!AO309)</f>
        <v>0</v>
      </c>
      <c r="AP309" s="219">
        <f>CHOOSE(m_identity,ENWL!AP309, NPgN!AP309, NPgY!AP309, WMID!AP309, EMID!AP309, SWALES!AP309, SWEST!AP309, LPN!AP309,SPN!AP309,EPN!AP309,SPD!AP309,SPMW!AP309,SSEH!AP309,SSES!AP309)</f>
        <v>0</v>
      </c>
      <c r="AQ309" s="219">
        <f>CHOOSE(m_identity,ENWL!AQ309, NPgN!AQ309, NPgY!AQ309, WMID!AQ309, EMID!AQ309, SWALES!AQ309, SWEST!AQ309, LPN!AQ309,SPN!AQ309,EPN!AQ309,SPD!AQ309,SPMW!AQ309,SSEH!AQ309,SSES!AQ309)</f>
        <v>0</v>
      </c>
    </row>
    <row r="310" spans="5:43" s="156" customFormat="1" ht="15" customHeight="1">
      <c r="E310" s="19" t="s">
        <v>753</v>
      </c>
      <c r="F310" s="19"/>
      <c r="G310" s="190" t="s">
        <v>657</v>
      </c>
      <c r="H310" s="378"/>
      <c r="I310" s="19"/>
      <c r="J310" s="88"/>
      <c r="K310" s="88"/>
      <c r="L310" s="88"/>
      <c r="M310" s="88"/>
      <c r="N310" s="88"/>
      <c r="O310" s="88"/>
      <c r="P310" s="88"/>
      <c r="Q310" s="88"/>
      <c r="R310" s="88"/>
      <c r="S310" s="88"/>
      <c r="T310" s="88"/>
      <c r="U310" s="88"/>
      <c r="V310" s="88"/>
      <c r="W310" s="88"/>
      <c r="X310" s="88"/>
      <c r="Y310" s="88"/>
      <c r="Z310" s="88"/>
      <c r="AA310" s="19"/>
      <c r="AB310" s="19"/>
      <c r="AC310" s="19"/>
      <c r="AD310" s="19"/>
      <c r="AE310" s="219">
        <f>CHOOSE(m_identity,ENWL!AE310, NPgN!AE310, NPgY!AE310, WMID!AE310, EMID!AE310, SWALES!AE310, SWEST!AE310, LPN!AE310,SPN!AE310,EPN!AE310,SPD!AE310,SPMW!AE310,SSEH!AE310,SSES!AE310)</f>
        <v>0</v>
      </c>
      <c r="AF310" s="219">
        <f>CHOOSE(m_identity,ENWL!AF310, NPgN!AF310, NPgY!AF310, WMID!AF310, EMID!AF310, SWALES!AF310, SWEST!AF310, LPN!AF310,SPN!AF310,EPN!AF310,SPD!AF310,SPMW!AF310,SSEH!AF310,SSES!AF310)</f>
        <v>0</v>
      </c>
      <c r="AG310" s="219">
        <f>CHOOSE(m_identity,ENWL!AG310, NPgN!AG310, NPgY!AG310, WMID!AG310, EMID!AG310, SWALES!AG310, SWEST!AG310, LPN!AG310,SPN!AG310,EPN!AG310,SPD!AG310,SPMW!AG310,SSEH!AG310,SSES!AG310)</f>
        <v>0</v>
      </c>
      <c r="AH310" s="219">
        <f>CHOOSE(m_identity,ENWL!AH310, NPgN!AH310, NPgY!AH310, WMID!AH310, EMID!AH310, SWALES!AH310, SWEST!AH310, LPN!AH310,SPN!AH310,EPN!AH310,SPD!AH310,SPMW!AH310,SSEH!AH310,SSES!AH310)</f>
        <v>0</v>
      </c>
      <c r="AI310" s="219">
        <f>CHOOSE(m_identity,ENWL!AI310, NPgN!AI310, NPgY!AI310, WMID!AI310, EMID!AI310, SWALES!AI310, SWEST!AI310, LPN!AI310,SPN!AI310,EPN!AI310,SPD!AI310,SPMW!AI310,SSEH!AI310,SSES!AI310)</f>
        <v>0</v>
      </c>
      <c r="AJ310" s="219">
        <f>CHOOSE(m_identity,ENWL!AJ310, NPgN!AJ310, NPgY!AJ310, WMID!AJ310, EMID!AJ310, SWALES!AJ310, SWEST!AJ310, LPN!AJ310,SPN!AJ310,EPN!AJ310,SPD!AJ310,SPMW!AJ310,SSEH!AJ310,SSES!AJ310)</f>
        <v>0</v>
      </c>
      <c r="AK310" s="219">
        <f>CHOOSE(m_identity,ENWL!AK310, NPgN!AK310, NPgY!AK310, WMID!AK310, EMID!AK310, SWALES!AK310, SWEST!AK310, LPN!AK310,SPN!AK310,EPN!AK310,SPD!AK310,SPMW!AK310,SSEH!AK310,SSES!AK310)</f>
        <v>0</v>
      </c>
      <c r="AL310" s="219">
        <f>CHOOSE(m_identity,ENWL!AL310, NPgN!AL310, NPgY!AL310, WMID!AL310, EMID!AL310, SWALES!AL310, SWEST!AL310, LPN!AL310,SPN!AL310,EPN!AL310,SPD!AL310,SPMW!AL310,SSEH!AL310,SSES!AL310)</f>
        <v>0</v>
      </c>
      <c r="AM310" s="219">
        <f>CHOOSE(m_identity,ENWL!AM310, NPgN!AM310, NPgY!AM310, WMID!AM310, EMID!AM310, SWALES!AM310, SWEST!AM310, LPN!AM310,SPN!AM310,EPN!AM310,SPD!AM310,SPMW!AM310,SSEH!AM310,SSES!AM310)</f>
        <v>0</v>
      </c>
      <c r="AN310" s="219">
        <f>CHOOSE(m_identity,ENWL!AN310, NPgN!AN310, NPgY!AN310, WMID!AN310, EMID!AN310, SWALES!AN310, SWEST!AN310, LPN!AN310,SPN!AN310,EPN!AN310,SPD!AN310,SPMW!AN310,SSEH!AN310,SSES!AN310)</f>
        <v>0</v>
      </c>
      <c r="AO310" s="219">
        <f>CHOOSE(m_identity,ENWL!AO310, NPgN!AO310, NPgY!AO310, WMID!AO310, EMID!AO310, SWALES!AO310, SWEST!AO310, LPN!AO310,SPN!AO310,EPN!AO310,SPD!AO310,SPMW!AO310,SSEH!AO310,SSES!AO310)</f>
        <v>0</v>
      </c>
      <c r="AP310" s="219">
        <f>CHOOSE(m_identity,ENWL!AP310, NPgN!AP310, NPgY!AP310, WMID!AP310, EMID!AP310, SWALES!AP310, SWEST!AP310, LPN!AP310,SPN!AP310,EPN!AP310,SPD!AP310,SPMW!AP310,SSEH!AP310,SSES!AP310)</f>
        <v>0</v>
      </c>
      <c r="AQ310" s="219">
        <f>CHOOSE(m_identity,ENWL!AQ310, NPgN!AQ310, NPgY!AQ310, WMID!AQ310, EMID!AQ310, SWALES!AQ310, SWEST!AQ310, LPN!AQ310,SPN!AQ310,EPN!AQ310,SPD!AQ310,SPMW!AQ310,SSEH!AQ310,SSES!AQ310)</f>
        <v>0</v>
      </c>
    </row>
    <row r="311" spans="5:43" s="156" customFormat="1" ht="15" customHeight="1">
      <c r="E311" s="19" t="s">
        <v>754</v>
      </c>
      <c r="F311" s="19"/>
      <c r="G311" s="190" t="s">
        <v>657</v>
      </c>
      <c r="H311" s="19"/>
      <c r="I311" s="19"/>
      <c r="J311" s="88"/>
      <c r="K311" s="88"/>
      <c r="L311" s="88"/>
      <c r="M311" s="88"/>
      <c r="N311" s="88"/>
      <c r="O311" s="88"/>
      <c r="P311" s="88"/>
      <c r="Q311" s="88"/>
      <c r="R311" s="88"/>
      <c r="S311" s="88"/>
      <c r="T311" s="88"/>
      <c r="U311" s="88"/>
      <c r="V311" s="88"/>
      <c r="W311" s="88"/>
      <c r="X311" s="88"/>
      <c r="Y311" s="88"/>
      <c r="Z311" s="88"/>
      <c r="AA311" s="19"/>
      <c r="AB311" s="19"/>
      <c r="AC311" s="19"/>
      <c r="AD311" s="19"/>
      <c r="AE311" s="165">
        <f t="shared" ref="AE311:AI311" si="55">SUM(AE309,AE310)</f>
        <v>0</v>
      </c>
      <c r="AF311" s="165">
        <f t="shared" si="55"/>
        <v>0</v>
      </c>
      <c r="AG311" s="165">
        <f t="shared" si="55"/>
        <v>0</v>
      </c>
      <c r="AH311" s="165">
        <f t="shared" si="55"/>
        <v>0</v>
      </c>
      <c r="AI311" s="165">
        <f t="shared" si="55"/>
        <v>0</v>
      </c>
      <c r="AJ311" s="165">
        <f>SUM(AJ309,AJ310)</f>
        <v>0</v>
      </c>
      <c r="AK311" s="165">
        <f t="shared" ref="AK311" si="56">SUM(AK309,AK310)</f>
        <v>0</v>
      </c>
      <c r="AL311" s="165">
        <f t="shared" ref="AL311" si="57">SUM(AL309,AL310)</f>
        <v>0</v>
      </c>
      <c r="AM311" s="165">
        <f t="shared" ref="AM311" si="58">SUM(AM309,AM310)</f>
        <v>0</v>
      </c>
      <c r="AN311" s="165">
        <f t="shared" ref="AN311" si="59">SUM(AN309,AN310)</f>
        <v>0</v>
      </c>
      <c r="AO311" s="165">
        <f t="shared" ref="AO311" si="60">SUM(AO309,AO310)</f>
        <v>0</v>
      </c>
      <c r="AP311" s="165">
        <f t="shared" ref="AP311" si="61">SUM(AP309,AP310)</f>
        <v>0</v>
      </c>
      <c r="AQ311" s="165">
        <f t="shared" ref="AQ311" si="62">SUM(AQ309,AQ310)</f>
        <v>0</v>
      </c>
    </row>
    <row r="312" spans="5:43" s="156" customFormat="1" ht="15" customHeight="1">
      <c r="E312" s="19"/>
      <c r="F312" s="19"/>
      <c r="G312" s="190"/>
      <c r="H312" s="19"/>
      <c r="I312" s="19"/>
      <c r="J312" s="88"/>
      <c r="K312" s="88"/>
      <c r="L312" s="88"/>
      <c r="M312" s="88"/>
      <c r="N312" s="88"/>
      <c r="O312" s="88"/>
      <c r="P312" s="88"/>
      <c r="Q312" s="88"/>
      <c r="R312" s="88"/>
      <c r="S312" s="88"/>
      <c r="T312" s="88"/>
      <c r="U312" s="88"/>
      <c r="V312" s="88"/>
      <c r="W312" s="88"/>
      <c r="X312" s="88"/>
      <c r="Y312" s="88"/>
      <c r="Z312" s="88"/>
      <c r="AA312" s="19"/>
      <c r="AB312" s="19"/>
      <c r="AC312" s="19"/>
      <c r="AD312" s="19"/>
      <c r="AE312" s="155"/>
      <c r="AF312" s="155"/>
      <c r="AG312" s="155"/>
      <c r="AH312" s="155"/>
      <c r="AI312" s="155"/>
      <c r="AJ312" s="155"/>
      <c r="AK312" s="155"/>
      <c r="AL312" s="155"/>
      <c r="AM312" s="155"/>
      <c r="AN312" s="155"/>
      <c r="AO312" s="155"/>
      <c r="AP312" s="155"/>
      <c r="AQ312" s="155"/>
    </row>
    <row r="313" spans="5:43" s="156" customFormat="1" ht="15" customHeight="1">
      <c r="E313" s="19" t="s">
        <v>755</v>
      </c>
      <c r="F313" s="19"/>
      <c r="G313" s="190" t="s">
        <v>657</v>
      </c>
      <c r="H313" s="19"/>
      <c r="I313" s="19"/>
      <c r="J313" s="88"/>
      <c r="K313" s="88"/>
      <c r="L313" s="88"/>
      <c r="M313" s="88"/>
      <c r="N313" s="88"/>
      <c r="O313" s="88"/>
      <c r="P313" s="88"/>
      <c r="Q313" s="88"/>
      <c r="R313" s="88"/>
      <c r="S313" s="88"/>
      <c r="T313" s="88"/>
      <c r="U313" s="88"/>
      <c r="V313" s="88"/>
      <c r="W313" s="88"/>
      <c r="X313" s="88"/>
      <c r="Y313" s="88"/>
      <c r="Z313" s="88"/>
      <c r="AA313" s="19"/>
      <c r="AB313" s="19"/>
      <c r="AC313" s="19"/>
      <c r="AD313" s="19"/>
      <c r="AE313" s="219">
        <f>CHOOSE(m_identity,ENWL!AE313, NPgN!AE313, NPgY!AE313, WMID!AE313, EMID!AE313, SWALES!AE313, SWEST!AE313, LPN!AE313,SPN!AE313,EPN!AE313,SPD!AE313,SPMW!AE313,SSEH!AE313,SSES!AE313)</f>
        <v>0</v>
      </c>
      <c r="AF313" s="219">
        <f>CHOOSE(m_identity,ENWL!AF313, NPgN!AF313, NPgY!AF313, WMID!AF313, EMID!AF313, SWALES!AF313, SWEST!AF313, LPN!AF313,SPN!AF313,EPN!AF313,SPD!AF313,SPMW!AF313,SSEH!AF313,SSES!AF313)</f>
        <v>0</v>
      </c>
      <c r="AG313" s="219">
        <f>CHOOSE(m_identity,ENWL!AG313, NPgN!AG313, NPgY!AG313, WMID!AG313, EMID!AG313, SWALES!AG313, SWEST!AG313, LPN!AG313,SPN!AG313,EPN!AG313,SPD!AG313,SPMW!AG313,SSEH!AG313,SSES!AG313)</f>
        <v>0</v>
      </c>
      <c r="AH313" s="219">
        <f>CHOOSE(m_identity,ENWL!AH313, NPgN!AH313, NPgY!AH313, WMID!AH313, EMID!AH313, SWALES!AH313, SWEST!AH313, LPN!AH313,SPN!AH313,EPN!AH313,SPD!AH313,SPMW!AH313,SSEH!AH313,SSES!AH313)</f>
        <v>0</v>
      </c>
      <c r="AI313" s="219">
        <f>CHOOSE(m_identity,ENWL!AI313, NPgN!AI313, NPgY!AI313, WMID!AI313, EMID!AI313, SWALES!AI313, SWEST!AI313, LPN!AI313,SPN!AI313,EPN!AI313,SPD!AI313,SPMW!AI313,SSEH!AI313,SSES!AI313)</f>
        <v>0</v>
      </c>
      <c r="AJ313" s="219">
        <f>CHOOSE(m_identity,ENWL!AJ313, NPgN!AJ313, NPgY!AJ313, WMID!AJ313, EMID!AJ313, SWALES!AJ313, SWEST!AJ313, LPN!AJ313,SPN!AJ313,EPN!AJ313,SPD!AJ313,SPMW!AJ313,SSEH!AJ313,SSES!AJ313)</f>
        <v>0</v>
      </c>
      <c r="AK313" s="219">
        <f>CHOOSE(m_identity,ENWL!AK313, NPgN!AK313, NPgY!AK313, WMID!AK313, EMID!AK313, SWALES!AK313, SWEST!AK313, LPN!AK313,SPN!AK313,EPN!AK313,SPD!AK313,SPMW!AK313,SSEH!AK313,SSES!AK313)</f>
        <v>0</v>
      </c>
      <c r="AL313" s="219">
        <f>CHOOSE(m_identity,ENWL!AL313, NPgN!AL313, NPgY!AL313, WMID!AL313, EMID!AL313, SWALES!AL313, SWEST!AL313, LPN!AL313,SPN!AL313,EPN!AL313,SPD!AL313,SPMW!AL313,SSEH!AL313,SSES!AL313)</f>
        <v>0</v>
      </c>
      <c r="AM313" s="219">
        <f>CHOOSE(m_identity,ENWL!AM313, NPgN!AM313, NPgY!AM313, WMID!AM313, EMID!AM313, SWALES!AM313, SWEST!AM313, LPN!AM313,SPN!AM313,EPN!AM313,SPD!AM313,SPMW!AM313,SSEH!AM313,SSES!AM313)</f>
        <v>0</v>
      </c>
      <c r="AN313" s="219">
        <f>CHOOSE(m_identity,ENWL!AN313, NPgN!AN313, NPgY!AN313, WMID!AN313, EMID!AN313, SWALES!AN313, SWEST!AN313, LPN!AN313,SPN!AN313,EPN!AN313,SPD!AN313,SPMW!AN313,SSEH!AN313,SSES!AN313)</f>
        <v>0</v>
      </c>
      <c r="AO313" s="219">
        <f>CHOOSE(m_identity,ENWL!AO313, NPgN!AO313, NPgY!AO313, WMID!AO313, EMID!AO313, SWALES!AO313, SWEST!AO313, LPN!AO313,SPN!AO313,EPN!AO313,SPD!AO313,SPMW!AO313,SSEH!AO313,SSES!AO313)</f>
        <v>0</v>
      </c>
      <c r="AP313" s="219">
        <f>CHOOSE(m_identity,ENWL!AP313, NPgN!AP313, NPgY!AP313, WMID!AP313, EMID!AP313, SWALES!AP313, SWEST!AP313, LPN!AP313,SPN!AP313,EPN!AP313,SPD!AP313,SPMW!AP313,SSEH!AP313,SSES!AP313)</f>
        <v>0</v>
      </c>
      <c r="AQ313" s="219">
        <f>CHOOSE(m_identity,ENWL!AQ313, NPgN!AQ313, NPgY!AQ313, WMID!AQ313, EMID!AQ313, SWALES!AQ313, SWEST!AQ313, LPN!AQ313,SPN!AQ313,EPN!AQ313,SPD!AQ313,SPMW!AQ313,SSEH!AQ313,SSES!AQ313)</f>
        <v>0</v>
      </c>
    </row>
    <row r="314" spans="5:43" s="156" customFormat="1" ht="15" customHeight="1">
      <c r="E314" s="19" t="s">
        <v>756</v>
      </c>
      <c r="F314" s="19"/>
      <c r="G314" s="190" t="s">
        <v>657</v>
      </c>
      <c r="H314" s="19"/>
      <c r="I314" s="19"/>
      <c r="J314" s="88"/>
      <c r="K314" s="88"/>
      <c r="L314" s="88"/>
      <c r="M314" s="88"/>
      <c r="N314" s="88"/>
      <c r="O314" s="88"/>
      <c r="P314" s="88"/>
      <c r="Q314" s="88"/>
      <c r="R314" s="88"/>
      <c r="S314" s="88"/>
      <c r="T314" s="88"/>
      <c r="U314" s="88"/>
      <c r="V314" s="88"/>
      <c r="W314" s="88"/>
      <c r="X314" s="88"/>
      <c r="Y314" s="88"/>
      <c r="Z314" s="88"/>
      <c r="AA314" s="19"/>
      <c r="AB314" s="19"/>
      <c r="AC314" s="19"/>
      <c r="AD314" s="19"/>
      <c r="AE314" s="219">
        <f>CHOOSE(m_identity,ENWL!AE314, NPgN!AE314, NPgY!AE314, WMID!AE314, EMID!AE314, SWALES!AE314, SWEST!AE314, LPN!AE314,SPN!AE314,EPN!AE314,SPD!AE314,SPMW!AE314,SSEH!AE314,SSES!AE314)</f>
        <v>0</v>
      </c>
      <c r="AF314" s="219">
        <f>CHOOSE(m_identity,ENWL!AF314, NPgN!AF314, NPgY!AF314, WMID!AF314, EMID!AF314, SWALES!AF314, SWEST!AF314, LPN!AF314,SPN!AF314,EPN!AF314,SPD!AF314,SPMW!AF314,SSEH!AF314,SSES!AF314)</f>
        <v>0</v>
      </c>
      <c r="AG314" s="219">
        <f>CHOOSE(m_identity,ENWL!AG314, NPgN!AG314, NPgY!AG314, WMID!AG314, EMID!AG314, SWALES!AG314, SWEST!AG314, LPN!AG314,SPN!AG314,EPN!AG314,SPD!AG314,SPMW!AG314,SSEH!AG314,SSES!AG314)</f>
        <v>0</v>
      </c>
      <c r="AH314" s="219">
        <f>CHOOSE(m_identity,ENWL!AH314, NPgN!AH314, NPgY!AH314, WMID!AH314, EMID!AH314, SWALES!AH314, SWEST!AH314, LPN!AH314,SPN!AH314,EPN!AH314,SPD!AH314,SPMW!AH314,SSEH!AH314,SSES!AH314)</f>
        <v>0</v>
      </c>
      <c r="AI314" s="219">
        <f>CHOOSE(m_identity,ENWL!AI314, NPgN!AI314, NPgY!AI314, WMID!AI314, EMID!AI314, SWALES!AI314, SWEST!AI314, LPN!AI314,SPN!AI314,EPN!AI314,SPD!AI314,SPMW!AI314,SSEH!AI314,SSES!AI314)</f>
        <v>0</v>
      </c>
      <c r="AJ314" s="219">
        <f>CHOOSE(m_identity,ENWL!AJ314, NPgN!AJ314, NPgY!AJ314, WMID!AJ314, EMID!AJ314, SWALES!AJ314, SWEST!AJ314, LPN!AJ314,SPN!AJ314,EPN!AJ314,SPD!AJ314,SPMW!AJ314,SSEH!AJ314,SSES!AJ314)</f>
        <v>0</v>
      </c>
      <c r="AK314" s="219">
        <f>CHOOSE(m_identity,ENWL!AK314, NPgN!AK314, NPgY!AK314, WMID!AK314, EMID!AK314, SWALES!AK314, SWEST!AK314, LPN!AK314,SPN!AK314,EPN!AK314,SPD!AK314,SPMW!AK314,SSEH!AK314,SSES!AK314)</f>
        <v>0</v>
      </c>
      <c r="AL314" s="219">
        <f>CHOOSE(m_identity,ENWL!AL314, NPgN!AL314, NPgY!AL314, WMID!AL314, EMID!AL314, SWALES!AL314, SWEST!AL314, LPN!AL314,SPN!AL314,EPN!AL314,SPD!AL314,SPMW!AL314,SSEH!AL314,SSES!AL314)</f>
        <v>0</v>
      </c>
      <c r="AM314" s="219">
        <f>CHOOSE(m_identity,ENWL!AM314, NPgN!AM314, NPgY!AM314, WMID!AM314, EMID!AM314, SWALES!AM314, SWEST!AM314, LPN!AM314,SPN!AM314,EPN!AM314,SPD!AM314,SPMW!AM314,SSEH!AM314,SSES!AM314)</f>
        <v>0</v>
      </c>
      <c r="AN314" s="219">
        <f>CHOOSE(m_identity,ENWL!AN314, NPgN!AN314, NPgY!AN314, WMID!AN314, EMID!AN314, SWALES!AN314, SWEST!AN314, LPN!AN314,SPN!AN314,EPN!AN314,SPD!AN314,SPMW!AN314,SSEH!AN314,SSES!AN314)</f>
        <v>0</v>
      </c>
      <c r="AO314" s="219">
        <f>CHOOSE(m_identity,ENWL!AO314, NPgN!AO314, NPgY!AO314, WMID!AO314, EMID!AO314, SWALES!AO314, SWEST!AO314, LPN!AO314,SPN!AO314,EPN!AO314,SPD!AO314,SPMW!AO314,SSEH!AO314,SSES!AO314)</f>
        <v>0</v>
      </c>
      <c r="AP314" s="219">
        <f>CHOOSE(m_identity,ENWL!AP314, NPgN!AP314, NPgY!AP314, WMID!AP314, EMID!AP314, SWALES!AP314, SWEST!AP314, LPN!AP314,SPN!AP314,EPN!AP314,SPD!AP314,SPMW!AP314,SSEH!AP314,SSES!AP314)</f>
        <v>0</v>
      </c>
      <c r="AQ314" s="219">
        <f>CHOOSE(m_identity,ENWL!AQ314, NPgN!AQ314, NPgY!AQ314, WMID!AQ314, EMID!AQ314, SWALES!AQ314, SWEST!AQ314, LPN!AQ314,SPN!AQ314,EPN!AQ314,SPD!AQ314,SPMW!AQ314,SSEH!AQ314,SSES!AQ314)</f>
        <v>0</v>
      </c>
    </row>
    <row r="315" spans="5:43" s="156" customFormat="1" ht="15" customHeight="1">
      <c r="E315" s="19" t="s">
        <v>757</v>
      </c>
      <c r="F315" s="19"/>
      <c r="G315" s="190" t="s">
        <v>657</v>
      </c>
      <c r="H315" s="19"/>
      <c r="I315" s="19"/>
      <c r="J315" s="88"/>
      <c r="K315" s="88"/>
      <c r="L315" s="88"/>
      <c r="M315" s="88"/>
      <c r="N315" s="88"/>
      <c r="O315" s="88"/>
      <c r="P315" s="88"/>
      <c r="Q315" s="88"/>
      <c r="R315" s="88"/>
      <c r="S315" s="88"/>
      <c r="T315" s="88"/>
      <c r="U315" s="88"/>
      <c r="V315" s="88"/>
      <c r="W315" s="88"/>
      <c r="X315" s="88"/>
      <c r="Y315" s="88"/>
      <c r="Z315" s="88"/>
      <c r="AA315" s="19"/>
      <c r="AB315" s="19"/>
      <c r="AC315" s="19"/>
      <c r="AD315" s="19"/>
      <c r="AE315" s="165">
        <f t="shared" ref="AE315:AI315" si="63">SUM(AE313,AE314)</f>
        <v>0</v>
      </c>
      <c r="AF315" s="165">
        <f t="shared" si="63"/>
        <v>0</v>
      </c>
      <c r="AG315" s="165">
        <f t="shared" si="63"/>
        <v>0</v>
      </c>
      <c r="AH315" s="165">
        <f t="shared" si="63"/>
        <v>0</v>
      </c>
      <c r="AI315" s="165">
        <f t="shared" si="63"/>
        <v>0</v>
      </c>
      <c r="AJ315" s="165">
        <f>SUM(AJ313,AJ314)</f>
        <v>0</v>
      </c>
      <c r="AK315" s="165">
        <f t="shared" ref="AK315" si="64">SUM(AK313,AK314)</f>
        <v>0</v>
      </c>
      <c r="AL315" s="165">
        <f t="shared" ref="AL315" si="65">SUM(AL313,AL314)</f>
        <v>0</v>
      </c>
      <c r="AM315" s="165">
        <f t="shared" ref="AM315" si="66">SUM(AM313,AM314)</f>
        <v>0</v>
      </c>
      <c r="AN315" s="165">
        <f t="shared" ref="AN315" si="67">SUM(AN313,AN314)</f>
        <v>0</v>
      </c>
      <c r="AO315" s="165">
        <f t="shared" ref="AO315" si="68">SUM(AO313,AO314)</f>
        <v>0</v>
      </c>
      <c r="AP315" s="165">
        <f t="shared" ref="AP315" si="69">SUM(AP313,AP314)</f>
        <v>0</v>
      </c>
      <c r="AQ315" s="165">
        <f t="shared" ref="AQ315" si="70">SUM(AQ313,AQ314)</f>
        <v>0</v>
      </c>
    </row>
    <row r="316" spans="5:43" s="156" customFormat="1" ht="15" customHeight="1">
      <c r="E316" s="19"/>
      <c r="F316" s="19"/>
      <c r="G316" s="190"/>
      <c r="H316" s="19"/>
      <c r="I316" s="19"/>
      <c r="J316" s="88"/>
      <c r="K316" s="88"/>
      <c r="L316" s="88"/>
      <c r="M316" s="88"/>
      <c r="N316" s="88"/>
      <c r="O316" s="88"/>
      <c r="P316" s="88"/>
      <c r="Q316" s="88"/>
      <c r="R316" s="88"/>
      <c r="S316" s="88"/>
      <c r="T316" s="88"/>
      <c r="U316" s="88"/>
      <c r="V316" s="88"/>
      <c r="W316" s="88"/>
      <c r="X316" s="88"/>
      <c r="Y316" s="88"/>
      <c r="Z316" s="88"/>
      <c r="AA316" s="19"/>
      <c r="AB316" s="19"/>
      <c r="AC316" s="19"/>
      <c r="AD316" s="19"/>
      <c r="AE316" s="155"/>
      <c r="AF316" s="155"/>
      <c r="AG316" s="155"/>
      <c r="AH316" s="155"/>
      <c r="AI316" s="155"/>
      <c r="AJ316" s="155"/>
      <c r="AK316" s="155"/>
      <c r="AL316" s="155"/>
      <c r="AM316" s="155"/>
      <c r="AN316" s="155"/>
      <c r="AO316" s="155"/>
      <c r="AP316" s="155"/>
      <c r="AQ316" s="155"/>
    </row>
    <row r="317" spans="5:43" s="156" customFormat="1" ht="15" customHeight="1">
      <c r="E317" s="19" t="s">
        <v>758</v>
      </c>
      <c r="F317" s="19"/>
      <c r="G317" s="190" t="s">
        <v>657</v>
      </c>
      <c r="H317" s="19"/>
      <c r="I317" s="19"/>
      <c r="J317" s="88"/>
      <c r="K317" s="88"/>
      <c r="L317" s="88"/>
      <c r="M317" s="88"/>
      <c r="N317" s="88"/>
      <c r="O317" s="88"/>
      <c r="P317" s="88"/>
      <c r="Q317" s="88"/>
      <c r="R317" s="88"/>
      <c r="S317" s="88"/>
      <c r="T317" s="88"/>
      <c r="U317" s="88"/>
      <c r="V317" s="88"/>
      <c r="W317" s="88"/>
      <c r="X317" s="88"/>
      <c r="Y317" s="88"/>
      <c r="Z317" s="88"/>
      <c r="AA317" s="19"/>
      <c r="AB317" s="19"/>
      <c r="AC317" s="19"/>
      <c r="AD317" s="19"/>
      <c r="AE317" s="219">
        <f>CHOOSE(m_identity,ENWL!AE317, NPgN!AE317, NPgY!AE317, WMID!AE317, EMID!AE317, SWALES!AE317, SWEST!AE317, LPN!AE317,SPN!AE317,EPN!AE317,SPD!AE317,SPMW!AE317,SSEH!AE317,SSES!AE317)</f>
        <v>0</v>
      </c>
      <c r="AF317" s="219">
        <f>CHOOSE(m_identity,ENWL!AF317, NPgN!AF317, NPgY!AF317, WMID!AF317, EMID!AF317, SWALES!AF317, SWEST!AF317, LPN!AF317,SPN!AF317,EPN!AF317,SPD!AF317,SPMW!AF317,SSEH!AF317,SSES!AF317)</f>
        <v>0</v>
      </c>
      <c r="AG317" s="219">
        <f>CHOOSE(m_identity,ENWL!AG317, NPgN!AG317, NPgY!AG317, WMID!AG317, EMID!AG317, SWALES!AG317, SWEST!AG317, LPN!AG317,SPN!AG317,EPN!AG317,SPD!AG317,SPMW!AG317,SSEH!AG317,SSES!AG317)</f>
        <v>0</v>
      </c>
      <c r="AH317" s="219">
        <f>CHOOSE(m_identity,ENWL!AH317, NPgN!AH317, NPgY!AH317, WMID!AH317, EMID!AH317, SWALES!AH317, SWEST!AH317, LPN!AH317,SPN!AH317,EPN!AH317,SPD!AH317,SPMW!AH317,SSEH!AH317,SSES!AH317)</f>
        <v>0</v>
      </c>
      <c r="AI317" s="219">
        <f>CHOOSE(m_identity,ENWL!AI317, NPgN!AI317, NPgY!AI317, WMID!AI317, EMID!AI317, SWALES!AI317, SWEST!AI317, LPN!AI317,SPN!AI317,EPN!AI317,SPD!AI317,SPMW!AI317,SSEH!AI317,SSES!AI317)</f>
        <v>0</v>
      </c>
      <c r="AJ317" s="219">
        <f>CHOOSE(m_identity,ENWL!AJ317, NPgN!AJ317, NPgY!AJ317, WMID!AJ317, EMID!AJ317, SWALES!AJ317, SWEST!AJ317, LPN!AJ317,SPN!AJ317,EPN!AJ317,SPD!AJ317,SPMW!AJ317,SSEH!AJ317,SSES!AJ317)</f>
        <v>0</v>
      </c>
      <c r="AK317" s="219">
        <f>CHOOSE(m_identity,ENWL!AK317, NPgN!AK317, NPgY!AK317, WMID!AK317, EMID!AK317, SWALES!AK317, SWEST!AK317, LPN!AK317,SPN!AK317,EPN!AK317,SPD!AK317,SPMW!AK317,SSEH!AK317,SSES!AK317)</f>
        <v>0</v>
      </c>
      <c r="AL317" s="219">
        <f>CHOOSE(m_identity,ENWL!AL317, NPgN!AL317, NPgY!AL317, WMID!AL317, EMID!AL317, SWALES!AL317, SWEST!AL317, LPN!AL317,SPN!AL317,EPN!AL317,SPD!AL317,SPMW!AL317,SSEH!AL317,SSES!AL317)</f>
        <v>0</v>
      </c>
      <c r="AM317" s="219">
        <f>CHOOSE(m_identity,ENWL!AM317, NPgN!AM317, NPgY!AM317, WMID!AM317, EMID!AM317, SWALES!AM317, SWEST!AM317, LPN!AM317,SPN!AM317,EPN!AM317,SPD!AM317,SPMW!AM317,SSEH!AM317,SSES!AM317)</f>
        <v>0</v>
      </c>
      <c r="AN317" s="219">
        <f>CHOOSE(m_identity,ENWL!AN317, NPgN!AN317, NPgY!AN317, WMID!AN317, EMID!AN317, SWALES!AN317, SWEST!AN317, LPN!AN317,SPN!AN317,EPN!AN317,SPD!AN317,SPMW!AN317,SSEH!AN317,SSES!AN317)</f>
        <v>0</v>
      </c>
      <c r="AO317" s="219">
        <f>CHOOSE(m_identity,ENWL!AO317, NPgN!AO317, NPgY!AO317, WMID!AO317, EMID!AO317, SWALES!AO317, SWEST!AO317, LPN!AO317,SPN!AO317,EPN!AO317,SPD!AO317,SPMW!AO317,SSEH!AO317,SSES!AO317)</f>
        <v>0</v>
      </c>
      <c r="AP317" s="219">
        <f>CHOOSE(m_identity,ENWL!AP317, NPgN!AP317, NPgY!AP317, WMID!AP317, EMID!AP317, SWALES!AP317, SWEST!AP317, LPN!AP317,SPN!AP317,EPN!AP317,SPD!AP317,SPMW!AP317,SSEH!AP317,SSES!AP317)</f>
        <v>0</v>
      </c>
      <c r="AQ317" s="219">
        <f>CHOOSE(m_identity,ENWL!AQ317, NPgN!AQ317, NPgY!AQ317, WMID!AQ317, EMID!AQ317, SWALES!AQ317, SWEST!AQ317, LPN!AQ317,SPN!AQ317,EPN!AQ317,SPD!AQ317,SPMW!AQ317,SSEH!AQ317,SSES!AQ317)</f>
        <v>0</v>
      </c>
    </row>
    <row r="318" spans="5:43" s="156" customFormat="1" ht="15" customHeight="1">
      <c r="E318" s="19" t="s">
        <v>759</v>
      </c>
      <c r="F318" s="19"/>
      <c r="G318" s="190" t="s">
        <v>657</v>
      </c>
      <c r="H318" s="19"/>
      <c r="I318" s="19"/>
      <c r="J318" s="88"/>
      <c r="K318" s="88"/>
      <c r="L318" s="88"/>
      <c r="M318" s="88"/>
      <c r="N318" s="88"/>
      <c r="O318" s="88"/>
      <c r="P318" s="88"/>
      <c r="Q318" s="88"/>
      <c r="R318" s="88"/>
      <c r="S318" s="88"/>
      <c r="T318" s="88"/>
      <c r="U318" s="88"/>
      <c r="V318" s="88"/>
      <c r="W318" s="88"/>
      <c r="X318" s="88"/>
      <c r="Y318" s="88"/>
      <c r="Z318" s="88"/>
      <c r="AA318" s="19"/>
      <c r="AB318" s="19"/>
      <c r="AC318" s="19"/>
      <c r="AD318" s="19"/>
      <c r="AE318" s="219">
        <f>CHOOSE(m_identity,ENWL!AE318, NPgN!AE318, NPgY!AE318, WMID!AE318, EMID!AE318, SWALES!AE318, SWEST!AE318, LPN!AE318,SPN!AE318,EPN!AE318,SPD!AE318,SPMW!AE318,SSEH!AE318,SSES!AE318)</f>
        <v>0</v>
      </c>
      <c r="AF318" s="219">
        <f>CHOOSE(m_identity,ENWL!AF318, NPgN!AF318, NPgY!AF318, WMID!AF318, EMID!AF318, SWALES!AF318, SWEST!AF318, LPN!AF318,SPN!AF318,EPN!AF318,SPD!AF318,SPMW!AF318,SSEH!AF318,SSES!AF318)</f>
        <v>0</v>
      </c>
      <c r="AG318" s="219">
        <f>CHOOSE(m_identity,ENWL!AG318, NPgN!AG318, NPgY!AG318, WMID!AG318, EMID!AG318, SWALES!AG318, SWEST!AG318, LPN!AG318,SPN!AG318,EPN!AG318,SPD!AG318,SPMW!AG318,SSEH!AG318,SSES!AG318)</f>
        <v>0</v>
      </c>
      <c r="AH318" s="219">
        <f>CHOOSE(m_identity,ENWL!AH318, NPgN!AH318, NPgY!AH318, WMID!AH318, EMID!AH318, SWALES!AH318, SWEST!AH318, LPN!AH318,SPN!AH318,EPN!AH318,SPD!AH318,SPMW!AH318,SSEH!AH318,SSES!AH318)</f>
        <v>0</v>
      </c>
      <c r="AI318" s="219">
        <f>CHOOSE(m_identity,ENWL!AI318, NPgN!AI318, NPgY!AI318, WMID!AI318, EMID!AI318, SWALES!AI318, SWEST!AI318, LPN!AI318,SPN!AI318,EPN!AI318,SPD!AI318,SPMW!AI318,SSEH!AI318,SSES!AI318)</f>
        <v>0</v>
      </c>
      <c r="AJ318" s="219">
        <f>CHOOSE(m_identity,ENWL!AJ318, NPgN!AJ318, NPgY!AJ318, WMID!AJ318, EMID!AJ318, SWALES!AJ318, SWEST!AJ318, LPN!AJ318,SPN!AJ318,EPN!AJ318,SPD!AJ318,SPMW!AJ318,SSEH!AJ318,SSES!AJ318)</f>
        <v>0</v>
      </c>
      <c r="AK318" s="219">
        <f>CHOOSE(m_identity,ENWL!AK318, NPgN!AK318, NPgY!AK318, WMID!AK318, EMID!AK318, SWALES!AK318, SWEST!AK318, LPN!AK318,SPN!AK318,EPN!AK318,SPD!AK318,SPMW!AK318,SSEH!AK318,SSES!AK318)</f>
        <v>0</v>
      </c>
      <c r="AL318" s="219">
        <f>CHOOSE(m_identity,ENWL!AL318, NPgN!AL318, NPgY!AL318, WMID!AL318, EMID!AL318, SWALES!AL318, SWEST!AL318, LPN!AL318,SPN!AL318,EPN!AL318,SPD!AL318,SPMW!AL318,SSEH!AL318,SSES!AL318)</f>
        <v>0</v>
      </c>
      <c r="AM318" s="219">
        <f>CHOOSE(m_identity,ENWL!AM318, NPgN!AM318, NPgY!AM318, WMID!AM318, EMID!AM318, SWALES!AM318, SWEST!AM318, LPN!AM318,SPN!AM318,EPN!AM318,SPD!AM318,SPMW!AM318,SSEH!AM318,SSES!AM318)</f>
        <v>0</v>
      </c>
      <c r="AN318" s="219">
        <f>CHOOSE(m_identity,ENWL!AN318, NPgN!AN318, NPgY!AN318, WMID!AN318, EMID!AN318, SWALES!AN318, SWEST!AN318, LPN!AN318,SPN!AN318,EPN!AN318,SPD!AN318,SPMW!AN318,SSEH!AN318,SSES!AN318)</f>
        <v>0</v>
      </c>
      <c r="AO318" s="219">
        <f>CHOOSE(m_identity,ENWL!AO318, NPgN!AO318, NPgY!AO318, WMID!AO318, EMID!AO318, SWALES!AO318, SWEST!AO318, LPN!AO318,SPN!AO318,EPN!AO318,SPD!AO318,SPMW!AO318,SSEH!AO318,SSES!AO318)</f>
        <v>0</v>
      </c>
      <c r="AP318" s="219">
        <f>CHOOSE(m_identity,ENWL!AP318, NPgN!AP318, NPgY!AP318, WMID!AP318, EMID!AP318, SWALES!AP318, SWEST!AP318, LPN!AP318,SPN!AP318,EPN!AP318,SPD!AP318,SPMW!AP318,SSEH!AP318,SSES!AP318)</f>
        <v>0</v>
      </c>
      <c r="AQ318" s="219">
        <f>CHOOSE(m_identity,ENWL!AQ318, NPgN!AQ318, NPgY!AQ318, WMID!AQ318, EMID!AQ318, SWALES!AQ318, SWEST!AQ318, LPN!AQ318,SPN!AQ318,EPN!AQ318,SPD!AQ318,SPMW!AQ318,SSEH!AQ318,SSES!AQ318)</f>
        <v>0</v>
      </c>
    </row>
    <row r="319" spans="5:43" s="156" customFormat="1" ht="15" customHeight="1">
      <c r="E319" s="19" t="s">
        <v>760</v>
      </c>
      <c r="F319" s="19"/>
      <c r="G319" s="190" t="s">
        <v>657</v>
      </c>
      <c r="H319" s="19"/>
      <c r="I319" s="19"/>
      <c r="J319" s="88"/>
      <c r="K319" s="88"/>
      <c r="L319" s="88"/>
      <c r="M319" s="88"/>
      <c r="N319" s="88"/>
      <c r="O319" s="88"/>
      <c r="P319" s="88"/>
      <c r="Q319" s="88"/>
      <c r="R319" s="88"/>
      <c r="S319" s="88"/>
      <c r="T319" s="88"/>
      <c r="U319" s="88"/>
      <c r="V319" s="88"/>
      <c r="W319" s="88"/>
      <c r="X319" s="88"/>
      <c r="Y319" s="88"/>
      <c r="Z319" s="88"/>
      <c r="AA319" s="19"/>
      <c r="AB319" s="19"/>
      <c r="AC319" s="19"/>
      <c r="AD319" s="19"/>
      <c r="AE319" s="165">
        <f t="shared" ref="AE319:AI319" si="71">SUM(AE317,AE318)</f>
        <v>0</v>
      </c>
      <c r="AF319" s="165">
        <f t="shared" si="71"/>
        <v>0</v>
      </c>
      <c r="AG319" s="165">
        <f t="shared" si="71"/>
        <v>0</v>
      </c>
      <c r="AH319" s="165">
        <f t="shared" si="71"/>
        <v>0</v>
      </c>
      <c r="AI319" s="165">
        <f t="shared" si="71"/>
        <v>0</v>
      </c>
      <c r="AJ319" s="165">
        <f>SUM(AJ317,AJ318)</f>
        <v>0</v>
      </c>
      <c r="AK319" s="165">
        <f t="shared" ref="AK319" si="72">SUM(AK317,AK318)</f>
        <v>0</v>
      </c>
      <c r="AL319" s="165">
        <f t="shared" ref="AL319" si="73">SUM(AL317,AL318)</f>
        <v>0</v>
      </c>
      <c r="AM319" s="165">
        <f t="shared" ref="AM319" si="74">SUM(AM317,AM318)</f>
        <v>0</v>
      </c>
      <c r="AN319" s="165">
        <f t="shared" ref="AN319" si="75">SUM(AN317,AN318)</f>
        <v>0</v>
      </c>
      <c r="AO319" s="165">
        <f t="shared" ref="AO319" si="76">SUM(AO317,AO318)</f>
        <v>0</v>
      </c>
      <c r="AP319" s="165">
        <f t="shared" ref="AP319" si="77">SUM(AP317,AP318)</f>
        <v>0</v>
      </c>
      <c r="AQ319" s="165">
        <f t="shared" ref="AQ319" si="78">SUM(AQ317,AQ318)</f>
        <v>0</v>
      </c>
    </row>
    <row r="320" spans="5:43" s="156" customFormat="1" ht="15" customHeight="1">
      <c r="E320" s="19"/>
      <c r="F320" s="19"/>
      <c r="G320" s="190"/>
      <c r="H320" s="19"/>
      <c r="I320" s="19"/>
      <c r="J320" s="88"/>
      <c r="K320" s="88"/>
      <c r="L320" s="88"/>
      <c r="M320" s="88"/>
      <c r="N320" s="88"/>
      <c r="O320" s="88"/>
      <c r="P320" s="88"/>
      <c r="Q320" s="88"/>
      <c r="R320" s="88"/>
      <c r="S320" s="88"/>
      <c r="T320" s="88"/>
      <c r="U320" s="88"/>
      <c r="V320" s="88"/>
      <c r="W320" s="88"/>
      <c r="X320" s="88"/>
      <c r="Y320" s="88"/>
      <c r="Z320" s="88"/>
      <c r="AA320" s="19"/>
      <c r="AB320" s="19"/>
      <c r="AC320" s="19"/>
      <c r="AD320" s="19"/>
      <c r="AE320" s="155"/>
      <c r="AF320" s="155"/>
      <c r="AG320" s="155"/>
      <c r="AH320" s="155"/>
      <c r="AI320" s="155"/>
      <c r="AJ320" s="155"/>
      <c r="AK320" s="155"/>
      <c r="AL320" s="155"/>
      <c r="AM320" s="155"/>
      <c r="AN320" s="155"/>
      <c r="AO320" s="155"/>
      <c r="AP320" s="155"/>
      <c r="AQ320" s="155"/>
    </row>
    <row r="321" spans="5:43" s="156" customFormat="1" ht="15" customHeight="1">
      <c r="E321" s="19" t="s">
        <v>605</v>
      </c>
      <c r="F321" s="19"/>
      <c r="G321" s="190" t="s">
        <v>657</v>
      </c>
      <c r="H321" s="19"/>
      <c r="I321" s="19"/>
      <c r="J321" s="88"/>
      <c r="K321" s="88"/>
      <c r="L321" s="88"/>
      <c r="M321" s="88"/>
      <c r="N321" s="88"/>
      <c r="O321" s="88"/>
      <c r="P321" s="88"/>
      <c r="Q321" s="88"/>
      <c r="R321" s="88"/>
      <c r="S321" s="88"/>
      <c r="T321" s="88"/>
      <c r="U321" s="88"/>
      <c r="V321" s="88"/>
      <c r="W321" s="88"/>
      <c r="X321" s="88"/>
      <c r="Y321" s="88"/>
      <c r="Z321" s="88"/>
      <c r="AA321" s="19"/>
      <c r="AB321" s="19"/>
      <c r="AC321" s="19"/>
      <c r="AD321" s="19"/>
      <c r="AE321" s="219">
        <f>CHOOSE(m_identity,ENWL!AE321, NPgN!AE321, NPgY!AE321, WMID!AE321, EMID!AE321, SWALES!AE321, SWEST!AE321, LPN!AE321,SPN!AE321,EPN!AE321,SPD!AE321,SPMW!AE321,SSEH!AE321,SSES!AE321)</f>
        <v>0</v>
      </c>
      <c r="AF321" s="219">
        <f>CHOOSE(m_identity,ENWL!AF321, NPgN!AF321, NPgY!AF321, WMID!AF321, EMID!AF321, SWALES!AF321, SWEST!AF321, LPN!AF321,SPN!AF321,EPN!AF321,SPD!AF321,SPMW!AF321,SSEH!AF321,SSES!AF321)</f>
        <v>0</v>
      </c>
      <c r="AG321" s="219">
        <f>CHOOSE(m_identity,ENWL!AG321, NPgN!AG321, NPgY!AG321, WMID!AG321, EMID!AG321, SWALES!AG321, SWEST!AG321, LPN!AG321,SPN!AG321,EPN!AG321,SPD!AG321,SPMW!AG321,SSEH!AG321,SSES!AG321)</f>
        <v>0</v>
      </c>
      <c r="AH321" s="219">
        <f>CHOOSE(m_identity,ENWL!AH321, NPgN!AH321, NPgY!AH321, WMID!AH321, EMID!AH321, SWALES!AH321, SWEST!AH321, LPN!AH321,SPN!AH321,EPN!AH321,SPD!AH321,SPMW!AH321,SSEH!AH321,SSES!AH321)</f>
        <v>0</v>
      </c>
      <c r="AI321" s="219">
        <f>CHOOSE(m_identity,ENWL!AI321, NPgN!AI321, NPgY!AI321, WMID!AI321, EMID!AI321, SWALES!AI321, SWEST!AI321, LPN!AI321,SPN!AI321,EPN!AI321,SPD!AI321,SPMW!AI321,SSEH!AI321,SSES!AI321)</f>
        <v>0</v>
      </c>
      <c r="AJ321" s="219">
        <f>CHOOSE(m_identity,ENWL!AJ321, NPgN!AJ321, NPgY!AJ321, WMID!AJ321, EMID!AJ321, SWALES!AJ321, SWEST!AJ321, LPN!AJ321,SPN!AJ321,EPN!AJ321,SPD!AJ321,SPMW!AJ321,SSEH!AJ321,SSES!AJ321)</f>
        <v>4.8209999999999997</v>
      </c>
      <c r="AK321" s="219">
        <f>CHOOSE(m_identity,ENWL!AK321, NPgN!AK321, NPgY!AK321, WMID!AK321, EMID!AK321, SWALES!AK321, SWEST!AK321, LPN!AK321,SPN!AK321,EPN!AK321,SPD!AK321,SPMW!AK321,SSEH!AK321,SSES!AK321)</f>
        <v>3.2610000000000001</v>
      </c>
      <c r="AL321" s="219">
        <f>CHOOSE(m_identity,ENWL!AL321, NPgN!AL321, NPgY!AL321, WMID!AL321, EMID!AL321, SWALES!AL321, SWEST!AL321, LPN!AL321,SPN!AL321,EPN!AL321,SPD!AL321,SPMW!AL321,SSEH!AL321,SSES!AL321)</f>
        <v>1.58</v>
      </c>
      <c r="AM321" s="219">
        <f>CHOOSE(m_identity,ENWL!AM321, NPgN!AM321, NPgY!AM321, WMID!AM321, EMID!AM321, SWALES!AM321, SWEST!AM321, LPN!AM321,SPN!AM321,EPN!AM321,SPD!AM321,SPMW!AM321,SSEH!AM321,SSES!AM321)</f>
        <v>0.26500000000000001</v>
      </c>
      <c r="AN321" s="219">
        <f>CHOOSE(m_identity,ENWL!AN321, NPgN!AN321, NPgY!AN321, WMID!AN321, EMID!AN321, SWALES!AN321, SWEST!AN321, LPN!AN321,SPN!AN321,EPN!AN321,SPD!AN321,SPMW!AN321,SSEH!AN321,SSES!AN321)</f>
        <v>0</v>
      </c>
      <c r="AO321" s="219">
        <f>CHOOSE(m_identity,ENWL!AO321, NPgN!AO321, NPgY!AO321, WMID!AO321, EMID!AO321, SWALES!AO321, SWEST!AO321, LPN!AO321,SPN!AO321,EPN!AO321,SPD!AO321,SPMW!AO321,SSEH!AO321,SSES!AO321)</f>
        <v>0</v>
      </c>
      <c r="AP321" s="219">
        <f>CHOOSE(m_identity,ENWL!AP321, NPgN!AP321, NPgY!AP321, WMID!AP321, EMID!AP321, SWALES!AP321, SWEST!AP321, LPN!AP321,SPN!AP321,EPN!AP321,SPD!AP321,SPMW!AP321,SSEH!AP321,SSES!AP321)</f>
        <v>0</v>
      </c>
      <c r="AQ321" s="219">
        <f>CHOOSE(m_identity,ENWL!AQ321, NPgN!AQ321, NPgY!AQ321, WMID!AQ321, EMID!AQ321, SWALES!AQ321, SWEST!AQ321, LPN!AQ321,SPN!AQ321,EPN!AQ321,SPD!AQ321,SPMW!AQ321,SSEH!AQ321,SSES!AQ321)</f>
        <v>0</v>
      </c>
    </row>
    <row r="322" spans="5:43" s="156" customFormat="1" ht="15" customHeight="1">
      <c r="E322" s="19" t="s">
        <v>601</v>
      </c>
      <c r="F322" s="19"/>
      <c r="G322" s="190" t="s">
        <v>657</v>
      </c>
      <c r="H322" s="19"/>
      <c r="I322" s="19"/>
      <c r="J322" s="88"/>
      <c r="K322" s="88"/>
      <c r="L322" s="88"/>
      <c r="M322" s="88"/>
      <c r="N322" s="88"/>
      <c r="O322" s="88"/>
      <c r="P322" s="88"/>
      <c r="Q322" s="88"/>
      <c r="R322" s="88"/>
      <c r="S322" s="88"/>
      <c r="T322" s="88"/>
      <c r="U322" s="88"/>
      <c r="V322" s="88"/>
      <c r="W322" s="88"/>
      <c r="X322" s="88"/>
      <c r="Y322" s="88"/>
      <c r="Z322" s="88"/>
      <c r="AA322" s="19"/>
      <c r="AB322" s="19"/>
      <c r="AC322" s="19"/>
      <c r="AD322" s="19"/>
      <c r="AE322" s="219">
        <f>CHOOSE(m_identity,ENWL!AE322, NPgN!AE322, NPgY!AE322, WMID!AE322, EMID!AE322, SWALES!AE322, SWEST!AE322, LPN!AE322,SPN!AE322,EPN!AE322,SPD!AE322,SPMW!AE322,SSEH!AE322,SSES!AE322)</f>
        <v>0</v>
      </c>
      <c r="AF322" s="219">
        <f>CHOOSE(m_identity,ENWL!AF322, NPgN!AF322, NPgY!AF322, WMID!AF322, EMID!AF322, SWALES!AF322, SWEST!AF322, LPN!AF322,SPN!AF322,EPN!AF322,SPD!AF322,SPMW!AF322,SSEH!AF322,SSES!AF322)</f>
        <v>0</v>
      </c>
      <c r="AG322" s="219">
        <f>CHOOSE(m_identity,ENWL!AG322, NPgN!AG322, NPgY!AG322, WMID!AG322, EMID!AG322, SWALES!AG322, SWEST!AG322, LPN!AG322,SPN!AG322,EPN!AG322,SPD!AG322,SPMW!AG322,SSEH!AG322,SSES!AG322)</f>
        <v>0</v>
      </c>
      <c r="AH322" s="219">
        <f>CHOOSE(m_identity,ENWL!AH322, NPgN!AH322, NPgY!AH322, WMID!AH322, EMID!AH322, SWALES!AH322, SWEST!AH322, LPN!AH322,SPN!AH322,EPN!AH322,SPD!AH322,SPMW!AH322,SSEH!AH322,SSES!AH322)</f>
        <v>0</v>
      </c>
      <c r="AI322" s="219">
        <f>CHOOSE(m_identity,ENWL!AI322, NPgN!AI322, NPgY!AI322, WMID!AI322, EMID!AI322, SWALES!AI322, SWEST!AI322, LPN!AI322,SPN!AI322,EPN!AI322,SPD!AI322,SPMW!AI322,SSEH!AI322,SSES!AI322)</f>
        <v>0</v>
      </c>
      <c r="AJ322" s="219">
        <f>CHOOSE(m_identity,ENWL!AJ322, NPgN!AJ322, NPgY!AJ322, WMID!AJ322, EMID!AJ322, SWALES!AJ322, SWEST!AJ322, LPN!AJ322,SPN!AJ322,EPN!AJ322,SPD!AJ322,SPMW!AJ322,SSEH!AJ322,SSES!AJ322)</f>
        <v>0</v>
      </c>
      <c r="AK322" s="219">
        <f>CHOOSE(m_identity,ENWL!AK322, NPgN!AK322, NPgY!AK322, WMID!AK322, EMID!AK322, SWALES!AK322, SWEST!AK322, LPN!AK322,SPN!AK322,EPN!AK322,SPD!AK322,SPMW!AK322,SSEH!AK322,SSES!AK322)</f>
        <v>0</v>
      </c>
      <c r="AL322" s="219">
        <f>CHOOSE(m_identity,ENWL!AL322, NPgN!AL322, NPgY!AL322, WMID!AL322, EMID!AL322, SWALES!AL322, SWEST!AL322, LPN!AL322,SPN!AL322,EPN!AL322,SPD!AL322,SPMW!AL322,SSEH!AL322,SSES!AL322)</f>
        <v>0</v>
      </c>
      <c r="AM322" s="219">
        <f>CHOOSE(m_identity,ENWL!AM322, NPgN!AM322, NPgY!AM322, WMID!AM322, EMID!AM322, SWALES!AM322, SWEST!AM322, LPN!AM322,SPN!AM322,EPN!AM322,SPD!AM322,SPMW!AM322,SSEH!AM322,SSES!AM322)</f>
        <v>0</v>
      </c>
      <c r="AN322" s="219">
        <f>CHOOSE(m_identity,ENWL!AN322, NPgN!AN322, NPgY!AN322, WMID!AN322, EMID!AN322, SWALES!AN322, SWEST!AN322, LPN!AN322,SPN!AN322,EPN!AN322,SPD!AN322,SPMW!AN322,SSEH!AN322,SSES!AN322)</f>
        <v>0</v>
      </c>
      <c r="AO322" s="219">
        <f>CHOOSE(m_identity,ENWL!AO322, NPgN!AO322, NPgY!AO322, WMID!AO322, EMID!AO322, SWALES!AO322, SWEST!AO322, LPN!AO322,SPN!AO322,EPN!AO322,SPD!AO322,SPMW!AO322,SSEH!AO322,SSES!AO322)</f>
        <v>0</v>
      </c>
      <c r="AP322" s="219">
        <f>CHOOSE(m_identity,ENWL!AP322, NPgN!AP322, NPgY!AP322, WMID!AP322, EMID!AP322, SWALES!AP322, SWEST!AP322, LPN!AP322,SPN!AP322,EPN!AP322,SPD!AP322,SPMW!AP322,SSEH!AP322,SSES!AP322)</f>
        <v>0</v>
      </c>
      <c r="AQ322" s="219">
        <f>CHOOSE(m_identity,ENWL!AQ322, NPgN!AQ322, NPgY!AQ322, WMID!AQ322, EMID!AQ322, SWALES!AQ322, SWEST!AQ322, LPN!AQ322,SPN!AQ322,EPN!AQ322,SPD!AQ322,SPMW!AQ322,SSEH!AQ322,SSES!AQ322)</f>
        <v>0</v>
      </c>
    </row>
    <row r="323" spans="5:43" s="156" customFormat="1" ht="15" customHeight="1">
      <c r="E323" s="19" t="s">
        <v>602</v>
      </c>
      <c r="F323" s="19"/>
      <c r="G323" s="190" t="s">
        <v>657</v>
      </c>
      <c r="H323" s="19"/>
      <c r="I323" s="19"/>
      <c r="J323" s="88"/>
      <c r="K323" s="88"/>
      <c r="L323" s="88"/>
      <c r="M323" s="88"/>
      <c r="N323" s="88"/>
      <c r="O323" s="88"/>
      <c r="P323" s="88"/>
      <c r="Q323" s="88"/>
      <c r="R323" s="88"/>
      <c r="S323" s="88"/>
      <c r="T323" s="88"/>
      <c r="U323" s="88"/>
      <c r="V323" s="88"/>
      <c r="W323" s="88"/>
      <c r="X323" s="88"/>
      <c r="Y323" s="88"/>
      <c r="Z323" s="88"/>
      <c r="AA323" s="19"/>
      <c r="AB323" s="19"/>
      <c r="AC323" s="19"/>
      <c r="AD323" s="19"/>
      <c r="AE323" s="165">
        <f t="shared" ref="AE323:AI323" si="79">SUM(AE321,AE322)</f>
        <v>0</v>
      </c>
      <c r="AF323" s="165">
        <f t="shared" si="79"/>
        <v>0</v>
      </c>
      <c r="AG323" s="165">
        <f t="shared" si="79"/>
        <v>0</v>
      </c>
      <c r="AH323" s="165">
        <f t="shared" si="79"/>
        <v>0</v>
      </c>
      <c r="AI323" s="165">
        <f t="shared" si="79"/>
        <v>0</v>
      </c>
      <c r="AJ323" s="165">
        <f>SUM(AJ321,AJ322)</f>
        <v>4.8209999999999997</v>
      </c>
      <c r="AK323" s="165">
        <f t="shared" ref="AK323" si="80">SUM(AK321,AK322)</f>
        <v>3.2610000000000001</v>
      </c>
      <c r="AL323" s="165">
        <f t="shared" ref="AL323" si="81">SUM(AL321,AL322)</f>
        <v>1.58</v>
      </c>
      <c r="AM323" s="165">
        <f t="shared" ref="AM323" si="82">SUM(AM321,AM322)</f>
        <v>0.26500000000000001</v>
      </c>
      <c r="AN323" s="165">
        <f t="shared" ref="AN323" si="83">SUM(AN321,AN322)</f>
        <v>0</v>
      </c>
      <c r="AO323" s="165">
        <f t="shared" ref="AO323" si="84">SUM(AO321,AO322)</f>
        <v>0</v>
      </c>
      <c r="AP323" s="165">
        <f t="shared" ref="AP323" si="85">SUM(AP321,AP322)</f>
        <v>0</v>
      </c>
      <c r="AQ323" s="165">
        <f t="shared" ref="AQ323" si="86">SUM(AQ321,AQ322)</f>
        <v>0</v>
      </c>
    </row>
    <row r="324" spans="5:43" s="156" customFormat="1" ht="15" customHeight="1">
      <c r="E324" s="19"/>
      <c r="F324" s="19"/>
      <c r="G324" s="190"/>
      <c r="H324" s="19"/>
      <c r="I324" s="19"/>
      <c r="J324" s="88"/>
      <c r="K324" s="88"/>
      <c r="L324" s="88"/>
      <c r="M324" s="88"/>
      <c r="N324" s="88"/>
      <c r="O324" s="88"/>
      <c r="P324" s="88"/>
      <c r="Q324" s="88"/>
      <c r="R324" s="88"/>
      <c r="S324" s="88"/>
      <c r="T324" s="88"/>
      <c r="U324" s="88"/>
      <c r="V324" s="88"/>
      <c r="W324" s="88"/>
      <c r="X324" s="88"/>
      <c r="Y324" s="88"/>
      <c r="Z324" s="88"/>
      <c r="AA324" s="19"/>
      <c r="AB324" s="19"/>
      <c r="AC324" s="19"/>
      <c r="AD324" s="19"/>
      <c r="AE324" s="155"/>
      <c r="AF324" s="155"/>
      <c r="AG324" s="155"/>
      <c r="AH324" s="155"/>
      <c r="AI324" s="155"/>
      <c r="AJ324" s="155"/>
      <c r="AK324" s="155"/>
      <c r="AL324" s="155"/>
      <c r="AM324" s="155"/>
      <c r="AN324" s="155"/>
      <c r="AO324" s="155"/>
      <c r="AP324" s="155"/>
      <c r="AQ324" s="155"/>
    </row>
    <row r="325" spans="5:43" s="156" customFormat="1" ht="15" customHeight="1">
      <c r="E325" s="19" t="s">
        <v>761</v>
      </c>
      <c r="F325" s="19"/>
      <c r="G325" s="190" t="s">
        <v>657</v>
      </c>
      <c r="H325" s="19"/>
      <c r="I325" s="19"/>
      <c r="J325" s="88"/>
      <c r="K325" s="88"/>
      <c r="L325" s="88"/>
      <c r="M325" s="88"/>
      <c r="N325" s="88"/>
      <c r="O325" s="88"/>
      <c r="P325" s="88"/>
      <c r="Q325" s="88"/>
      <c r="R325" s="88"/>
      <c r="S325" s="88"/>
      <c r="T325" s="88"/>
      <c r="U325" s="88"/>
      <c r="V325" s="88"/>
      <c r="W325" s="88"/>
      <c r="X325" s="88"/>
      <c r="Y325" s="88"/>
      <c r="Z325" s="88"/>
      <c r="AA325" s="19"/>
      <c r="AB325" s="19"/>
      <c r="AC325" s="19"/>
      <c r="AD325" s="19"/>
      <c r="AE325" s="219">
        <f>CHOOSE(m_identity,ENWL!AE325, NPgN!AE325, NPgY!AE325, WMID!AE325, EMID!AE325, SWALES!AE325, SWEST!AE325, LPN!AE325,SPN!AE325,EPN!AE325,SPD!AE325,SPMW!AE325,SSEH!AE325,SSES!AE325)</f>
        <v>0</v>
      </c>
      <c r="AF325" s="219">
        <f>CHOOSE(m_identity,ENWL!AF325, NPgN!AF325, NPgY!AF325, WMID!AF325, EMID!AF325, SWALES!AF325, SWEST!AF325, LPN!AF325,SPN!AF325,EPN!AF325,SPD!AF325,SPMW!AF325,SSEH!AF325,SSES!AF325)</f>
        <v>0</v>
      </c>
      <c r="AG325" s="219">
        <f>CHOOSE(m_identity,ENWL!AG325, NPgN!AG325, NPgY!AG325, WMID!AG325, EMID!AG325, SWALES!AG325, SWEST!AG325, LPN!AG325,SPN!AG325,EPN!AG325,SPD!AG325,SPMW!AG325,SSEH!AG325,SSES!AG325)</f>
        <v>0</v>
      </c>
      <c r="AH325" s="219">
        <f>CHOOSE(m_identity,ENWL!AH325, NPgN!AH325, NPgY!AH325, WMID!AH325, EMID!AH325, SWALES!AH325, SWEST!AH325, LPN!AH325,SPN!AH325,EPN!AH325,SPD!AH325,SPMW!AH325,SSEH!AH325,SSES!AH325)</f>
        <v>0</v>
      </c>
      <c r="AI325" s="219">
        <f>CHOOSE(m_identity,ENWL!AI325, NPgN!AI325, NPgY!AI325, WMID!AI325, EMID!AI325, SWALES!AI325, SWEST!AI325, LPN!AI325,SPN!AI325,EPN!AI325,SPD!AI325,SPMW!AI325,SSEH!AI325,SSES!AI325)</f>
        <v>0</v>
      </c>
      <c r="AJ325" s="219">
        <f>CHOOSE(m_identity,ENWL!AJ325, NPgN!AJ325, NPgY!AJ325, WMID!AJ325, EMID!AJ325, SWALES!AJ325, SWEST!AJ325, LPN!AJ325,SPN!AJ325,EPN!AJ325,SPD!AJ325,SPMW!AJ325,SSEH!AJ325,SSES!AJ325)</f>
        <v>0.19500000000000006</v>
      </c>
      <c r="AK325" s="219">
        <f>CHOOSE(m_identity,ENWL!AK325, NPgN!AK325, NPgY!AK325, WMID!AK325, EMID!AK325, SWALES!AK325, SWEST!AK325, LPN!AK325,SPN!AK325,EPN!AK325,SPD!AK325,SPMW!AK325,SSEH!AK325,SSES!AK325)</f>
        <v>0.32900000000000007</v>
      </c>
      <c r="AL325" s="219">
        <f>CHOOSE(m_identity,ENWL!AL325, NPgN!AL325, NPgY!AL325, WMID!AL325, EMID!AL325, SWALES!AL325, SWEST!AL325, LPN!AL325,SPN!AL325,EPN!AL325,SPD!AL325,SPMW!AL325,SSEH!AL325,SSES!AL325)</f>
        <v>0.41599999999999993</v>
      </c>
      <c r="AM325" s="219">
        <f>CHOOSE(m_identity,ENWL!AM325, NPgN!AM325, NPgY!AM325, WMID!AM325, EMID!AM325, SWALES!AM325, SWEST!AM325, LPN!AM325,SPN!AM325,EPN!AM325,SPD!AM325,SPMW!AM325,SSEH!AM325,SSES!AM325)</f>
        <v>0.49899999999999994</v>
      </c>
      <c r="AN325" s="219">
        <f>CHOOSE(m_identity,ENWL!AN325, NPgN!AN325, NPgY!AN325, WMID!AN325, EMID!AN325, SWALES!AN325, SWEST!AN325, LPN!AN325,SPN!AN325,EPN!AN325,SPD!AN325,SPMW!AN325,SSEH!AN325,SSES!AN325)</f>
        <v>0.49399999999999994</v>
      </c>
      <c r="AO325" s="219">
        <f>CHOOSE(m_identity,ENWL!AO325, NPgN!AO325, NPgY!AO325, WMID!AO325, EMID!AO325, SWALES!AO325, SWEST!AO325, LPN!AO325,SPN!AO325,EPN!AO325,SPD!AO325,SPMW!AO325,SSEH!AO325,SSES!AO325)</f>
        <v>0.34500000000000008</v>
      </c>
      <c r="AP325" s="219">
        <f>CHOOSE(m_identity,ENWL!AP325, NPgN!AP325, NPgY!AP325, WMID!AP325, EMID!AP325, SWALES!AP325, SWEST!AP325, LPN!AP325,SPN!AP325,EPN!AP325,SPD!AP325,SPMW!AP325,SSEH!AP325,SSES!AP325)</f>
        <v>0</v>
      </c>
      <c r="AQ325" s="219">
        <f>CHOOSE(m_identity,ENWL!AQ325, NPgN!AQ325, NPgY!AQ325, WMID!AQ325, EMID!AQ325, SWALES!AQ325, SWEST!AQ325, LPN!AQ325,SPN!AQ325,EPN!AQ325,SPD!AQ325,SPMW!AQ325,SSEH!AQ325,SSES!AQ325)</f>
        <v>0</v>
      </c>
    </row>
    <row r="326" spans="5:43" s="156" customFormat="1" ht="15" customHeight="1">
      <c r="E326" s="19" t="s">
        <v>762</v>
      </c>
      <c r="F326" s="19"/>
      <c r="G326" s="190" t="s">
        <v>657</v>
      </c>
      <c r="H326" s="19"/>
      <c r="I326" s="19"/>
      <c r="J326" s="88"/>
      <c r="K326" s="88"/>
      <c r="L326" s="88"/>
      <c r="M326" s="88"/>
      <c r="N326" s="88"/>
      <c r="O326" s="88"/>
      <c r="P326" s="88"/>
      <c r="Q326" s="88"/>
      <c r="R326" s="88"/>
      <c r="S326" s="88"/>
      <c r="T326" s="88"/>
      <c r="U326" s="88"/>
      <c r="V326" s="88"/>
      <c r="W326" s="88"/>
      <c r="X326" s="88"/>
      <c r="Y326" s="88"/>
      <c r="Z326" s="88"/>
      <c r="AA326" s="19"/>
      <c r="AB326" s="19"/>
      <c r="AC326" s="19"/>
      <c r="AD326" s="19"/>
      <c r="AE326" s="219">
        <f>CHOOSE(m_identity,ENWL!AE326, NPgN!AE326, NPgY!AE326, WMID!AE326, EMID!AE326, SWALES!AE326, SWEST!AE326, LPN!AE326,SPN!AE326,EPN!AE326,SPD!AE326,SPMW!AE326,SSEH!AE326,SSES!AE326)</f>
        <v>0</v>
      </c>
      <c r="AF326" s="219">
        <f>CHOOSE(m_identity,ENWL!AF326, NPgN!AF326, NPgY!AF326, WMID!AF326, EMID!AF326, SWALES!AF326, SWEST!AF326, LPN!AF326,SPN!AF326,EPN!AF326,SPD!AF326,SPMW!AF326,SSEH!AF326,SSES!AF326)</f>
        <v>0</v>
      </c>
      <c r="AG326" s="219">
        <f>CHOOSE(m_identity,ENWL!AG326, NPgN!AG326, NPgY!AG326, WMID!AG326, EMID!AG326, SWALES!AG326, SWEST!AG326, LPN!AG326,SPN!AG326,EPN!AG326,SPD!AG326,SPMW!AG326,SSEH!AG326,SSES!AG326)</f>
        <v>0</v>
      </c>
      <c r="AH326" s="219">
        <f>CHOOSE(m_identity,ENWL!AH326, NPgN!AH326, NPgY!AH326, WMID!AH326, EMID!AH326, SWALES!AH326, SWEST!AH326, LPN!AH326,SPN!AH326,EPN!AH326,SPD!AH326,SPMW!AH326,SSEH!AH326,SSES!AH326)</f>
        <v>0</v>
      </c>
      <c r="AI326" s="219">
        <f>CHOOSE(m_identity,ENWL!AI326, NPgN!AI326, NPgY!AI326, WMID!AI326, EMID!AI326, SWALES!AI326, SWEST!AI326, LPN!AI326,SPN!AI326,EPN!AI326,SPD!AI326,SPMW!AI326,SSEH!AI326,SSES!AI326)</f>
        <v>0</v>
      </c>
      <c r="AJ326" s="219">
        <f>CHOOSE(m_identity,ENWL!AJ326, NPgN!AJ326, NPgY!AJ326, WMID!AJ326, EMID!AJ326, SWALES!AJ326, SWEST!AJ326, LPN!AJ326,SPN!AJ326,EPN!AJ326,SPD!AJ326,SPMW!AJ326,SSEH!AJ326,SSES!AJ326)</f>
        <v>-0.14300000000000002</v>
      </c>
      <c r="AK326" s="219">
        <f>CHOOSE(m_identity,ENWL!AK326, NPgN!AK326, NPgY!AK326, WMID!AK326, EMID!AK326, SWALES!AK326, SWEST!AK326, LPN!AK326,SPN!AK326,EPN!AK326,SPD!AK326,SPMW!AK326,SSEH!AK326,SSES!AK326)</f>
        <v>-0.23899999999999999</v>
      </c>
      <c r="AL326" s="219">
        <f>CHOOSE(m_identity,ENWL!AL326, NPgN!AL326, NPgY!AL326, WMID!AL326, EMID!AL326, SWALES!AL326, SWEST!AL326, LPN!AL326,SPN!AL326,EPN!AL326,SPD!AL326,SPMW!AL326,SSEH!AL326,SSES!AL326)</f>
        <v>-0.30200000000000005</v>
      </c>
      <c r="AM326" s="219">
        <f>CHOOSE(m_identity,ENWL!AM326, NPgN!AM326, NPgY!AM326, WMID!AM326, EMID!AM326, SWALES!AM326, SWEST!AM326, LPN!AM326,SPN!AM326,EPN!AM326,SPD!AM326,SPMW!AM326,SSEH!AM326,SSES!AM326)</f>
        <v>-0.36199999999999999</v>
      </c>
      <c r="AN326" s="219">
        <f>CHOOSE(m_identity,ENWL!AN326, NPgN!AN326, NPgY!AN326, WMID!AN326, EMID!AN326, SWALES!AN326, SWEST!AN326, LPN!AN326,SPN!AN326,EPN!AN326,SPD!AN326,SPMW!AN326,SSEH!AN326,SSES!AN326)</f>
        <v>-0.35899999999999999</v>
      </c>
      <c r="AO326" s="219">
        <f>CHOOSE(m_identity,ENWL!AO326, NPgN!AO326, NPgY!AO326, WMID!AO326, EMID!AO326, SWALES!AO326, SWEST!AO326, LPN!AO326,SPN!AO326,EPN!AO326,SPD!AO326,SPMW!AO326,SSEH!AO326,SSES!AO326)</f>
        <v>-0.24899999999999997</v>
      </c>
      <c r="AP326" s="219">
        <f>CHOOSE(m_identity,ENWL!AP326, NPgN!AP326, NPgY!AP326, WMID!AP326, EMID!AP326, SWALES!AP326, SWEST!AP326, LPN!AP326,SPN!AP326,EPN!AP326,SPD!AP326,SPMW!AP326,SSEH!AP326,SSES!AP326)</f>
        <v>0</v>
      </c>
      <c r="AQ326" s="219">
        <f>CHOOSE(m_identity,ENWL!AQ326, NPgN!AQ326, NPgY!AQ326, WMID!AQ326, EMID!AQ326, SWALES!AQ326, SWEST!AQ326, LPN!AQ326,SPN!AQ326,EPN!AQ326,SPD!AQ326,SPMW!AQ326,SSEH!AQ326,SSES!AQ326)</f>
        <v>0</v>
      </c>
    </row>
    <row r="327" spans="5:43" s="156" customFormat="1" ht="15" customHeight="1">
      <c r="E327" s="19" t="s">
        <v>763</v>
      </c>
      <c r="F327" s="19"/>
      <c r="G327" s="190" t="s">
        <v>657</v>
      </c>
      <c r="H327" s="19"/>
      <c r="I327" s="19"/>
      <c r="J327" s="88"/>
      <c r="K327" s="88"/>
      <c r="L327" s="88"/>
      <c r="M327" s="88"/>
      <c r="N327" s="88"/>
      <c r="O327" s="88"/>
      <c r="P327" s="88"/>
      <c r="Q327" s="88"/>
      <c r="R327" s="88"/>
      <c r="S327" s="88"/>
      <c r="T327" s="88"/>
      <c r="U327" s="88"/>
      <c r="V327" s="88"/>
      <c r="W327" s="88"/>
      <c r="X327" s="88"/>
      <c r="Y327" s="88"/>
      <c r="Z327" s="88"/>
      <c r="AA327" s="19"/>
      <c r="AB327" s="19"/>
      <c r="AC327" s="19"/>
      <c r="AD327" s="19"/>
      <c r="AE327" s="165">
        <f t="shared" ref="AE327:AI327" si="87">SUM(AE325,AE326)</f>
        <v>0</v>
      </c>
      <c r="AF327" s="165">
        <f t="shared" si="87"/>
        <v>0</v>
      </c>
      <c r="AG327" s="165">
        <f t="shared" si="87"/>
        <v>0</v>
      </c>
      <c r="AH327" s="165">
        <f t="shared" si="87"/>
        <v>0</v>
      </c>
      <c r="AI327" s="165">
        <f t="shared" si="87"/>
        <v>0</v>
      </c>
      <c r="AJ327" s="165">
        <f>SUM(AJ325,AJ326)</f>
        <v>5.2000000000000046E-2</v>
      </c>
      <c r="AK327" s="165">
        <f t="shared" ref="AK327" si="88">SUM(AK325,AK326)</f>
        <v>9.000000000000008E-2</v>
      </c>
      <c r="AL327" s="165">
        <f t="shared" ref="AL327" si="89">SUM(AL325,AL326)</f>
        <v>0.11399999999999988</v>
      </c>
      <c r="AM327" s="165">
        <f t="shared" ref="AM327" si="90">SUM(AM325,AM326)</f>
        <v>0.13699999999999996</v>
      </c>
      <c r="AN327" s="165">
        <f t="shared" ref="AN327" si="91">SUM(AN325,AN326)</f>
        <v>0.13499999999999995</v>
      </c>
      <c r="AO327" s="165">
        <f t="shared" ref="AO327" si="92">SUM(AO325,AO326)</f>
        <v>9.6000000000000113E-2</v>
      </c>
      <c r="AP327" s="165">
        <f t="shared" ref="AP327" si="93">SUM(AP325,AP326)</f>
        <v>0</v>
      </c>
      <c r="AQ327" s="165">
        <f t="shared" ref="AQ327" si="94">SUM(AQ325,AQ326)</f>
        <v>0</v>
      </c>
    </row>
    <row r="328" spans="5:43" s="156" customFormat="1" ht="15" customHeight="1">
      <c r="E328" s="19"/>
      <c r="F328" s="19"/>
      <c r="G328" s="190"/>
      <c r="H328" s="19"/>
      <c r="I328" s="19"/>
      <c r="J328" s="88"/>
      <c r="K328" s="88"/>
      <c r="L328" s="88"/>
      <c r="M328" s="88"/>
      <c r="N328" s="88"/>
      <c r="O328" s="88"/>
      <c r="P328" s="88"/>
      <c r="Q328" s="88"/>
      <c r="R328" s="88"/>
      <c r="S328" s="88"/>
      <c r="T328" s="88"/>
      <c r="U328" s="88"/>
      <c r="V328" s="88"/>
      <c r="W328" s="88"/>
      <c r="X328" s="88"/>
      <c r="Y328" s="88"/>
      <c r="Z328" s="88"/>
      <c r="AA328" s="19"/>
      <c r="AB328" s="19"/>
      <c r="AC328" s="19"/>
      <c r="AD328" s="19"/>
      <c r="AE328" s="155"/>
      <c r="AF328" s="155"/>
      <c r="AG328" s="155"/>
      <c r="AH328" s="155"/>
      <c r="AI328" s="155"/>
      <c r="AJ328" s="155"/>
      <c r="AK328" s="155"/>
      <c r="AL328" s="155"/>
      <c r="AM328" s="155"/>
      <c r="AN328" s="155"/>
      <c r="AO328" s="155"/>
      <c r="AP328" s="155"/>
      <c r="AQ328" s="155"/>
    </row>
    <row r="329" spans="5:43" s="156" customFormat="1" ht="15" customHeight="1">
      <c r="E329" s="19" t="s">
        <v>606</v>
      </c>
      <c r="F329" s="19"/>
      <c r="G329" s="190" t="s">
        <v>657</v>
      </c>
      <c r="H329" s="19"/>
      <c r="I329" s="19"/>
      <c r="J329" s="88"/>
      <c r="K329" s="88"/>
      <c r="L329" s="88"/>
      <c r="M329" s="88"/>
      <c r="N329" s="88"/>
      <c r="O329" s="88"/>
      <c r="P329" s="88"/>
      <c r="Q329" s="88"/>
      <c r="R329" s="88"/>
      <c r="S329" s="88"/>
      <c r="T329" s="88"/>
      <c r="U329" s="88"/>
      <c r="V329" s="88"/>
      <c r="W329" s="88"/>
      <c r="X329" s="88"/>
      <c r="Y329" s="88"/>
      <c r="Z329" s="88"/>
      <c r="AA329" s="19"/>
      <c r="AB329" s="19"/>
      <c r="AC329" s="19"/>
      <c r="AD329" s="19"/>
      <c r="AE329" s="219">
        <f>CHOOSE(m_identity,ENWL!AE329, NPgN!AE329, NPgY!AE329, WMID!AE329, EMID!AE329, SWALES!AE329, SWEST!AE329, LPN!AE329,SPN!AE329,EPN!AE329,SPD!AE329,SPMW!AE329,SSEH!AE329,SSES!AE329)</f>
        <v>0</v>
      </c>
      <c r="AF329" s="219">
        <f>CHOOSE(m_identity,ENWL!AF329, NPgN!AF329, NPgY!AF329, WMID!AF329, EMID!AF329, SWALES!AF329, SWEST!AF329, LPN!AF329,SPN!AF329,EPN!AF329,SPD!AF329,SPMW!AF329,SSEH!AF329,SSES!AF329)</f>
        <v>0</v>
      </c>
      <c r="AG329" s="219">
        <f>CHOOSE(m_identity,ENWL!AG329, NPgN!AG329, NPgY!AG329, WMID!AG329, EMID!AG329, SWALES!AG329, SWEST!AG329, LPN!AG329,SPN!AG329,EPN!AG329,SPD!AG329,SPMW!AG329,SSEH!AG329,SSES!AG329)</f>
        <v>0</v>
      </c>
      <c r="AH329" s="219">
        <f>CHOOSE(m_identity,ENWL!AH329, NPgN!AH329, NPgY!AH329, WMID!AH329, EMID!AH329, SWALES!AH329, SWEST!AH329, LPN!AH329,SPN!AH329,EPN!AH329,SPD!AH329,SPMW!AH329,SSEH!AH329,SSES!AH329)</f>
        <v>0</v>
      </c>
      <c r="AI329" s="219">
        <f>CHOOSE(m_identity,ENWL!AI329, NPgN!AI329, NPgY!AI329, WMID!AI329, EMID!AI329, SWALES!AI329, SWEST!AI329, LPN!AI329,SPN!AI329,EPN!AI329,SPD!AI329,SPMW!AI329,SSEH!AI329,SSES!AI329)</f>
        <v>0</v>
      </c>
      <c r="AJ329" s="219">
        <f>CHOOSE(m_identity,ENWL!AJ329, NPgN!AJ329, NPgY!AJ329, WMID!AJ329, EMID!AJ329, SWALES!AJ329, SWEST!AJ329, LPN!AJ329,SPN!AJ329,EPN!AJ329,SPD!AJ329,SPMW!AJ329,SSEH!AJ329,SSES!AJ329)</f>
        <v>0.71</v>
      </c>
      <c r="AK329" s="219">
        <f>CHOOSE(m_identity,ENWL!AK329, NPgN!AK329, NPgY!AK329, WMID!AK329, EMID!AK329, SWALES!AK329, SWEST!AK329, LPN!AK329,SPN!AK329,EPN!AK329,SPD!AK329,SPMW!AK329,SSEH!AK329,SSES!AK329)</f>
        <v>0.71</v>
      </c>
      <c r="AL329" s="219">
        <f>CHOOSE(m_identity,ENWL!AL329, NPgN!AL329, NPgY!AL329, WMID!AL329, EMID!AL329, SWALES!AL329, SWEST!AL329, LPN!AL329,SPN!AL329,EPN!AL329,SPD!AL329,SPMW!AL329,SSEH!AL329,SSES!AL329)</f>
        <v>0.71</v>
      </c>
      <c r="AM329" s="219">
        <f>CHOOSE(m_identity,ENWL!AM329, NPgN!AM329, NPgY!AM329, WMID!AM329, EMID!AM329, SWALES!AM329, SWEST!AM329, LPN!AM329,SPN!AM329,EPN!AM329,SPD!AM329,SPMW!AM329,SSEH!AM329,SSES!AM329)</f>
        <v>0.71</v>
      </c>
      <c r="AN329" s="219">
        <f>CHOOSE(m_identity,ENWL!AN329, NPgN!AN329, NPgY!AN329, WMID!AN329, EMID!AN329, SWALES!AN329, SWEST!AN329, LPN!AN329,SPN!AN329,EPN!AN329,SPD!AN329,SPMW!AN329,SSEH!AN329,SSES!AN329)</f>
        <v>0.71</v>
      </c>
      <c r="AO329" s="219">
        <f>CHOOSE(m_identity,ENWL!AO329, NPgN!AO329, NPgY!AO329, WMID!AO329, EMID!AO329, SWALES!AO329, SWEST!AO329, LPN!AO329,SPN!AO329,EPN!AO329,SPD!AO329,SPMW!AO329,SSEH!AO329,SSES!AO329)</f>
        <v>0.71</v>
      </c>
      <c r="AP329" s="219">
        <f>CHOOSE(m_identity,ENWL!AP329, NPgN!AP329, NPgY!AP329, WMID!AP329, EMID!AP329, SWALES!AP329, SWEST!AP329, LPN!AP329,SPN!AP329,EPN!AP329,SPD!AP329,SPMW!AP329,SSEH!AP329,SSES!AP329)</f>
        <v>0.71</v>
      </c>
      <c r="AQ329" s="219">
        <f>CHOOSE(m_identity,ENWL!AQ329, NPgN!AQ329, NPgY!AQ329, WMID!AQ329, EMID!AQ329, SWALES!AQ329, SWEST!AQ329, LPN!AQ329,SPN!AQ329,EPN!AQ329,SPD!AQ329,SPMW!AQ329,SSEH!AQ329,SSES!AQ329)</f>
        <v>0.71</v>
      </c>
    </row>
    <row r="330" spans="5:43" s="156" customFormat="1" ht="15" customHeight="1">
      <c r="E330" s="19" t="s">
        <v>594</v>
      </c>
      <c r="F330" s="19"/>
      <c r="G330" s="190" t="s">
        <v>657</v>
      </c>
      <c r="H330" s="19"/>
      <c r="I330" s="19"/>
      <c r="J330" s="88"/>
      <c r="K330" s="88"/>
      <c r="L330" s="88"/>
      <c r="M330" s="88"/>
      <c r="N330" s="88"/>
      <c r="O330" s="88"/>
      <c r="P330" s="88"/>
      <c r="Q330" s="88"/>
      <c r="R330" s="88"/>
      <c r="S330" s="88"/>
      <c r="T330" s="88"/>
      <c r="U330" s="88"/>
      <c r="V330" s="88"/>
      <c r="W330" s="88"/>
      <c r="X330" s="88"/>
      <c r="Y330" s="88"/>
      <c r="Z330" s="88"/>
      <c r="AA330" s="19"/>
      <c r="AB330" s="19"/>
      <c r="AC330" s="19"/>
      <c r="AD330" s="19"/>
      <c r="AE330" s="219">
        <f>CHOOSE(m_identity,ENWL!AE330, NPgN!AE330, NPgY!AE330, WMID!AE330, EMID!AE330, SWALES!AE330, SWEST!AE330, LPN!AE330,SPN!AE330,EPN!AE330,SPD!AE330,SPMW!AE330,SSEH!AE330,SSES!AE330)</f>
        <v>0</v>
      </c>
      <c r="AF330" s="219">
        <f>CHOOSE(m_identity,ENWL!AF330, NPgN!AF330, NPgY!AF330, WMID!AF330, EMID!AF330, SWALES!AF330, SWEST!AF330, LPN!AF330,SPN!AF330,EPN!AF330,SPD!AF330,SPMW!AF330,SSEH!AF330,SSES!AF330)</f>
        <v>0</v>
      </c>
      <c r="AG330" s="219">
        <f>CHOOSE(m_identity,ENWL!AG330, NPgN!AG330, NPgY!AG330, WMID!AG330, EMID!AG330, SWALES!AG330, SWEST!AG330, LPN!AG330,SPN!AG330,EPN!AG330,SPD!AG330,SPMW!AG330,SSEH!AG330,SSES!AG330)</f>
        <v>0</v>
      </c>
      <c r="AH330" s="219">
        <f>CHOOSE(m_identity,ENWL!AH330, NPgN!AH330, NPgY!AH330, WMID!AH330, EMID!AH330, SWALES!AH330, SWEST!AH330, LPN!AH330,SPN!AH330,EPN!AH330,SPD!AH330,SPMW!AH330,SSEH!AH330,SSES!AH330)</f>
        <v>0</v>
      </c>
      <c r="AI330" s="219">
        <f>CHOOSE(m_identity,ENWL!AI330, NPgN!AI330, NPgY!AI330, WMID!AI330, EMID!AI330, SWALES!AI330, SWEST!AI330, LPN!AI330,SPN!AI330,EPN!AI330,SPD!AI330,SPMW!AI330,SSEH!AI330,SSES!AI330)</f>
        <v>0</v>
      </c>
      <c r="AJ330" s="219">
        <f>CHOOSE(m_identity,ENWL!AJ330, NPgN!AJ330, NPgY!AJ330, WMID!AJ330, EMID!AJ330, SWALES!AJ330, SWEST!AJ330, LPN!AJ330,SPN!AJ330,EPN!AJ330,SPD!AJ330,SPMW!AJ330,SSEH!AJ330,SSES!AJ330)</f>
        <v>-0.71000000000000008</v>
      </c>
      <c r="AK330" s="219">
        <f>CHOOSE(m_identity,ENWL!AK330, NPgN!AK330, NPgY!AK330, WMID!AK330, EMID!AK330, SWALES!AK330, SWEST!AK330, LPN!AK330,SPN!AK330,EPN!AK330,SPD!AK330,SPMW!AK330,SSEH!AK330,SSES!AK330)</f>
        <v>-0.71000000000000008</v>
      </c>
      <c r="AL330" s="219">
        <f>CHOOSE(m_identity,ENWL!AL330, NPgN!AL330, NPgY!AL330, WMID!AL330, EMID!AL330, SWALES!AL330, SWEST!AL330, LPN!AL330,SPN!AL330,EPN!AL330,SPD!AL330,SPMW!AL330,SSEH!AL330,SSES!AL330)</f>
        <v>-0.71000000000000008</v>
      </c>
      <c r="AM330" s="219">
        <f>CHOOSE(m_identity,ENWL!AM330, NPgN!AM330, NPgY!AM330, WMID!AM330, EMID!AM330, SWALES!AM330, SWEST!AM330, LPN!AM330,SPN!AM330,EPN!AM330,SPD!AM330,SPMW!AM330,SSEH!AM330,SSES!AM330)</f>
        <v>-0.71000000000000008</v>
      </c>
      <c r="AN330" s="219">
        <f>CHOOSE(m_identity,ENWL!AN330, NPgN!AN330, NPgY!AN330, WMID!AN330, EMID!AN330, SWALES!AN330, SWEST!AN330, LPN!AN330,SPN!AN330,EPN!AN330,SPD!AN330,SPMW!AN330,SSEH!AN330,SSES!AN330)</f>
        <v>-0.71000000000000008</v>
      </c>
      <c r="AO330" s="219">
        <f>CHOOSE(m_identity,ENWL!AO330, NPgN!AO330, NPgY!AO330, WMID!AO330, EMID!AO330, SWALES!AO330, SWEST!AO330, LPN!AO330,SPN!AO330,EPN!AO330,SPD!AO330,SPMW!AO330,SSEH!AO330,SSES!AO330)</f>
        <v>-0.71000000000000008</v>
      </c>
      <c r="AP330" s="219">
        <f>CHOOSE(m_identity,ENWL!AP330, NPgN!AP330, NPgY!AP330, WMID!AP330, EMID!AP330, SWALES!AP330, SWEST!AP330, LPN!AP330,SPN!AP330,EPN!AP330,SPD!AP330,SPMW!AP330,SSEH!AP330,SSES!AP330)</f>
        <v>-0.71000000000000008</v>
      </c>
      <c r="AQ330" s="219">
        <f>CHOOSE(m_identity,ENWL!AQ330, NPgN!AQ330, NPgY!AQ330, WMID!AQ330, EMID!AQ330, SWALES!AQ330, SWEST!AQ330, LPN!AQ330,SPN!AQ330,EPN!AQ330,SPD!AQ330,SPMW!AQ330,SSEH!AQ330,SSES!AQ330)</f>
        <v>-0.71000000000000008</v>
      </c>
    </row>
    <row r="331" spans="5:43" s="156" customFormat="1" ht="15" customHeight="1">
      <c r="E331" s="19" t="s">
        <v>595</v>
      </c>
      <c r="F331" s="19"/>
      <c r="G331" s="190" t="s">
        <v>657</v>
      </c>
      <c r="H331" s="19"/>
      <c r="I331" s="19"/>
      <c r="J331" s="88"/>
      <c r="K331" s="88"/>
      <c r="L331" s="88"/>
      <c r="M331" s="88"/>
      <c r="N331" s="88"/>
      <c r="O331" s="88"/>
      <c r="P331" s="88"/>
      <c r="Q331" s="88"/>
      <c r="R331" s="88"/>
      <c r="S331" s="88"/>
      <c r="T331" s="88"/>
      <c r="U331" s="88"/>
      <c r="V331" s="88"/>
      <c r="W331" s="88"/>
      <c r="X331" s="88"/>
      <c r="Y331" s="88"/>
      <c r="Z331" s="88"/>
      <c r="AA331" s="19"/>
      <c r="AB331" s="19"/>
      <c r="AC331" s="19"/>
      <c r="AD331" s="19"/>
      <c r="AE331" s="165">
        <f t="shared" ref="AE331:AI331" si="95">SUM(AE329,AE330)</f>
        <v>0</v>
      </c>
      <c r="AF331" s="165">
        <f t="shared" si="95"/>
        <v>0</v>
      </c>
      <c r="AG331" s="165">
        <f t="shared" si="95"/>
        <v>0</v>
      </c>
      <c r="AH331" s="165">
        <f t="shared" si="95"/>
        <v>0</v>
      </c>
      <c r="AI331" s="165">
        <f t="shared" si="95"/>
        <v>0</v>
      </c>
      <c r="AJ331" s="165">
        <f>SUM(AJ329,AJ330)</f>
        <v>0</v>
      </c>
      <c r="AK331" s="165">
        <f t="shared" ref="AK331" si="96">SUM(AK329,AK330)</f>
        <v>0</v>
      </c>
      <c r="AL331" s="165">
        <f t="shared" ref="AL331" si="97">SUM(AL329,AL330)</f>
        <v>0</v>
      </c>
      <c r="AM331" s="165">
        <f t="shared" ref="AM331" si="98">SUM(AM329,AM330)</f>
        <v>0</v>
      </c>
      <c r="AN331" s="165">
        <f t="shared" ref="AN331" si="99">SUM(AN329,AN330)</f>
        <v>0</v>
      </c>
      <c r="AO331" s="165">
        <f t="shared" ref="AO331" si="100">SUM(AO329,AO330)</f>
        <v>0</v>
      </c>
      <c r="AP331" s="165">
        <f t="shared" ref="AP331" si="101">SUM(AP329,AP330)</f>
        <v>0</v>
      </c>
      <c r="AQ331" s="165">
        <f t="shared" ref="AQ331" si="102">SUM(AQ329,AQ330)</f>
        <v>0</v>
      </c>
    </row>
    <row r="332" spans="5:43" s="156" customFormat="1" ht="15" customHeight="1">
      <c r="E332" s="19"/>
      <c r="F332" s="19"/>
      <c r="G332" s="190"/>
      <c r="H332" s="19"/>
      <c r="I332" s="19"/>
      <c r="J332" s="88"/>
      <c r="K332" s="88"/>
      <c r="L332" s="88"/>
      <c r="M332" s="88"/>
      <c r="N332" s="88"/>
      <c r="O332" s="88"/>
      <c r="P332" s="88"/>
      <c r="Q332" s="88"/>
      <c r="R332" s="88"/>
      <c r="S332" s="88"/>
      <c r="T332" s="88"/>
      <c r="U332" s="88"/>
      <c r="V332" s="88"/>
      <c r="W332" s="88"/>
      <c r="X332" s="88"/>
      <c r="Y332" s="88"/>
      <c r="Z332" s="88"/>
      <c r="AA332" s="19"/>
      <c r="AB332" s="19"/>
      <c r="AC332" s="19"/>
      <c r="AD332" s="19"/>
      <c r="AE332" s="155"/>
      <c r="AF332" s="155"/>
      <c r="AG332" s="155"/>
      <c r="AH332" s="155"/>
      <c r="AI332" s="155"/>
      <c r="AJ332" s="155"/>
      <c r="AK332" s="155"/>
      <c r="AL332" s="155"/>
      <c r="AM332" s="155"/>
      <c r="AN332" s="155"/>
      <c r="AO332" s="155"/>
      <c r="AP332" s="155"/>
      <c r="AQ332" s="155"/>
    </row>
    <row r="333" spans="5:43" s="156" customFormat="1" ht="15" customHeight="1">
      <c r="E333" s="19" t="s">
        <v>608</v>
      </c>
      <c r="F333" s="19"/>
      <c r="G333" s="190" t="s">
        <v>657</v>
      </c>
      <c r="H333" s="19"/>
      <c r="I333" s="19"/>
      <c r="J333" s="88"/>
      <c r="K333" s="88"/>
      <c r="L333" s="88"/>
      <c r="M333" s="88"/>
      <c r="N333" s="88"/>
      <c r="O333" s="88"/>
      <c r="P333" s="88"/>
      <c r="Q333" s="88"/>
      <c r="R333" s="88"/>
      <c r="S333" s="88"/>
      <c r="T333" s="88"/>
      <c r="U333" s="88"/>
      <c r="V333" s="88"/>
      <c r="W333" s="88"/>
      <c r="X333" s="88"/>
      <c r="Y333" s="88"/>
      <c r="Z333" s="88"/>
      <c r="AA333" s="19"/>
      <c r="AB333" s="19"/>
      <c r="AC333" s="19"/>
      <c r="AD333" s="19"/>
      <c r="AE333" s="219">
        <f>CHOOSE(m_identity,ENWL!AE333, NPgN!AE333, NPgY!AE333, WMID!AE333, EMID!AE333, SWALES!AE333, SWEST!AE333, LPN!AE333,SPN!AE333,EPN!AE333,SPD!AE333,SPMW!AE333,SSEH!AE333,SSES!AE333)</f>
        <v>0</v>
      </c>
      <c r="AF333" s="219">
        <f>CHOOSE(m_identity,ENWL!AF333, NPgN!AF333, NPgY!AF333, WMID!AF333, EMID!AF333, SWALES!AF333, SWEST!AF333, LPN!AF333,SPN!AF333,EPN!AF333,SPD!AF333,SPMW!AF333,SSEH!AF333,SSES!AF333)</f>
        <v>0</v>
      </c>
      <c r="AG333" s="219">
        <f>CHOOSE(m_identity,ENWL!AG333, NPgN!AG333, NPgY!AG333, WMID!AG333, EMID!AG333, SWALES!AG333, SWEST!AG333, LPN!AG333,SPN!AG333,EPN!AG333,SPD!AG333,SPMW!AG333,SSEH!AG333,SSES!AG333)</f>
        <v>0</v>
      </c>
      <c r="AH333" s="219">
        <f>CHOOSE(m_identity,ENWL!AH333, NPgN!AH333, NPgY!AH333, WMID!AH333, EMID!AH333, SWALES!AH333, SWEST!AH333, LPN!AH333,SPN!AH333,EPN!AH333,SPD!AH333,SPMW!AH333,SSEH!AH333,SSES!AH333)</f>
        <v>0</v>
      </c>
      <c r="AI333" s="219">
        <f>CHOOSE(m_identity,ENWL!AI333, NPgN!AI333, NPgY!AI333, WMID!AI333, EMID!AI333, SWALES!AI333, SWEST!AI333, LPN!AI333,SPN!AI333,EPN!AI333,SPD!AI333,SPMW!AI333,SSEH!AI333,SSES!AI333)</f>
        <v>0</v>
      </c>
      <c r="AJ333" s="219">
        <f>CHOOSE(m_identity,ENWL!AJ333, NPgN!AJ333, NPgY!AJ333, WMID!AJ333, EMID!AJ333, SWALES!AJ333, SWEST!AJ333, LPN!AJ333,SPN!AJ333,EPN!AJ333,SPD!AJ333,SPMW!AJ333,SSEH!AJ333,SSES!AJ333)</f>
        <v>13.105</v>
      </c>
      <c r="AK333" s="219">
        <f>CHOOSE(m_identity,ENWL!AK333, NPgN!AK333, NPgY!AK333, WMID!AK333, EMID!AK333, SWALES!AK333, SWEST!AK333, LPN!AK333,SPN!AK333,EPN!AK333,SPD!AK333,SPMW!AK333,SSEH!AK333,SSES!AK333)</f>
        <v>13.105</v>
      </c>
      <c r="AL333" s="219">
        <f>CHOOSE(m_identity,ENWL!AL333, NPgN!AL333, NPgY!AL333, WMID!AL333, EMID!AL333, SWALES!AL333, SWEST!AL333, LPN!AL333,SPN!AL333,EPN!AL333,SPD!AL333,SPMW!AL333,SSEH!AL333,SSES!AL333)</f>
        <v>13.105</v>
      </c>
      <c r="AM333" s="219">
        <f>CHOOSE(m_identity,ENWL!AM333, NPgN!AM333, NPgY!AM333, WMID!AM333, EMID!AM333, SWALES!AM333, SWEST!AM333, LPN!AM333,SPN!AM333,EPN!AM333,SPD!AM333,SPMW!AM333,SSEH!AM333,SSES!AM333)</f>
        <v>13.105</v>
      </c>
      <c r="AN333" s="219">
        <f>CHOOSE(m_identity,ENWL!AN333, NPgN!AN333, NPgY!AN333, WMID!AN333, EMID!AN333, SWALES!AN333, SWEST!AN333, LPN!AN333,SPN!AN333,EPN!AN333,SPD!AN333,SPMW!AN333,SSEH!AN333,SSES!AN333)</f>
        <v>13.105</v>
      </c>
      <c r="AO333" s="219">
        <f>CHOOSE(m_identity,ENWL!AO333, NPgN!AO333, NPgY!AO333, WMID!AO333, EMID!AO333, SWALES!AO333, SWEST!AO333, LPN!AO333,SPN!AO333,EPN!AO333,SPD!AO333,SPMW!AO333,SSEH!AO333,SSES!AO333)</f>
        <v>13.105</v>
      </c>
      <c r="AP333" s="219">
        <f>CHOOSE(m_identity,ENWL!AP333, NPgN!AP333, NPgY!AP333, WMID!AP333, EMID!AP333, SWALES!AP333, SWEST!AP333, LPN!AP333,SPN!AP333,EPN!AP333,SPD!AP333,SPMW!AP333,SSEH!AP333,SSES!AP333)</f>
        <v>13.105</v>
      </c>
      <c r="AQ333" s="219">
        <f>CHOOSE(m_identity,ENWL!AQ333, NPgN!AQ333, NPgY!AQ333, WMID!AQ333, EMID!AQ333, SWALES!AQ333, SWEST!AQ333, LPN!AQ333,SPN!AQ333,EPN!AQ333,SPD!AQ333,SPMW!AQ333,SSEH!AQ333,SSES!AQ333)</f>
        <v>13.105</v>
      </c>
    </row>
    <row r="334" spans="5:43" s="156" customFormat="1" ht="15" customHeight="1">
      <c r="E334" s="19" t="s">
        <v>609</v>
      </c>
      <c r="F334" s="19"/>
      <c r="G334" s="190" t="s">
        <v>657</v>
      </c>
      <c r="H334" s="19"/>
      <c r="I334" s="19"/>
      <c r="J334" s="88"/>
      <c r="K334" s="88"/>
      <c r="L334" s="88"/>
      <c r="M334" s="88"/>
      <c r="N334" s="88"/>
      <c r="O334" s="88"/>
      <c r="P334" s="88"/>
      <c r="Q334" s="88"/>
      <c r="R334" s="88"/>
      <c r="S334" s="88"/>
      <c r="T334" s="88"/>
      <c r="U334" s="88"/>
      <c r="V334" s="88"/>
      <c r="W334" s="88"/>
      <c r="X334" s="88"/>
      <c r="Y334" s="88"/>
      <c r="Z334" s="88"/>
      <c r="AA334" s="19"/>
      <c r="AB334" s="19"/>
      <c r="AC334" s="19"/>
      <c r="AD334" s="19"/>
      <c r="AE334" s="219">
        <f>CHOOSE(m_identity,ENWL!AE334, NPgN!AE334, NPgY!AE334, WMID!AE334, EMID!AE334, SWALES!AE334, SWEST!AE334, LPN!AE334,SPN!AE334,EPN!AE334,SPD!AE334,SPMW!AE334,SSEH!AE334,SSES!AE334)</f>
        <v>0</v>
      </c>
      <c r="AF334" s="219">
        <f>CHOOSE(m_identity,ENWL!AF334, NPgN!AF334, NPgY!AF334, WMID!AF334, EMID!AF334, SWALES!AF334, SWEST!AF334, LPN!AF334,SPN!AF334,EPN!AF334,SPD!AF334,SPMW!AF334,SSEH!AF334,SSES!AF334)</f>
        <v>0</v>
      </c>
      <c r="AG334" s="219">
        <f>CHOOSE(m_identity,ENWL!AG334, NPgN!AG334, NPgY!AG334, WMID!AG334, EMID!AG334, SWALES!AG334, SWEST!AG334, LPN!AG334,SPN!AG334,EPN!AG334,SPD!AG334,SPMW!AG334,SSEH!AG334,SSES!AG334)</f>
        <v>0</v>
      </c>
      <c r="AH334" s="219">
        <f>CHOOSE(m_identity,ENWL!AH334, NPgN!AH334, NPgY!AH334, WMID!AH334, EMID!AH334, SWALES!AH334, SWEST!AH334, LPN!AH334,SPN!AH334,EPN!AH334,SPD!AH334,SPMW!AH334,SSEH!AH334,SSES!AH334)</f>
        <v>0</v>
      </c>
      <c r="AI334" s="219">
        <f>CHOOSE(m_identity,ENWL!AI334, NPgN!AI334, NPgY!AI334, WMID!AI334, EMID!AI334, SWALES!AI334, SWEST!AI334, LPN!AI334,SPN!AI334,EPN!AI334,SPD!AI334,SPMW!AI334,SSEH!AI334,SSES!AI334)</f>
        <v>0</v>
      </c>
      <c r="AJ334" s="219">
        <f>CHOOSE(m_identity,ENWL!AJ334, NPgN!AJ334, NPgY!AJ334, WMID!AJ334, EMID!AJ334, SWALES!AJ334, SWEST!AJ334, LPN!AJ334,SPN!AJ334,EPN!AJ334,SPD!AJ334,SPMW!AJ334,SSEH!AJ334,SSES!AJ334)</f>
        <v>-9.5391611190696892</v>
      </c>
      <c r="AK334" s="219">
        <f>CHOOSE(m_identity,ENWL!AK334, NPgN!AK334, NPgY!AK334, WMID!AK334, EMID!AK334, SWALES!AK334, SWEST!AK334, LPN!AK334,SPN!AK334,EPN!AK334,SPD!AK334,SPMW!AK334,SSEH!AK334,SSES!AK334)</f>
        <v>-9.5391611190696892</v>
      </c>
      <c r="AL334" s="219">
        <f>CHOOSE(m_identity,ENWL!AL334, NPgN!AL334, NPgY!AL334, WMID!AL334, EMID!AL334, SWALES!AL334, SWEST!AL334, LPN!AL334,SPN!AL334,EPN!AL334,SPD!AL334,SPMW!AL334,SSEH!AL334,SSES!AL334)</f>
        <v>-9.5391611190696892</v>
      </c>
      <c r="AM334" s="219">
        <f>CHOOSE(m_identity,ENWL!AM334, NPgN!AM334, NPgY!AM334, WMID!AM334, EMID!AM334, SWALES!AM334, SWEST!AM334, LPN!AM334,SPN!AM334,EPN!AM334,SPD!AM334,SPMW!AM334,SSEH!AM334,SSES!AM334)</f>
        <v>-9.5391611190696892</v>
      </c>
      <c r="AN334" s="219">
        <f>CHOOSE(m_identity,ENWL!AN334, NPgN!AN334, NPgY!AN334, WMID!AN334, EMID!AN334, SWALES!AN334, SWEST!AN334, LPN!AN334,SPN!AN334,EPN!AN334,SPD!AN334,SPMW!AN334,SSEH!AN334,SSES!AN334)</f>
        <v>-9.5391611190696892</v>
      </c>
      <c r="AO334" s="219">
        <f>CHOOSE(m_identity,ENWL!AO334, NPgN!AO334, NPgY!AO334, WMID!AO334, EMID!AO334, SWALES!AO334, SWEST!AO334, LPN!AO334,SPN!AO334,EPN!AO334,SPD!AO334,SPMW!AO334,SSEH!AO334,SSES!AO334)</f>
        <v>-9.5391611190696892</v>
      </c>
      <c r="AP334" s="219">
        <f>CHOOSE(m_identity,ENWL!AP334, NPgN!AP334, NPgY!AP334, WMID!AP334, EMID!AP334, SWALES!AP334, SWEST!AP334, LPN!AP334,SPN!AP334,EPN!AP334,SPD!AP334,SPMW!AP334,SSEH!AP334,SSES!AP334)</f>
        <v>-9.5391611190696892</v>
      </c>
      <c r="AQ334" s="219">
        <f>CHOOSE(m_identity,ENWL!AQ334, NPgN!AQ334, NPgY!AQ334, WMID!AQ334, EMID!AQ334, SWALES!AQ334, SWEST!AQ334, LPN!AQ334,SPN!AQ334,EPN!AQ334,SPD!AQ334,SPMW!AQ334,SSEH!AQ334,SSES!AQ334)</f>
        <v>-9.5391611190696892</v>
      </c>
    </row>
    <row r="335" spans="5:43" s="156" customFormat="1" ht="15" customHeight="1">
      <c r="E335" s="19" t="s">
        <v>610</v>
      </c>
      <c r="F335" s="19"/>
      <c r="G335" s="190" t="s">
        <v>657</v>
      </c>
      <c r="H335" s="19"/>
      <c r="I335" s="19"/>
      <c r="J335" s="88"/>
      <c r="K335" s="88"/>
      <c r="L335" s="88"/>
      <c r="M335" s="88"/>
      <c r="N335" s="88"/>
      <c r="O335" s="88"/>
      <c r="P335" s="88"/>
      <c r="Q335" s="88"/>
      <c r="R335" s="88"/>
      <c r="S335" s="88"/>
      <c r="T335" s="88"/>
      <c r="U335" s="88"/>
      <c r="V335" s="88"/>
      <c r="W335" s="88"/>
      <c r="X335" s="88"/>
      <c r="Y335" s="88"/>
      <c r="Z335" s="88"/>
      <c r="AA335" s="19"/>
      <c r="AB335" s="19"/>
      <c r="AC335" s="19"/>
      <c r="AD335" s="19"/>
      <c r="AE335" s="165">
        <f t="shared" ref="AE335:AI335" si="103">SUM(AE333,AE334)</f>
        <v>0</v>
      </c>
      <c r="AF335" s="165">
        <f t="shared" si="103"/>
        <v>0</v>
      </c>
      <c r="AG335" s="165">
        <f t="shared" si="103"/>
        <v>0</v>
      </c>
      <c r="AH335" s="165">
        <f t="shared" si="103"/>
        <v>0</v>
      </c>
      <c r="AI335" s="165">
        <f t="shared" si="103"/>
        <v>0</v>
      </c>
      <c r="AJ335" s="165">
        <f>SUM(AJ333,AJ334)</f>
        <v>3.5658388809303112</v>
      </c>
      <c r="AK335" s="165">
        <f t="shared" ref="AK335" si="104">SUM(AK333,AK334)</f>
        <v>3.5658388809303112</v>
      </c>
      <c r="AL335" s="165">
        <f t="shared" ref="AL335" si="105">SUM(AL333,AL334)</f>
        <v>3.5658388809303112</v>
      </c>
      <c r="AM335" s="165">
        <f t="shared" ref="AM335" si="106">SUM(AM333,AM334)</f>
        <v>3.5658388809303112</v>
      </c>
      <c r="AN335" s="165">
        <f t="shared" ref="AN335" si="107">SUM(AN333,AN334)</f>
        <v>3.5658388809303112</v>
      </c>
      <c r="AO335" s="165">
        <f t="shared" ref="AO335" si="108">SUM(AO333,AO334)</f>
        <v>3.5658388809303112</v>
      </c>
      <c r="AP335" s="165">
        <f t="shared" ref="AP335" si="109">SUM(AP333,AP334)</f>
        <v>3.5658388809303112</v>
      </c>
      <c r="AQ335" s="165">
        <f t="shared" ref="AQ335" si="110">SUM(AQ333,AQ334)</f>
        <v>3.5658388809303112</v>
      </c>
    </row>
    <row r="336" spans="5:43" s="156" customFormat="1" ht="15" customHeight="1">
      <c r="E336" s="19"/>
      <c r="F336" s="19"/>
      <c r="G336" s="190"/>
      <c r="H336" s="19"/>
      <c r="I336" s="19"/>
      <c r="J336" s="88"/>
      <c r="K336" s="88"/>
      <c r="L336" s="88"/>
      <c r="M336" s="88"/>
      <c r="N336" s="88"/>
      <c r="O336" s="88"/>
      <c r="P336" s="88"/>
      <c r="Q336" s="88"/>
      <c r="R336" s="88"/>
      <c r="S336" s="88"/>
      <c r="T336" s="88"/>
      <c r="U336" s="88"/>
      <c r="V336" s="88"/>
      <c r="W336" s="88"/>
      <c r="X336" s="88"/>
      <c r="Y336" s="88"/>
      <c r="Z336" s="88"/>
      <c r="AA336" s="19"/>
      <c r="AB336" s="19"/>
      <c r="AC336" s="19"/>
      <c r="AD336" s="19"/>
      <c r="AE336" s="155"/>
      <c r="AF336" s="155"/>
      <c r="AG336" s="155"/>
      <c r="AH336" s="155"/>
      <c r="AI336" s="155"/>
      <c r="AJ336" s="155"/>
      <c r="AK336" s="155"/>
      <c r="AL336" s="155"/>
      <c r="AM336" s="155"/>
      <c r="AN336" s="155"/>
      <c r="AO336" s="155"/>
      <c r="AP336" s="155"/>
      <c r="AQ336" s="155"/>
    </row>
    <row r="337" spans="2:43" s="156" customFormat="1" ht="15" customHeight="1">
      <c r="E337" s="19" t="s">
        <v>651</v>
      </c>
      <c r="F337" s="19"/>
      <c r="G337" s="190" t="s">
        <v>657</v>
      </c>
      <c r="H337" s="19"/>
      <c r="I337" s="19"/>
      <c r="J337" s="88"/>
      <c r="K337" s="88"/>
      <c r="L337" s="88"/>
      <c r="M337" s="88"/>
      <c r="N337" s="88"/>
      <c r="O337" s="88"/>
      <c r="P337" s="88"/>
      <c r="Q337" s="88"/>
      <c r="R337" s="88"/>
      <c r="S337" s="88"/>
      <c r="T337" s="88"/>
      <c r="U337" s="88"/>
      <c r="V337" s="88"/>
      <c r="W337" s="88"/>
      <c r="X337" s="88"/>
      <c r="Y337" s="88"/>
      <c r="Z337" s="88"/>
      <c r="AA337" s="19"/>
      <c r="AB337" s="19"/>
      <c r="AC337" s="19"/>
      <c r="AD337" s="19"/>
      <c r="AE337" s="219">
        <f>CHOOSE(m_identity,ENWL!AE337, NPgN!AE337, NPgY!AE337, WMID!AE337, EMID!AE337, SWALES!AE337, SWEST!AE337, LPN!AE337,SPN!AE337,EPN!AE337,SPD!AE337,SPMW!AE337,SSEH!AE337,SSES!AE337)</f>
        <v>0</v>
      </c>
      <c r="AF337" s="219">
        <f>CHOOSE(m_identity,ENWL!AF337, NPgN!AF337, NPgY!AF337, WMID!AF337, EMID!AF337, SWALES!AF337, SWEST!AF337, LPN!AF337,SPN!AF337,EPN!AF337,SPD!AF337,SPMW!AF337,SSEH!AF337,SSES!AF337)</f>
        <v>0</v>
      </c>
      <c r="AG337" s="219">
        <f>CHOOSE(m_identity,ENWL!AG337, NPgN!AG337, NPgY!AG337, WMID!AG337, EMID!AG337, SWALES!AG337, SWEST!AG337, LPN!AG337,SPN!AG337,EPN!AG337,SPD!AG337,SPMW!AG337,SSEH!AG337,SSES!AG337)</f>
        <v>0</v>
      </c>
      <c r="AH337" s="219">
        <f>CHOOSE(m_identity,ENWL!AH337, NPgN!AH337, NPgY!AH337, WMID!AH337, EMID!AH337, SWALES!AH337, SWEST!AH337, LPN!AH337,SPN!AH337,EPN!AH337,SPD!AH337,SPMW!AH337,SSEH!AH337,SSES!AH337)</f>
        <v>0</v>
      </c>
      <c r="AI337" s="219">
        <f>CHOOSE(m_identity,ENWL!AI337, NPgN!AI337, NPgY!AI337, WMID!AI337, EMID!AI337, SWALES!AI337, SWEST!AI337, LPN!AI337,SPN!AI337,EPN!AI337,SPD!AI337,SPMW!AI337,SSEH!AI337,SSES!AI337)</f>
        <v>0</v>
      </c>
      <c r="AJ337" s="219">
        <f>CHOOSE(m_identity,ENWL!AJ337, NPgN!AJ337, NPgY!AJ337, WMID!AJ337, EMID!AJ337, SWALES!AJ337, SWEST!AJ337, LPN!AJ337,SPN!AJ337,EPN!AJ337,SPD!AJ337,SPMW!AJ337,SSEH!AJ337,SSES!AJ337)</f>
        <v>0</v>
      </c>
      <c r="AK337" s="219">
        <f>CHOOSE(m_identity,ENWL!AK337, NPgN!AK337, NPgY!AK337, WMID!AK337, EMID!AK337, SWALES!AK337, SWEST!AK337, LPN!AK337,SPN!AK337,EPN!AK337,SPD!AK337,SPMW!AK337,SSEH!AK337,SSES!AK337)</f>
        <v>0</v>
      </c>
      <c r="AL337" s="219">
        <f>CHOOSE(m_identity,ENWL!AL337, NPgN!AL337, NPgY!AL337, WMID!AL337, EMID!AL337, SWALES!AL337, SWEST!AL337, LPN!AL337,SPN!AL337,EPN!AL337,SPD!AL337,SPMW!AL337,SSEH!AL337,SSES!AL337)</f>
        <v>0</v>
      </c>
      <c r="AM337" s="219">
        <f>CHOOSE(m_identity,ENWL!AM337, NPgN!AM337, NPgY!AM337, WMID!AM337, EMID!AM337, SWALES!AM337, SWEST!AM337, LPN!AM337,SPN!AM337,EPN!AM337,SPD!AM337,SPMW!AM337,SSEH!AM337,SSES!AM337)</f>
        <v>0</v>
      </c>
      <c r="AN337" s="219">
        <f>CHOOSE(m_identity,ENWL!AN337, NPgN!AN337, NPgY!AN337, WMID!AN337, EMID!AN337, SWALES!AN337, SWEST!AN337, LPN!AN337,SPN!AN337,EPN!AN337,SPD!AN337,SPMW!AN337,SSEH!AN337,SSES!AN337)</f>
        <v>0</v>
      </c>
      <c r="AO337" s="219">
        <f>CHOOSE(m_identity,ENWL!AO337, NPgN!AO337, NPgY!AO337, WMID!AO337, EMID!AO337, SWALES!AO337, SWEST!AO337, LPN!AO337,SPN!AO337,EPN!AO337,SPD!AO337,SPMW!AO337,SSEH!AO337,SSES!AO337)</f>
        <v>0</v>
      </c>
      <c r="AP337" s="219">
        <f>CHOOSE(m_identity,ENWL!AP337, NPgN!AP337, NPgY!AP337, WMID!AP337, EMID!AP337, SWALES!AP337, SWEST!AP337, LPN!AP337,SPN!AP337,EPN!AP337,SPD!AP337,SPMW!AP337,SSEH!AP337,SSES!AP337)</f>
        <v>0</v>
      </c>
      <c r="AQ337" s="219">
        <f>CHOOSE(m_identity,ENWL!AQ337, NPgN!AQ337, NPgY!AQ337, WMID!AQ337, EMID!AQ337, SWALES!AQ337, SWEST!AQ337, LPN!AQ337,SPN!AQ337,EPN!AQ337,SPD!AQ337,SPMW!AQ337,SSEH!AQ337,SSES!AQ337)</f>
        <v>0</v>
      </c>
    </row>
    <row r="338" spans="2:43" s="156" customFormat="1" ht="15" customHeight="1">
      <c r="E338" s="19" t="s">
        <v>652</v>
      </c>
      <c r="F338" s="19"/>
      <c r="G338" s="190" t="s">
        <v>657</v>
      </c>
      <c r="H338" s="19"/>
      <c r="I338" s="19"/>
      <c r="J338" s="88"/>
      <c r="K338" s="88"/>
      <c r="L338" s="88"/>
      <c r="M338" s="88"/>
      <c r="N338" s="88"/>
      <c r="O338" s="88"/>
      <c r="P338" s="88"/>
      <c r="Q338" s="88"/>
      <c r="R338" s="88"/>
      <c r="S338" s="88"/>
      <c r="T338" s="88"/>
      <c r="U338" s="88"/>
      <c r="V338" s="88"/>
      <c r="W338" s="88"/>
      <c r="X338" s="88"/>
      <c r="Y338" s="88"/>
      <c r="Z338" s="88"/>
      <c r="AA338" s="19"/>
      <c r="AB338" s="19"/>
      <c r="AC338" s="19"/>
      <c r="AD338" s="19"/>
      <c r="AE338" s="219">
        <f>CHOOSE(m_identity,ENWL!AE338, NPgN!AE338, NPgY!AE338, WMID!AE338, EMID!AE338, SWALES!AE338, SWEST!AE338, LPN!AE338,SPN!AE338,EPN!AE338,SPD!AE338,SPMW!AE338,SSEH!AE338,SSES!AE338)</f>
        <v>0</v>
      </c>
      <c r="AF338" s="219">
        <f>CHOOSE(m_identity,ENWL!AF338, NPgN!AF338, NPgY!AF338, WMID!AF338, EMID!AF338, SWALES!AF338, SWEST!AF338, LPN!AF338,SPN!AF338,EPN!AF338,SPD!AF338,SPMW!AF338,SSEH!AF338,SSES!AF338)</f>
        <v>0</v>
      </c>
      <c r="AG338" s="219">
        <f>CHOOSE(m_identity,ENWL!AG338, NPgN!AG338, NPgY!AG338, WMID!AG338, EMID!AG338, SWALES!AG338, SWEST!AG338, LPN!AG338,SPN!AG338,EPN!AG338,SPD!AG338,SPMW!AG338,SSEH!AG338,SSES!AG338)</f>
        <v>0</v>
      </c>
      <c r="AH338" s="219">
        <f>CHOOSE(m_identity,ENWL!AH338, NPgN!AH338, NPgY!AH338, WMID!AH338, EMID!AH338, SWALES!AH338, SWEST!AH338, LPN!AH338,SPN!AH338,EPN!AH338,SPD!AH338,SPMW!AH338,SSEH!AH338,SSES!AH338)</f>
        <v>0</v>
      </c>
      <c r="AI338" s="219">
        <f>CHOOSE(m_identity,ENWL!AI338, NPgN!AI338, NPgY!AI338, WMID!AI338, EMID!AI338, SWALES!AI338, SWEST!AI338, LPN!AI338,SPN!AI338,EPN!AI338,SPD!AI338,SPMW!AI338,SSEH!AI338,SSES!AI338)</f>
        <v>0</v>
      </c>
      <c r="AJ338" s="219">
        <f>CHOOSE(m_identity,ENWL!AJ338, NPgN!AJ338, NPgY!AJ338, WMID!AJ338, EMID!AJ338, SWALES!AJ338, SWEST!AJ338, LPN!AJ338,SPN!AJ338,EPN!AJ338,SPD!AJ338,SPMW!AJ338,SSEH!AJ338,SSES!AJ338)</f>
        <v>0</v>
      </c>
      <c r="AK338" s="219">
        <f>CHOOSE(m_identity,ENWL!AK338, NPgN!AK338, NPgY!AK338, WMID!AK338, EMID!AK338, SWALES!AK338, SWEST!AK338, LPN!AK338,SPN!AK338,EPN!AK338,SPD!AK338,SPMW!AK338,SSEH!AK338,SSES!AK338)</f>
        <v>0</v>
      </c>
      <c r="AL338" s="219">
        <f>CHOOSE(m_identity,ENWL!AL338, NPgN!AL338, NPgY!AL338, WMID!AL338, EMID!AL338, SWALES!AL338, SWEST!AL338, LPN!AL338,SPN!AL338,EPN!AL338,SPD!AL338,SPMW!AL338,SSEH!AL338,SSES!AL338)</f>
        <v>0</v>
      </c>
      <c r="AM338" s="219">
        <f>CHOOSE(m_identity,ENWL!AM338, NPgN!AM338, NPgY!AM338, WMID!AM338, EMID!AM338, SWALES!AM338, SWEST!AM338, LPN!AM338,SPN!AM338,EPN!AM338,SPD!AM338,SPMW!AM338,SSEH!AM338,SSES!AM338)</f>
        <v>0</v>
      </c>
      <c r="AN338" s="219">
        <f>CHOOSE(m_identity,ENWL!AN338, NPgN!AN338, NPgY!AN338, WMID!AN338, EMID!AN338, SWALES!AN338, SWEST!AN338, LPN!AN338,SPN!AN338,EPN!AN338,SPD!AN338,SPMW!AN338,SSEH!AN338,SSES!AN338)</f>
        <v>0</v>
      </c>
      <c r="AO338" s="219">
        <f>CHOOSE(m_identity,ENWL!AO338, NPgN!AO338, NPgY!AO338, WMID!AO338, EMID!AO338, SWALES!AO338, SWEST!AO338, LPN!AO338,SPN!AO338,EPN!AO338,SPD!AO338,SPMW!AO338,SSEH!AO338,SSES!AO338)</f>
        <v>0</v>
      </c>
      <c r="AP338" s="219">
        <f>CHOOSE(m_identity,ENWL!AP338, NPgN!AP338, NPgY!AP338, WMID!AP338, EMID!AP338, SWALES!AP338, SWEST!AP338, LPN!AP338,SPN!AP338,EPN!AP338,SPD!AP338,SPMW!AP338,SSEH!AP338,SSES!AP338)</f>
        <v>0</v>
      </c>
      <c r="AQ338" s="219">
        <f>CHOOSE(m_identity,ENWL!AQ338, NPgN!AQ338, NPgY!AQ338, WMID!AQ338, EMID!AQ338, SWALES!AQ338, SWEST!AQ338, LPN!AQ338,SPN!AQ338,EPN!AQ338,SPD!AQ338,SPMW!AQ338,SSEH!AQ338,SSES!AQ338)</f>
        <v>0</v>
      </c>
    </row>
    <row r="339" spans="2:43" s="156" customFormat="1" ht="15" customHeight="1">
      <c r="E339" s="19" t="s">
        <v>653</v>
      </c>
      <c r="F339" s="19"/>
      <c r="G339" s="190" t="s">
        <v>657</v>
      </c>
      <c r="H339" s="19"/>
      <c r="I339" s="19"/>
      <c r="J339" s="88"/>
      <c r="K339" s="88"/>
      <c r="L339" s="88"/>
      <c r="M339" s="88"/>
      <c r="N339" s="88"/>
      <c r="O339" s="88"/>
      <c r="P339" s="88"/>
      <c r="Q339" s="88"/>
      <c r="R339" s="88"/>
      <c r="S339" s="88"/>
      <c r="T339" s="88"/>
      <c r="U339" s="88"/>
      <c r="V339" s="88"/>
      <c r="W339" s="88"/>
      <c r="X339" s="88"/>
      <c r="Y339" s="88"/>
      <c r="Z339" s="88"/>
      <c r="AA339" s="19"/>
      <c r="AB339" s="19"/>
      <c r="AC339" s="19"/>
      <c r="AD339" s="19"/>
      <c r="AE339" s="165">
        <f t="shared" ref="AE339:AI339" si="111">SUM(AE337,AE338)</f>
        <v>0</v>
      </c>
      <c r="AF339" s="165">
        <f t="shared" si="111"/>
        <v>0</v>
      </c>
      <c r="AG339" s="165">
        <f t="shared" si="111"/>
        <v>0</v>
      </c>
      <c r="AH339" s="165">
        <f t="shared" si="111"/>
        <v>0</v>
      </c>
      <c r="AI339" s="165">
        <f t="shared" si="111"/>
        <v>0</v>
      </c>
      <c r="AJ339" s="165">
        <f>SUM(AJ337,AJ338)</f>
        <v>0</v>
      </c>
      <c r="AK339" s="165">
        <f t="shared" ref="AK339" si="112">SUM(AK337,AK338)</f>
        <v>0</v>
      </c>
      <c r="AL339" s="165">
        <f t="shared" ref="AL339" si="113">SUM(AL337,AL338)</f>
        <v>0</v>
      </c>
      <c r="AM339" s="165">
        <f t="shared" ref="AM339" si="114">SUM(AM337,AM338)</f>
        <v>0</v>
      </c>
      <c r="AN339" s="165">
        <f t="shared" ref="AN339" si="115">SUM(AN337,AN338)</f>
        <v>0</v>
      </c>
      <c r="AO339" s="165">
        <f t="shared" ref="AO339" si="116">SUM(AO337,AO338)</f>
        <v>0</v>
      </c>
      <c r="AP339" s="165">
        <f t="shared" ref="AP339" si="117">SUM(AP337,AP338)</f>
        <v>0</v>
      </c>
      <c r="AQ339" s="165">
        <f t="shared" ref="AQ339" si="118">SUM(AQ337,AQ338)</f>
        <v>0</v>
      </c>
    </row>
    <row r="340" spans="2:43" s="156" customFormat="1" ht="15" customHeight="1">
      <c r="E340" s="19"/>
      <c r="F340" s="19"/>
      <c r="G340" s="190"/>
      <c r="H340" s="19"/>
      <c r="I340" s="19"/>
      <c r="J340" s="88"/>
      <c r="K340" s="88"/>
      <c r="L340" s="88"/>
      <c r="M340" s="88"/>
      <c r="N340" s="88"/>
      <c r="O340" s="88"/>
      <c r="P340" s="88"/>
      <c r="Q340" s="88"/>
      <c r="R340" s="88"/>
      <c r="S340" s="88"/>
      <c r="T340" s="88"/>
      <c r="U340" s="88"/>
      <c r="V340" s="88"/>
      <c r="W340" s="88"/>
      <c r="X340" s="88"/>
      <c r="Y340" s="88"/>
      <c r="Z340" s="88"/>
      <c r="AA340" s="19"/>
      <c r="AB340" s="19"/>
      <c r="AC340" s="19"/>
      <c r="AD340" s="19"/>
      <c r="AE340" s="155"/>
      <c r="AF340" s="155"/>
      <c r="AG340" s="155"/>
      <c r="AH340" s="155"/>
      <c r="AI340" s="155"/>
      <c r="AJ340" s="155"/>
      <c r="AK340" s="155"/>
      <c r="AL340" s="155"/>
      <c r="AM340" s="155"/>
      <c r="AN340" s="155"/>
      <c r="AO340" s="155"/>
      <c r="AP340" s="155"/>
      <c r="AQ340" s="155"/>
    </row>
    <row r="341" spans="2:43" s="156" customFormat="1" ht="15" customHeight="1">
      <c r="E341" s="19" t="s">
        <v>607</v>
      </c>
      <c r="F341" s="19"/>
      <c r="G341" s="190" t="s">
        <v>657</v>
      </c>
      <c r="H341" s="19"/>
      <c r="I341" s="19"/>
      <c r="J341" s="88"/>
      <c r="K341" s="88"/>
      <c r="L341" s="88"/>
      <c r="M341" s="88"/>
      <c r="N341" s="88"/>
      <c r="O341" s="88"/>
      <c r="P341" s="88"/>
      <c r="Q341" s="88"/>
      <c r="R341" s="88"/>
      <c r="S341" s="88"/>
      <c r="T341" s="88"/>
      <c r="U341" s="88"/>
      <c r="V341" s="88"/>
      <c r="W341" s="88"/>
      <c r="X341" s="88"/>
      <c r="Y341" s="88"/>
      <c r="Z341" s="88"/>
      <c r="AA341" s="19"/>
      <c r="AB341" s="19"/>
      <c r="AC341" s="19"/>
      <c r="AD341" s="19"/>
      <c r="AE341" s="219">
        <f>CHOOSE(m_identity,ENWL!AE341, NPgN!AE341, NPgY!AE341, WMID!AE341, EMID!AE341, SWALES!AE341, SWEST!AE341, LPN!AE341,SPN!AE341,EPN!AE341,SPD!AE341,SPMW!AE341,SSEH!AE341,SSES!AE341)</f>
        <v>0</v>
      </c>
      <c r="AF341" s="219">
        <f>CHOOSE(m_identity,ENWL!AF341, NPgN!AF341, NPgY!AF341, WMID!AF341, EMID!AF341, SWALES!AF341, SWEST!AF341, LPN!AF341,SPN!AF341,EPN!AF341,SPD!AF341,SPMW!AF341,SSEH!AF341,SSES!AF341)</f>
        <v>0</v>
      </c>
      <c r="AG341" s="219">
        <f>CHOOSE(m_identity,ENWL!AG341, NPgN!AG341, NPgY!AG341, WMID!AG341, EMID!AG341, SWALES!AG341, SWEST!AG341, LPN!AG341,SPN!AG341,EPN!AG341,SPD!AG341,SPMW!AG341,SSEH!AG341,SSES!AG341)</f>
        <v>0</v>
      </c>
      <c r="AH341" s="219">
        <f>CHOOSE(m_identity,ENWL!AH341, NPgN!AH341, NPgY!AH341, WMID!AH341, EMID!AH341, SWALES!AH341, SWEST!AH341, LPN!AH341,SPN!AH341,EPN!AH341,SPD!AH341,SPMW!AH341,SSEH!AH341,SSES!AH341)</f>
        <v>0</v>
      </c>
      <c r="AI341" s="219">
        <f>CHOOSE(m_identity,ENWL!AI341, NPgN!AI341, NPgY!AI341, WMID!AI341, EMID!AI341, SWALES!AI341, SWEST!AI341, LPN!AI341,SPN!AI341,EPN!AI341,SPD!AI341,SPMW!AI341,SSEH!AI341,SSES!AI341)</f>
        <v>0</v>
      </c>
      <c r="AJ341" s="219">
        <f>CHOOSE(m_identity,ENWL!AJ341, NPgN!AJ341, NPgY!AJ341, WMID!AJ341, EMID!AJ341, SWALES!AJ341, SWEST!AJ341, LPN!AJ341,SPN!AJ341,EPN!AJ341,SPD!AJ341,SPMW!AJ341,SSEH!AJ341,SSES!AJ341)</f>
        <v>0</v>
      </c>
      <c r="AK341" s="219">
        <f>CHOOSE(m_identity,ENWL!AK341, NPgN!AK341, NPgY!AK341, WMID!AK341, EMID!AK341, SWALES!AK341, SWEST!AK341, LPN!AK341,SPN!AK341,EPN!AK341,SPD!AK341,SPMW!AK341,SSEH!AK341,SSES!AK341)</f>
        <v>0</v>
      </c>
      <c r="AL341" s="219">
        <f>CHOOSE(m_identity,ENWL!AL341, NPgN!AL341, NPgY!AL341, WMID!AL341, EMID!AL341, SWALES!AL341, SWEST!AL341, LPN!AL341,SPN!AL341,EPN!AL341,SPD!AL341,SPMW!AL341,SSEH!AL341,SSES!AL341)</f>
        <v>0</v>
      </c>
      <c r="AM341" s="219">
        <f>CHOOSE(m_identity,ENWL!AM341, NPgN!AM341, NPgY!AM341, WMID!AM341, EMID!AM341, SWALES!AM341, SWEST!AM341, LPN!AM341,SPN!AM341,EPN!AM341,SPD!AM341,SPMW!AM341,SSEH!AM341,SSES!AM341)</f>
        <v>0</v>
      </c>
      <c r="AN341" s="219">
        <f>CHOOSE(m_identity,ENWL!AN341, NPgN!AN341, NPgY!AN341, WMID!AN341, EMID!AN341, SWALES!AN341, SWEST!AN341, LPN!AN341,SPN!AN341,EPN!AN341,SPD!AN341,SPMW!AN341,SSEH!AN341,SSES!AN341)</f>
        <v>0</v>
      </c>
      <c r="AO341" s="219">
        <f>CHOOSE(m_identity,ENWL!AO341, NPgN!AO341, NPgY!AO341, WMID!AO341, EMID!AO341, SWALES!AO341, SWEST!AO341, LPN!AO341,SPN!AO341,EPN!AO341,SPD!AO341,SPMW!AO341,SSEH!AO341,SSES!AO341)</f>
        <v>0</v>
      </c>
      <c r="AP341" s="219">
        <f>CHOOSE(m_identity,ENWL!AP341, NPgN!AP341, NPgY!AP341, WMID!AP341, EMID!AP341, SWALES!AP341, SWEST!AP341, LPN!AP341,SPN!AP341,EPN!AP341,SPD!AP341,SPMW!AP341,SSEH!AP341,SSES!AP341)</f>
        <v>0</v>
      </c>
      <c r="AQ341" s="219">
        <f>CHOOSE(m_identity,ENWL!AQ341, NPgN!AQ341, NPgY!AQ341, WMID!AQ341, EMID!AQ341, SWALES!AQ341, SWEST!AQ341, LPN!AQ341,SPN!AQ341,EPN!AQ341,SPD!AQ341,SPMW!AQ341,SSEH!AQ341,SSES!AQ341)</f>
        <v>0</v>
      </c>
    </row>
    <row r="342" spans="2:43" s="156" customFormat="1" ht="15" customHeight="1">
      <c r="E342" s="19" t="s">
        <v>603</v>
      </c>
      <c r="F342" s="19"/>
      <c r="G342" s="190" t="s">
        <v>657</v>
      </c>
      <c r="H342" s="19"/>
      <c r="I342" s="19"/>
      <c r="J342" s="88"/>
      <c r="K342" s="88"/>
      <c r="L342" s="88"/>
      <c r="M342" s="88"/>
      <c r="N342" s="88"/>
      <c r="O342" s="88"/>
      <c r="P342" s="88"/>
      <c r="Q342" s="88"/>
      <c r="R342" s="88"/>
      <c r="S342" s="88"/>
      <c r="T342" s="88"/>
      <c r="U342" s="88"/>
      <c r="V342" s="88"/>
      <c r="W342" s="88"/>
      <c r="X342" s="88"/>
      <c r="Y342" s="88"/>
      <c r="Z342" s="88"/>
      <c r="AA342" s="19"/>
      <c r="AB342" s="19"/>
      <c r="AC342" s="19"/>
      <c r="AD342" s="19"/>
      <c r="AE342" s="219">
        <f>CHOOSE(m_identity,ENWL!AE342, NPgN!AE342, NPgY!AE342, WMID!AE342, EMID!AE342, SWALES!AE342, SWEST!AE342, LPN!AE342,SPN!AE342,EPN!AE342,SPD!AE342,SPMW!AE342,SSEH!AE342,SSES!AE342)</f>
        <v>0</v>
      </c>
      <c r="AF342" s="219">
        <f>CHOOSE(m_identity,ENWL!AF342, NPgN!AF342, NPgY!AF342, WMID!AF342, EMID!AF342, SWALES!AF342, SWEST!AF342, LPN!AF342,SPN!AF342,EPN!AF342,SPD!AF342,SPMW!AF342,SSEH!AF342,SSES!AF342)</f>
        <v>0</v>
      </c>
      <c r="AG342" s="219">
        <f>CHOOSE(m_identity,ENWL!AG342, NPgN!AG342, NPgY!AG342, WMID!AG342, EMID!AG342, SWALES!AG342, SWEST!AG342, LPN!AG342,SPN!AG342,EPN!AG342,SPD!AG342,SPMW!AG342,SSEH!AG342,SSES!AG342)</f>
        <v>0</v>
      </c>
      <c r="AH342" s="219">
        <f>CHOOSE(m_identity,ENWL!AH342, NPgN!AH342, NPgY!AH342, WMID!AH342, EMID!AH342, SWALES!AH342, SWEST!AH342, LPN!AH342,SPN!AH342,EPN!AH342,SPD!AH342,SPMW!AH342,SSEH!AH342,SSES!AH342)</f>
        <v>0</v>
      </c>
      <c r="AI342" s="219">
        <f>CHOOSE(m_identity,ENWL!AI342, NPgN!AI342, NPgY!AI342, WMID!AI342, EMID!AI342, SWALES!AI342, SWEST!AI342, LPN!AI342,SPN!AI342,EPN!AI342,SPD!AI342,SPMW!AI342,SSEH!AI342,SSES!AI342)</f>
        <v>0</v>
      </c>
      <c r="AJ342" s="219">
        <f>CHOOSE(m_identity,ENWL!AJ342, NPgN!AJ342, NPgY!AJ342, WMID!AJ342, EMID!AJ342, SWALES!AJ342, SWEST!AJ342, LPN!AJ342,SPN!AJ342,EPN!AJ342,SPD!AJ342,SPMW!AJ342,SSEH!AJ342,SSES!AJ342)</f>
        <v>0</v>
      </c>
      <c r="AK342" s="219">
        <f>CHOOSE(m_identity,ENWL!AK342, NPgN!AK342, NPgY!AK342, WMID!AK342, EMID!AK342, SWALES!AK342, SWEST!AK342, LPN!AK342,SPN!AK342,EPN!AK342,SPD!AK342,SPMW!AK342,SSEH!AK342,SSES!AK342)</f>
        <v>0</v>
      </c>
      <c r="AL342" s="219">
        <f>CHOOSE(m_identity,ENWL!AL342, NPgN!AL342, NPgY!AL342, WMID!AL342, EMID!AL342, SWALES!AL342, SWEST!AL342, LPN!AL342,SPN!AL342,EPN!AL342,SPD!AL342,SPMW!AL342,SSEH!AL342,SSES!AL342)</f>
        <v>0</v>
      </c>
      <c r="AM342" s="219">
        <f>CHOOSE(m_identity,ENWL!AM342, NPgN!AM342, NPgY!AM342, WMID!AM342, EMID!AM342, SWALES!AM342, SWEST!AM342, LPN!AM342,SPN!AM342,EPN!AM342,SPD!AM342,SPMW!AM342,SSEH!AM342,SSES!AM342)</f>
        <v>0</v>
      </c>
      <c r="AN342" s="219">
        <f>CHOOSE(m_identity,ENWL!AN342, NPgN!AN342, NPgY!AN342, WMID!AN342, EMID!AN342, SWALES!AN342, SWEST!AN342, LPN!AN342,SPN!AN342,EPN!AN342,SPD!AN342,SPMW!AN342,SSEH!AN342,SSES!AN342)</f>
        <v>0</v>
      </c>
      <c r="AO342" s="219">
        <f>CHOOSE(m_identity,ENWL!AO342, NPgN!AO342, NPgY!AO342, WMID!AO342, EMID!AO342, SWALES!AO342, SWEST!AO342, LPN!AO342,SPN!AO342,EPN!AO342,SPD!AO342,SPMW!AO342,SSEH!AO342,SSES!AO342)</f>
        <v>0</v>
      </c>
      <c r="AP342" s="219">
        <f>CHOOSE(m_identity,ENWL!AP342, NPgN!AP342, NPgY!AP342, WMID!AP342, EMID!AP342, SWALES!AP342, SWEST!AP342, LPN!AP342,SPN!AP342,EPN!AP342,SPD!AP342,SPMW!AP342,SSEH!AP342,SSES!AP342)</f>
        <v>0</v>
      </c>
      <c r="AQ342" s="219">
        <f>CHOOSE(m_identity,ENWL!AQ342, NPgN!AQ342, NPgY!AQ342, WMID!AQ342, EMID!AQ342, SWALES!AQ342, SWEST!AQ342, LPN!AQ342,SPN!AQ342,EPN!AQ342,SPD!AQ342,SPMW!AQ342,SSEH!AQ342,SSES!AQ342)</f>
        <v>0</v>
      </c>
    </row>
    <row r="343" spans="2:43" s="156" customFormat="1" ht="15" customHeight="1">
      <c r="E343" s="19" t="s">
        <v>604</v>
      </c>
      <c r="F343" s="19"/>
      <c r="G343" s="190" t="s">
        <v>657</v>
      </c>
      <c r="H343" s="19"/>
      <c r="I343" s="19"/>
      <c r="J343" s="88"/>
      <c r="K343" s="88"/>
      <c r="L343" s="88"/>
      <c r="M343" s="88"/>
      <c r="N343" s="88"/>
      <c r="O343" s="88"/>
      <c r="P343" s="88"/>
      <c r="Q343" s="88"/>
      <c r="R343" s="88"/>
      <c r="S343" s="88"/>
      <c r="T343" s="88"/>
      <c r="U343" s="88"/>
      <c r="V343" s="88"/>
      <c r="W343" s="88"/>
      <c r="X343" s="88"/>
      <c r="Y343" s="88"/>
      <c r="Z343" s="88"/>
      <c r="AA343" s="19"/>
      <c r="AB343" s="19"/>
      <c r="AC343" s="19"/>
      <c r="AD343" s="19"/>
      <c r="AE343" s="165">
        <f t="shared" ref="AE343:AI343" si="119">SUM(AE341,AE342)</f>
        <v>0</v>
      </c>
      <c r="AF343" s="165">
        <f t="shared" si="119"/>
        <v>0</v>
      </c>
      <c r="AG343" s="165">
        <f t="shared" si="119"/>
        <v>0</v>
      </c>
      <c r="AH343" s="165">
        <f t="shared" si="119"/>
        <v>0</v>
      </c>
      <c r="AI343" s="165">
        <f t="shared" si="119"/>
        <v>0</v>
      </c>
      <c r="AJ343" s="165">
        <f>SUM(AJ341,AJ342)</f>
        <v>0</v>
      </c>
      <c r="AK343" s="165">
        <f t="shared" ref="AK343" si="120">SUM(AK341,AK342)</f>
        <v>0</v>
      </c>
      <c r="AL343" s="165">
        <f t="shared" ref="AL343" si="121">SUM(AL341,AL342)</f>
        <v>0</v>
      </c>
      <c r="AM343" s="165">
        <f t="shared" ref="AM343" si="122">SUM(AM341,AM342)</f>
        <v>0</v>
      </c>
      <c r="AN343" s="165">
        <f t="shared" ref="AN343" si="123">SUM(AN341,AN342)</f>
        <v>0</v>
      </c>
      <c r="AO343" s="165">
        <f t="shared" ref="AO343" si="124">SUM(AO341,AO342)</f>
        <v>0</v>
      </c>
      <c r="AP343" s="165">
        <f t="shared" ref="AP343" si="125">SUM(AP341,AP342)</f>
        <v>0</v>
      </c>
      <c r="AQ343" s="165">
        <f t="shared" ref="AQ343" si="126">SUM(AQ341,AQ342)</f>
        <v>0</v>
      </c>
    </row>
    <row r="344" spans="2:43" s="156" customFormat="1" ht="15" customHeight="1">
      <c r="E344" s="19"/>
      <c r="F344" s="19"/>
      <c r="G344" s="190"/>
      <c r="H344" s="19"/>
      <c r="I344" s="19"/>
      <c r="J344" s="88"/>
      <c r="K344" s="88"/>
      <c r="L344" s="88"/>
      <c r="M344" s="88"/>
      <c r="N344" s="88"/>
      <c r="O344" s="88"/>
      <c r="P344" s="88"/>
      <c r="Q344" s="88"/>
      <c r="R344" s="88"/>
      <c r="S344" s="88"/>
      <c r="T344" s="88"/>
      <c r="U344" s="88"/>
      <c r="V344" s="88"/>
      <c r="W344" s="88"/>
      <c r="X344" s="88"/>
      <c r="Y344" s="88"/>
      <c r="Z344" s="88"/>
      <c r="AA344" s="19"/>
      <c r="AB344" s="19"/>
      <c r="AC344" s="19"/>
      <c r="AD344" s="19"/>
      <c r="AE344" s="155"/>
      <c r="AF344" s="155"/>
      <c r="AG344" s="155"/>
      <c r="AH344" s="155"/>
      <c r="AI344" s="155"/>
      <c r="AJ344" s="155"/>
      <c r="AK344" s="155"/>
      <c r="AL344" s="155"/>
      <c r="AM344" s="155"/>
      <c r="AN344" s="155"/>
      <c r="AO344" s="155"/>
      <c r="AP344" s="155"/>
      <c r="AQ344" s="155"/>
    </row>
    <row r="345" spans="2:43" s="156" customFormat="1" ht="15" customHeight="1">
      <c r="E345" s="19" t="str">
        <f>"Overall net income of "&amp;D291</f>
        <v>Overall net income of Directly Remunerated Services</v>
      </c>
      <c r="F345" s="19"/>
      <c r="G345" s="190" t="s">
        <v>657</v>
      </c>
      <c r="H345" s="19"/>
      <c r="I345" s="19"/>
      <c r="J345" s="88"/>
      <c r="K345" s="88"/>
      <c r="L345" s="88"/>
      <c r="M345" s="88"/>
      <c r="N345" s="88"/>
      <c r="O345" s="88"/>
      <c r="P345" s="88"/>
      <c r="Q345" s="88"/>
      <c r="R345" s="88"/>
      <c r="S345" s="88"/>
      <c r="T345" s="88"/>
      <c r="U345" s="88"/>
      <c r="V345" s="88"/>
      <c r="W345" s="88"/>
      <c r="X345" s="88"/>
      <c r="Y345" s="88"/>
      <c r="Z345" s="88"/>
      <c r="AA345" s="19"/>
      <c r="AB345" s="19"/>
      <c r="AC345" s="19"/>
      <c r="AD345" s="19"/>
      <c r="AE345" s="165">
        <f t="shared" ref="AE345:AI345" si="127">(AE295+AE299+AE303+AE307+AE311+AE315+AE319+AE323+AE327+AE331+AE335+AE339+AE343)</f>
        <v>0</v>
      </c>
      <c r="AF345" s="165">
        <f t="shared" si="127"/>
        <v>0</v>
      </c>
      <c r="AG345" s="165">
        <f t="shared" si="127"/>
        <v>0</v>
      </c>
      <c r="AH345" s="165">
        <f>(AH295+AH299+AH303+AH307+AH311+AH315+AH319+AH323+AH327+AH331+AH335+AH339+AH343)</f>
        <v>0</v>
      </c>
      <c r="AI345" s="165">
        <f t="shared" si="127"/>
        <v>0</v>
      </c>
      <c r="AJ345" s="165">
        <f>(AJ295+AJ299+AJ303+AJ307+AJ311+AJ315+AJ319+AJ323+AJ327+AJ331+AJ335+AJ339+AJ343)</f>
        <v>11.034502948765491</v>
      </c>
      <c r="AK345" s="165">
        <f t="shared" ref="AK345:AQ345" si="128">(AK295+AK299+AK303+AK307+AK311+AK315+AK319+AK323+AK327+AK331+AK335+AK339+AK343)</f>
        <v>9.5443621587654839</v>
      </c>
      <c r="AL345" s="165">
        <f t="shared" si="128"/>
        <v>7.9291027766654825</v>
      </c>
      <c r="AM345" s="165">
        <f t="shared" si="128"/>
        <v>6.6787259883864802</v>
      </c>
      <c r="AN345" s="165">
        <f t="shared" si="128"/>
        <v>6.4532329679902851</v>
      </c>
      <c r="AO345" s="165">
        <f t="shared" si="128"/>
        <v>6.4656248777980316</v>
      </c>
      <c r="AP345" s="165">
        <f t="shared" si="128"/>
        <v>6.4109028685077014</v>
      </c>
      <c r="AQ345" s="165">
        <f t="shared" si="128"/>
        <v>6.4420680793102871</v>
      </c>
    </row>
    <row r="346" spans="2:43" ht="15" customHeight="1">
      <c r="E346" s="156"/>
    </row>
    <row r="347" spans="2:43" ht="15" customHeight="1">
      <c r="B347" s="15" t="s">
        <v>152</v>
      </c>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row>
    <row r="348" spans="2:43" ht="15" customHeight="1"/>
    <row r="349" spans="2:43" s="156" customFormat="1" ht="15" customHeight="1">
      <c r="C349" s="17" t="s">
        <v>127</v>
      </c>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17"/>
      <c r="AO349" s="17"/>
      <c r="AP349" s="17"/>
      <c r="AQ349" s="17"/>
    </row>
    <row r="350" spans="2:43" s="156" customFormat="1" ht="15" customHeight="1"/>
    <row r="351" spans="2:43" s="156" customFormat="1" ht="15" customHeight="1">
      <c r="E351" s="21" t="s">
        <v>4</v>
      </c>
      <c r="G351" s="156" t="s">
        <v>49</v>
      </c>
      <c r="I351" s="227">
        <f>CHOOSE(m_identity,ENWL!I351, NPgN!I351, NPgY!I351, WMID!I351, EMID!I351, SWALES!I351, SWEST!I351, LPN!I351,SPN!I351,EPN!I351,SPD!I351,SPMW!I351,SSEH!I351,SSES!I351)</f>
        <v>15</v>
      </c>
    </row>
    <row r="352" spans="2:43" s="147" customFormat="1" ht="15" customHeight="1">
      <c r="E352" s="25" t="s">
        <v>550</v>
      </c>
      <c r="G352" s="156" t="s">
        <v>551</v>
      </c>
      <c r="I352" s="227">
        <f>CHOOSE(m_identity,ENWL!I352, NPgN!I352, NPgY!I352, WMID!I352, EMID!I352, SWALES!I352, SWEST!I352, LPN!I352,SPN!I352,EPN!I352,SPD!I352,SPMW!I352,SSEH!I352,SSES!I352)</f>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s="156" customFormat="1" ht="15" customHeight="1">
      <c r="G353" s="190"/>
    </row>
    <row r="354" spans="3:43" s="156" customFormat="1" ht="15" customHeight="1">
      <c r="E354" s="156" t="s">
        <v>555</v>
      </c>
      <c r="G354" s="190" t="s">
        <v>657</v>
      </c>
      <c r="I354" s="227">
        <f>CHOOSE(m_identity,ENWL!I354, NPgN!I354, NPgY!I354, WMID!I354, EMID!I354, SWALES!I354, SWEST!I354, LPN!I354,SPN!I354,EPN!I354,SPD!I354,SPMW!I354,SSEH!I354,SSES!I354)</f>
        <v>19.70995735619687</v>
      </c>
    </row>
    <row r="355" spans="3:43" s="156" customFormat="1" ht="15" customHeight="1">
      <c r="G355" s="190"/>
    </row>
    <row r="356" spans="3:43" s="156" customFormat="1" ht="15" customHeight="1">
      <c r="C356" s="17" t="s">
        <v>412</v>
      </c>
      <c r="D356" s="17"/>
      <c r="E356" s="17"/>
      <c r="F356" s="17"/>
      <c r="G356" s="17"/>
      <c r="H356" s="17"/>
      <c r="I356" s="167"/>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c r="AN356" s="17"/>
      <c r="AO356" s="17"/>
      <c r="AP356" s="17"/>
      <c r="AQ356" s="17"/>
    </row>
    <row r="357" spans="3:43" s="156" customFormat="1" ht="15" customHeight="1"/>
    <row r="358" spans="3:43" s="156" customFormat="1" ht="15" customHeight="1">
      <c r="E358" s="1" t="s">
        <v>541</v>
      </c>
    </row>
    <row r="359" spans="3:43" s="156" customFormat="1" ht="15" customHeight="1">
      <c r="E359" s="13" t="s">
        <v>14</v>
      </c>
      <c r="F359" s="149"/>
      <c r="G359" s="149" t="s">
        <v>49</v>
      </c>
      <c r="J359" s="22" t="s">
        <v>54</v>
      </c>
      <c r="K359" s="227">
        <f>CHOOSE(m_identity,ENWL!K359, NPgN!K359, NPgY!K359, WMID!K359, EMID!K359, SWALES!K359, SWEST!K359, LPN!K359,SPN!K359,EPN!K359,SPD!K359,SPMW!K359,SSEH!K359,SSES!K359)</f>
        <v>33.299999999999997</v>
      </c>
      <c r="L359" s="227">
        <f>CHOOSE(m_identity,ENWL!L359, NPgN!L359, NPgY!L359, WMID!L359, EMID!L359, SWALES!L359, SWEST!L359, LPN!L359,SPN!L359,EPN!L359,SPD!L359,SPMW!L359,SSEH!L359,SSES!L359)</f>
        <v>33.299999999999997</v>
      </c>
      <c r="M359" s="227">
        <f>CHOOSE(m_identity,ENWL!M359, NPgN!M359, NPgY!M359, WMID!M359, EMID!M359, SWALES!M359, SWEST!M359, LPN!M359,SPN!M359,EPN!M359,SPD!M359,SPMW!M359,SSEH!M359,SSES!M359)</f>
        <v>33.299999999999997</v>
      </c>
      <c r="N359" s="227">
        <f>CHOOSE(m_identity,ENWL!N359, NPgN!N359, NPgY!N359, WMID!N359, EMID!N359, SWALES!N359, SWEST!N359, LPN!N359,SPN!N359,EPN!N359,SPD!N359,SPMW!N359,SSEH!N359,SSES!N359)</f>
        <v>33.299999999999997</v>
      </c>
      <c r="O359" s="227">
        <f>CHOOSE(m_identity,ENWL!O359, NPgN!O359, NPgY!O359, WMID!O359, EMID!O359, SWALES!O359, SWEST!O359, LPN!O359,SPN!O359,EPN!O359,SPD!O359,SPMW!O359,SSEH!O359,SSES!O359)</f>
        <v>33.299999999999997</v>
      </c>
      <c r="P359" s="227">
        <f>CHOOSE(m_identity,ENWL!P359, NPgN!P359, NPgY!P359, WMID!P359, EMID!P359, SWALES!P359, SWEST!P359, LPN!P359,SPN!P359,EPN!P359,SPD!P359,SPMW!P359,SSEH!P359,SSES!P359)</f>
        <v>33.299999999999997</v>
      </c>
      <c r="Q359" s="227">
        <f>CHOOSE(m_identity,ENWL!Q359, NPgN!Q359, NPgY!Q359, WMID!Q359, EMID!Q359, SWALES!Q359, SWEST!Q359, LPN!Q359,SPN!Q359,EPN!Q359,SPD!Q359,SPMW!Q359,SSEH!Q359,SSES!Q359)</f>
        <v>33.299999999999997</v>
      </c>
      <c r="R359" s="227">
        <f>CHOOSE(m_identity,ENWL!R359, NPgN!R359, NPgY!R359, WMID!R359, EMID!R359, SWALES!R359, SWEST!R359, LPN!R359,SPN!R359,EPN!R359,SPD!R359,SPMW!R359,SSEH!R359,SSES!R359)</f>
        <v>33.299999999999997</v>
      </c>
      <c r="S359" s="227">
        <f>CHOOSE(m_identity,ENWL!S359, NPgN!S359, NPgY!S359, WMID!S359, EMID!S359, SWALES!S359, SWEST!S359, LPN!S359,SPN!S359,EPN!S359,SPD!S359,SPMW!S359,SSEH!S359,SSES!S359)</f>
        <v>33.299999999999997</v>
      </c>
      <c r="T359" s="227">
        <f>CHOOSE(m_identity,ENWL!T359, NPgN!T359, NPgY!T359, WMID!T359, EMID!T359, SWALES!T359, SWEST!T359, LPN!T359,SPN!T359,EPN!T359,SPD!T359,SPMW!T359,SSEH!T359,SSES!T359)</f>
        <v>33.299999999999997</v>
      </c>
      <c r="U359" s="227">
        <f>CHOOSE(m_identity,ENWL!U359, NPgN!U359, NPgY!U359, WMID!U359, EMID!U359, SWALES!U359, SWEST!U359, LPN!U359,SPN!U359,EPN!U359,SPD!U359,SPMW!U359,SSEH!U359,SSES!U359)</f>
        <v>33.299999999999997</v>
      </c>
      <c r="V359" s="227">
        <f>CHOOSE(m_identity,ENWL!V359, NPgN!V359, NPgY!V359, WMID!V359, EMID!V359, SWALES!V359, SWEST!V359, LPN!V359,SPN!V359,EPN!V359,SPD!V359,SPMW!V359,SSEH!V359,SSES!V359)</f>
        <v>33.299999999999997</v>
      </c>
      <c r="W359" s="227">
        <f>CHOOSE(m_identity,ENWL!W359, NPgN!W359, NPgY!W359, WMID!W359, EMID!W359, SWALES!W359, SWEST!W359, LPN!W359,SPN!W359,EPN!W359,SPD!W359,SPMW!W359,SSEH!W359,SSES!W359)</f>
        <v>33.299999999999997</v>
      </c>
      <c r="X359" s="227">
        <f>CHOOSE(m_identity,ENWL!X359, NPgN!X359, NPgY!X359, WMID!X359, EMID!X359, SWALES!X359, SWEST!X359, LPN!X359,SPN!X359,EPN!X359,SPD!X359,SPMW!X359,SSEH!X359,SSES!X359)</f>
        <v>33.299999999999997</v>
      </c>
      <c r="Y359" s="227">
        <f>CHOOSE(m_identity,ENWL!Y359, NPgN!Y359, NPgY!Y359, WMID!Y359, EMID!Y359, SWALES!Y359, SWEST!Y359, LPN!Y359,SPN!Y359,EPN!Y359,SPD!Y359,SPMW!Y359,SSEH!Y359,SSES!Y359)</f>
        <v>33.299999999999997</v>
      </c>
      <c r="Z359" s="227">
        <f>CHOOSE(m_identity,ENWL!Z359, NPgN!Z359, NPgY!Z359, WMID!Z359, EMID!Z359, SWALES!Z359, SWEST!Z359, LPN!Z359,SPN!Z359,EPN!Z359,SPD!Z359,SPMW!Z359,SSEH!Z359,SSES!Z359)</f>
        <v>33.299999999999997</v>
      </c>
      <c r="AA359" s="227">
        <f>CHOOSE(m_identity,ENWL!AA359, NPgN!AA359, NPgY!AA359, WMID!AA359, EMID!AA359, SWALES!AA359, SWEST!AA359, LPN!AA359,SPN!AA359,EPN!AA359,SPD!AA359,SPMW!AA359,SSEH!AA359,SSES!AA359)</f>
        <v>33.299999999999997</v>
      </c>
      <c r="AB359" s="227">
        <f>CHOOSE(m_identity,ENWL!AB359, NPgN!AB359, NPgY!AB359, WMID!AB359, EMID!AB359, SWALES!AB359, SWEST!AB359, LPN!AB359,SPN!AB359,EPN!AB359,SPD!AB359,SPMW!AB359,SSEH!AB359,SSES!AB359)</f>
        <v>33.299999999999997</v>
      </c>
      <c r="AC359" s="227">
        <f>CHOOSE(m_identity,ENWL!AC359, NPgN!AC359, NPgY!AC359, WMID!AC359, EMID!AC359, SWALES!AC359, SWEST!AC359, LPN!AC359,SPN!AC359,EPN!AC359,SPD!AC359,SPMW!AC359,SSEH!AC359,SSES!AC359)</f>
        <v>33.299999999999997</v>
      </c>
      <c r="AD359" s="227">
        <f>CHOOSE(m_identity,ENWL!AD359, NPgN!AD359, NPgY!AD359, WMID!AD359, EMID!AD359, SWALES!AD359, SWEST!AD359, LPN!AD359,SPN!AD359,EPN!AD359,SPD!AD359,SPMW!AD359,SSEH!AD359,SSES!AD359)</f>
        <v>33.299999999999997</v>
      </c>
      <c r="AE359" s="227">
        <f>CHOOSE(m_identity,ENWL!AE359, NPgN!AE359, NPgY!AE359, WMID!AE359, EMID!AE359, SWALES!AE359, SWEST!AE359, LPN!AE359,SPN!AE359,EPN!AE359,SPD!AE359,SPMW!AE359,SSEH!AE359,SSES!AE359)</f>
        <v>33.299999999999997</v>
      </c>
      <c r="AF359" s="227">
        <f>CHOOSE(m_identity,ENWL!AF359, NPgN!AF359, NPgY!AF359, WMID!AF359, EMID!AF359, SWALES!AF359, SWEST!AF359, LPN!AF359,SPN!AF359,EPN!AF359,SPD!AF359,SPMW!AF359,SSEH!AF359,SSES!AF359)</f>
        <v>33.299999999999997</v>
      </c>
      <c r="AG359" s="227">
        <f>CHOOSE(m_identity,ENWL!AG359, NPgN!AG359, NPgY!AG359, WMID!AG359, EMID!AG359, SWALES!AG359, SWEST!AG359, LPN!AG359,SPN!AG359,EPN!AG359,SPD!AG359,SPMW!AG359,SSEH!AG359,SSES!AG359)</f>
        <v>33.299999999999997</v>
      </c>
      <c r="AH359" s="227">
        <f>CHOOSE(m_identity,ENWL!AH359, NPgN!AH359, NPgY!AH359, WMID!AH359, EMID!AH359, SWALES!AH359, SWEST!AH359, LPN!AH359,SPN!AH359,EPN!AH359,SPD!AH359,SPMW!AH359,SSEH!AH359,SSES!AH359)</f>
        <v>33.299999999999997</v>
      </c>
      <c r="AI359" s="227">
        <f>CHOOSE(m_identity,ENWL!AI359, NPgN!AI359, NPgY!AI359, WMID!AI359, EMID!AI359, SWALES!AI359, SWEST!AI359, LPN!AI359,SPN!AI359,EPN!AI359,SPD!AI359,SPMW!AI359,SSEH!AI359,SSES!AI359)</f>
        <v>33.299999999999997</v>
      </c>
      <c r="AJ359" s="227">
        <f>CHOOSE(m_identity,ENWL!AJ359, NPgN!AJ359, NPgY!AJ359, WMID!AJ359, EMID!AJ359, SWALES!AJ359, SWEST!AJ359, LPN!AJ359,SPN!AJ359,EPN!AJ359,SPD!AJ359,SPMW!AJ359,SSEH!AJ359,SSES!AJ359)</f>
        <v>23.125</v>
      </c>
      <c r="AK359" s="227">
        <f>CHOOSE(m_identity,ENWL!AK359, NPgN!AK359, NPgY!AK359, WMID!AK359, EMID!AK359, SWALES!AK359, SWEST!AK359, LPN!AK359,SPN!AK359,EPN!AK359,SPD!AK359,SPMW!AK359,SSEH!AK359,SSES!AK359)</f>
        <v>26.25</v>
      </c>
      <c r="AL359" s="227">
        <f>CHOOSE(m_identity,ENWL!AL359, NPgN!AL359, NPgY!AL359, WMID!AL359, EMID!AL359, SWALES!AL359, SWEST!AL359, LPN!AL359,SPN!AL359,EPN!AL359,SPD!AL359,SPMW!AL359,SSEH!AL359,SSES!AL359)</f>
        <v>29.375</v>
      </c>
      <c r="AM359" s="227">
        <f>CHOOSE(m_identity,ENWL!AM359, NPgN!AM359, NPgY!AM359, WMID!AM359, EMID!AM359, SWALES!AM359, SWEST!AM359, LPN!AM359,SPN!AM359,EPN!AM359,SPD!AM359,SPMW!AM359,SSEH!AM359,SSES!AM359)</f>
        <v>32.5</v>
      </c>
      <c r="AN359" s="227">
        <f>CHOOSE(m_identity,ENWL!AN359, NPgN!AN359, NPgY!AN359, WMID!AN359, EMID!AN359, SWALES!AN359, SWEST!AN359, LPN!AN359,SPN!AN359,EPN!AN359,SPD!AN359,SPMW!AN359,SSEH!AN359,SSES!AN359)</f>
        <v>35.625</v>
      </c>
      <c r="AO359" s="227">
        <f>CHOOSE(m_identity,ENWL!AO359, NPgN!AO359, NPgY!AO359, WMID!AO359, EMID!AO359, SWALES!AO359, SWEST!AO359, LPN!AO359,SPN!AO359,EPN!AO359,SPD!AO359,SPMW!AO359,SSEH!AO359,SSES!AO359)</f>
        <v>38.75</v>
      </c>
      <c r="AP359" s="227">
        <f>CHOOSE(m_identity,ENWL!AP359, NPgN!AP359, NPgY!AP359, WMID!AP359, EMID!AP359, SWALES!AP359, SWEST!AP359, LPN!AP359,SPN!AP359,EPN!AP359,SPD!AP359,SPMW!AP359,SSEH!AP359,SSES!AP359)</f>
        <v>41.875</v>
      </c>
      <c r="AQ359" s="227">
        <f>CHOOSE(m_identity,ENWL!AQ359, NPgN!AQ359, NPgY!AQ359, WMID!AQ359, EMID!AQ359, SWALES!AQ359, SWEST!AQ359, LPN!AQ359,SPN!AQ359,EPN!AQ359,SPD!AQ359,SPMW!AQ359,SSEH!AQ359,SSES!AQ359)</f>
        <v>45</v>
      </c>
    </row>
    <row r="360" spans="3:43" s="156" customFormat="1" ht="15" customHeight="1">
      <c r="E360" s="145" t="s">
        <v>538</v>
      </c>
      <c r="G360" s="145" t="s">
        <v>49</v>
      </c>
      <c r="J360" s="22" t="s">
        <v>54</v>
      </c>
      <c r="K360" s="287">
        <f>CHOOSE(m_identity,ENWL!K360, NPgN!K360, NPgY!K360, WMID!K360, EMID!K360, SWALES!K360, SWEST!K360, LPN!K360,SPN!K360,EPN!K360,SPD!K360,SPMW!K360,SSEH!K360,SSES!K360)</f>
        <v>20</v>
      </c>
      <c r="L360" s="227">
        <f>CHOOSE(m_identity,ENWL!L360, NPgN!L360, NPgY!L360, WMID!L360, EMID!L360, SWALES!L360, SWEST!L360, LPN!L360,SPN!L360,EPN!L360,SPD!L360,SPMW!L360,SSEH!L360,SSES!L360)</f>
        <v>20</v>
      </c>
      <c r="M360" s="227">
        <f>CHOOSE(m_identity,ENWL!M360, NPgN!M360, NPgY!M360, WMID!M360, EMID!M360, SWALES!M360, SWEST!M360, LPN!M360,SPN!M360,EPN!M360,SPD!M360,SPMW!M360,SSEH!M360,SSES!M360)</f>
        <v>20</v>
      </c>
      <c r="N360" s="227">
        <f>CHOOSE(m_identity,ENWL!N360, NPgN!N360, NPgY!N360, WMID!N360, EMID!N360, SWALES!N360, SWEST!N360, LPN!N360,SPN!N360,EPN!N360,SPD!N360,SPMW!N360,SSEH!N360,SSES!N360)</f>
        <v>20</v>
      </c>
      <c r="O360" s="227">
        <f>CHOOSE(m_identity,ENWL!O360, NPgN!O360, NPgY!O360, WMID!O360, EMID!O360, SWALES!O360, SWEST!O360, LPN!O360,SPN!O360,EPN!O360,SPD!O360,SPMW!O360,SSEH!O360,SSES!O360)</f>
        <v>20</v>
      </c>
      <c r="P360" s="227">
        <f>CHOOSE(m_identity,ENWL!P360, NPgN!P360, NPgY!P360, WMID!P360, EMID!P360, SWALES!P360, SWEST!P360, LPN!P360,SPN!P360,EPN!P360,SPD!P360,SPMW!P360,SSEH!P360,SSES!P360)</f>
        <v>20</v>
      </c>
      <c r="Q360" s="227">
        <f>CHOOSE(m_identity,ENWL!Q360, NPgN!Q360, NPgY!Q360, WMID!Q360, EMID!Q360, SWALES!Q360, SWEST!Q360, LPN!Q360,SPN!Q360,EPN!Q360,SPD!Q360,SPMW!Q360,SSEH!Q360,SSES!Q360)</f>
        <v>20</v>
      </c>
      <c r="R360" s="227">
        <f>CHOOSE(m_identity,ENWL!R360, NPgN!R360, NPgY!R360, WMID!R360, EMID!R360, SWALES!R360, SWEST!R360, LPN!R360,SPN!R360,EPN!R360,SPD!R360,SPMW!R360,SSEH!R360,SSES!R360)</f>
        <v>20</v>
      </c>
      <c r="S360" s="227">
        <f>CHOOSE(m_identity,ENWL!S360, NPgN!S360, NPgY!S360, WMID!S360, EMID!S360, SWALES!S360, SWEST!S360, LPN!S360,SPN!S360,EPN!S360,SPD!S360,SPMW!S360,SSEH!S360,SSES!S360)</f>
        <v>20</v>
      </c>
      <c r="T360" s="227">
        <f>CHOOSE(m_identity,ENWL!T360, NPgN!T360, NPgY!T360, WMID!T360, EMID!T360, SWALES!T360, SWEST!T360, LPN!T360,SPN!T360,EPN!T360,SPD!T360,SPMW!T360,SSEH!T360,SSES!T360)</f>
        <v>20</v>
      </c>
      <c r="U360" s="227">
        <f>CHOOSE(m_identity,ENWL!U360, NPgN!U360, NPgY!U360, WMID!U360, EMID!U360, SWALES!U360, SWEST!U360, LPN!U360,SPN!U360,EPN!U360,SPD!U360,SPMW!U360,SSEH!U360,SSES!U360)</f>
        <v>20</v>
      </c>
      <c r="V360" s="227">
        <f>CHOOSE(m_identity,ENWL!V360, NPgN!V360, NPgY!V360, WMID!V360, EMID!V360, SWALES!V360, SWEST!V360, LPN!V360,SPN!V360,EPN!V360,SPD!V360,SPMW!V360,SSEH!V360,SSES!V360)</f>
        <v>20</v>
      </c>
      <c r="W360" s="227">
        <f>CHOOSE(m_identity,ENWL!W360, NPgN!W360, NPgY!W360, WMID!W360, EMID!W360, SWALES!W360, SWEST!W360, LPN!W360,SPN!W360,EPN!W360,SPD!W360,SPMW!W360,SSEH!W360,SSES!W360)</f>
        <v>20</v>
      </c>
      <c r="X360" s="227">
        <f>CHOOSE(m_identity,ENWL!X360, NPgN!X360, NPgY!X360, WMID!X360, EMID!X360, SWALES!X360, SWEST!X360, LPN!X360,SPN!X360,EPN!X360,SPD!X360,SPMW!X360,SSEH!X360,SSES!X360)</f>
        <v>20</v>
      </c>
      <c r="Y360" s="227">
        <f>CHOOSE(m_identity,ENWL!Y360, NPgN!Y360, NPgY!Y360, WMID!Y360, EMID!Y360, SWALES!Y360, SWEST!Y360, LPN!Y360,SPN!Y360,EPN!Y360,SPD!Y360,SPMW!Y360,SSEH!Y360,SSES!Y360)</f>
        <v>20</v>
      </c>
      <c r="Z360" s="227">
        <f>CHOOSE(m_identity,ENWL!Z360, NPgN!Z360, NPgY!Z360, WMID!Z360, EMID!Z360, SWALES!Z360, SWEST!Z360, LPN!Z360,SPN!Z360,EPN!Z360,SPD!Z360,SPMW!Z360,SSEH!Z360,SSES!Z360)</f>
        <v>20</v>
      </c>
      <c r="AA360" s="227">
        <f>CHOOSE(m_identity,ENWL!AA360, NPgN!AA360, NPgY!AA360, WMID!AA360, EMID!AA360, SWALES!AA360, SWEST!AA360, LPN!AA360,SPN!AA360,EPN!AA360,SPD!AA360,SPMW!AA360,SSEH!AA360,SSES!AA360)</f>
        <v>20</v>
      </c>
      <c r="AB360" s="227">
        <f>CHOOSE(m_identity,ENWL!AB360, NPgN!AB360, NPgY!AB360, WMID!AB360, EMID!AB360, SWALES!AB360, SWEST!AB360, LPN!AB360,SPN!AB360,EPN!AB360,SPD!AB360,SPMW!AB360,SSEH!AB360,SSES!AB360)</f>
        <v>20</v>
      </c>
      <c r="AC360" s="227">
        <f>CHOOSE(m_identity,ENWL!AC360, NPgN!AC360, NPgY!AC360, WMID!AC360, EMID!AC360, SWALES!AC360, SWEST!AC360, LPN!AC360,SPN!AC360,EPN!AC360,SPD!AC360,SPMW!AC360,SSEH!AC360,SSES!AC360)</f>
        <v>20</v>
      </c>
      <c r="AD360" s="227">
        <f>CHOOSE(m_identity,ENWL!AD360, NPgN!AD360, NPgY!AD360, WMID!AD360, EMID!AD360, SWALES!AD360, SWEST!AD360, LPN!AD360,SPN!AD360,EPN!AD360,SPD!AD360,SPMW!AD360,SSEH!AD360,SSES!AD360)</f>
        <v>20</v>
      </c>
      <c r="AE360" s="227">
        <f>CHOOSE(m_identity,ENWL!AE360, NPgN!AE360, NPgY!AE360, WMID!AE360, EMID!AE360, SWALES!AE360, SWEST!AE360, LPN!AE360,SPN!AE360,EPN!AE360,SPD!AE360,SPMW!AE360,SSEH!AE360,SSES!AE360)</f>
        <v>20</v>
      </c>
      <c r="AF360" s="227">
        <f>CHOOSE(m_identity,ENWL!AF360, NPgN!AF360, NPgY!AF360, WMID!AF360, EMID!AF360, SWALES!AF360, SWEST!AF360, LPN!AF360,SPN!AF360,EPN!AF360,SPD!AF360,SPMW!AF360,SSEH!AF360,SSES!AF360)</f>
        <v>20</v>
      </c>
      <c r="AG360" s="227">
        <f>CHOOSE(m_identity,ENWL!AG360, NPgN!AG360, NPgY!AG360, WMID!AG360, EMID!AG360, SWALES!AG360, SWEST!AG360, LPN!AG360,SPN!AG360,EPN!AG360,SPD!AG360,SPMW!AG360,SSEH!AG360,SSES!AG360)</f>
        <v>20</v>
      </c>
      <c r="AH360" s="227">
        <f>CHOOSE(m_identity,ENWL!AH360, NPgN!AH360, NPgY!AH360, WMID!AH360, EMID!AH360, SWALES!AH360, SWEST!AH360, LPN!AH360,SPN!AH360,EPN!AH360,SPD!AH360,SPMW!AH360,SSEH!AH360,SSES!AH360)</f>
        <v>20</v>
      </c>
      <c r="AI360" s="287">
        <f>CHOOSE(m_identity,ENWL!AI360, NPgN!AI360, NPgY!AI360, WMID!AI360, EMID!AI360, SWALES!AI360, SWEST!AI360, LPN!AI360,SPN!AI360,EPN!AI360,SPD!AI360,SPMW!AI360,SSEH!AI360,SSES!AI360)</f>
        <v>20</v>
      </c>
      <c r="AJ360" s="227">
        <f>CHOOSE(m_identity,ENWL!AJ360, NPgN!AJ360, NPgY!AJ360, WMID!AJ360, EMID!AJ360, SWALES!AJ360, SWEST!AJ360, LPN!AJ360,SPN!AJ360,EPN!AJ360,SPD!AJ360,SPMW!AJ360,SSEH!AJ360,SSES!AJ360)</f>
        <v>23.125</v>
      </c>
      <c r="AK360" s="227">
        <f>CHOOSE(m_identity,ENWL!AK360, NPgN!AK360, NPgY!AK360, WMID!AK360, EMID!AK360, SWALES!AK360, SWEST!AK360, LPN!AK360,SPN!AK360,EPN!AK360,SPD!AK360,SPMW!AK360,SSEH!AK360,SSES!AK360)</f>
        <v>26.25</v>
      </c>
      <c r="AL360" s="227">
        <f>CHOOSE(m_identity,ENWL!AL360, NPgN!AL360, NPgY!AL360, WMID!AL360, EMID!AL360, SWALES!AL360, SWEST!AL360, LPN!AL360,SPN!AL360,EPN!AL360,SPD!AL360,SPMW!AL360,SSEH!AL360,SSES!AL360)</f>
        <v>29.375</v>
      </c>
      <c r="AM360" s="227">
        <f>CHOOSE(m_identity,ENWL!AM360, NPgN!AM360, NPgY!AM360, WMID!AM360, EMID!AM360, SWALES!AM360, SWEST!AM360, LPN!AM360,SPN!AM360,EPN!AM360,SPD!AM360,SPMW!AM360,SSEH!AM360,SSES!AM360)</f>
        <v>32.5</v>
      </c>
      <c r="AN360" s="227">
        <f>CHOOSE(m_identity,ENWL!AN360, NPgN!AN360, NPgY!AN360, WMID!AN360, EMID!AN360, SWALES!AN360, SWEST!AN360, LPN!AN360,SPN!AN360,EPN!AN360,SPD!AN360,SPMW!AN360,SSEH!AN360,SSES!AN360)</f>
        <v>35.625</v>
      </c>
      <c r="AO360" s="227">
        <f>CHOOSE(m_identity,ENWL!AO360, NPgN!AO360, NPgY!AO360, WMID!AO360, EMID!AO360, SWALES!AO360, SWEST!AO360, LPN!AO360,SPN!AO360,EPN!AO360,SPD!AO360,SPMW!AO360,SSEH!AO360,SSES!AO360)</f>
        <v>38.75</v>
      </c>
      <c r="AP360" s="227">
        <f>CHOOSE(m_identity,ENWL!AP360, NPgN!AP360, NPgY!AP360, WMID!AP360, EMID!AP360, SWALES!AP360, SWEST!AP360, LPN!AP360,SPN!AP360,EPN!AP360,SPD!AP360,SPMW!AP360,SSEH!AP360,SSES!AP360)</f>
        <v>41.875</v>
      </c>
      <c r="AQ360" s="227">
        <f>CHOOSE(m_identity,ENWL!AQ360, NPgN!AQ360, NPgY!AQ360, WMID!AQ360, EMID!AQ360, SWALES!AQ360, SWEST!AQ360, LPN!AQ360,SPN!AQ360,EPN!AQ360,SPD!AQ360,SPMW!AQ360,SSEH!AQ360,SSES!AQ360)</f>
        <v>45</v>
      </c>
    </row>
    <row r="361" spans="3:43" s="156" customFormat="1" ht="15" customHeight="1">
      <c r="E361" s="21" t="s">
        <v>539</v>
      </c>
      <c r="G361" s="156" t="s">
        <v>49</v>
      </c>
      <c r="I361" s="227">
        <f>CHOOSE(m_identity,ENWL!I361, NPgN!I361, NPgY!I361, WMID!I361, EMID!I361, SWALES!I361, SWEST!I361, LPN!I361,SPN!I361,EPN!I361,SPD!I361,SPMW!I361,SSEH!I361,SSES!I361)</f>
        <v>15</v>
      </c>
    </row>
    <row r="362" spans="3:43" s="154" customFormat="1" ht="15" customHeight="1">
      <c r="E362" s="13" t="s">
        <v>622</v>
      </c>
      <c r="G362" s="154" t="s">
        <v>236</v>
      </c>
      <c r="I362" s="288">
        <f>CHOOSE(m_identity,ENWL!I362, NPgN!I362, NPgY!I362, WMID!I362, EMID!I362, SWALES!I362, SWEST!I362, LPN!I362,SPN!I362,EPN!I362,SPD!I362,SPMW!I362,SSEH!I362,SSES!I362)</f>
        <v>33328</v>
      </c>
      <c r="AJ362" s="156"/>
      <c r="AK362" s="156"/>
      <c r="AL362" s="156"/>
      <c r="AM362" s="156"/>
      <c r="AN362" s="156"/>
      <c r="AO362" s="156"/>
      <c r="AP362" s="156"/>
      <c r="AQ362" s="156"/>
    </row>
    <row r="363" spans="3:43" s="156" customFormat="1" ht="15" customHeight="1">
      <c r="E363" s="145" t="s">
        <v>134</v>
      </c>
      <c r="F363" s="145"/>
      <c r="G363" s="156" t="s">
        <v>657</v>
      </c>
      <c r="H363" s="145"/>
      <c r="I363" s="145"/>
      <c r="J363" s="22" t="s">
        <v>54</v>
      </c>
      <c r="K363" s="227">
        <f>CHOOSE(m_identity,ENWL!K363, NPgN!K363, NPgY!K363, WMID!K363, EMID!K363, SWALES!K363, SWEST!K363, LPN!K363,SPN!K363,EPN!K363,SPD!K363,SPMW!K363,SSEH!K363,SSES!K363)</f>
        <v>38.825481450385681</v>
      </c>
      <c r="L363" s="227">
        <f>CHOOSE(m_identity,ENWL!L363, NPgN!L363, NPgY!L363, WMID!L363, EMID!L363, SWALES!L363, SWEST!L363, LPN!L363,SPN!L363,EPN!L363,SPD!L363,SPMW!L363,SSEH!L363,SSES!L363)</f>
        <v>140.66533557223065</v>
      </c>
      <c r="M363" s="227">
        <f>CHOOSE(m_identity,ENWL!M363, NPgN!M363, NPgY!M363, WMID!M363, EMID!M363, SWALES!M363, SWEST!M363, LPN!M363,SPN!M363,EPN!M363,SPD!M363,SPMW!M363,SSEH!M363,SSES!M363)</f>
        <v>164.7001574224694</v>
      </c>
      <c r="N363" s="227">
        <f>CHOOSE(m_identity,ENWL!N363, NPgN!N363, NPgY!N363, WMID!N363, EMID!N363, SWALES!N363, SWEST!N363, LPN!N363,SPN!N363,EPN!N363,SPD!N363,SPMW!N363,SSEH!N363,SSES!N363)</f>
        <v>196.13030907278159</v>
      </c>
      <c r="O363" s="227">
        <f>CHOOSE(m_identity,ENWL!O363, NPgN!O363, NPgY!O363, WMID!O363, EMID!O363, SWALES!O363, SWEST!O363, LPN!O363,SPN!O363,EPN!O363,SPD!O363,SPMW!O363,SSEH!O363,SSES!O363)</f>
        <v>190.89195046439625</v>
      </c>
      <c r="P363" s="227">
        <f>CHOOSE(m_identity,ENWL!P363, NPgN!P363, NPgY!P363, WMID!P363, EMID!P363, SWALES!P363, SWEST!P363, LPN!P363,SPN!P363,EPN!P363,SPD!P363,SPMW!P363,SSEH!P363,SSES!P363)</f>
        <v>198.59541900613948</v>
      </c>
      <c r="Q363" s="227">
        <f>CHOOSE(m_identity,ENWL!Q363, NPgN!Q363, NPgY!Q363, WMID!Q363, EMID!Q363, SWALES!Q363, SWEST!Q363, LPN!Q363,SPN!Q363,EPN!Q363,SPD!Q363,SPMW!Q363,SSEH!Q363,SSES!Q363)</f>
        <v>211.22910741459825</v>
      </c>
      <c r="R363" s="227">
        <f>CHOOSE(m_identity,ENWL!R363, NPgN!R363, NPgY!R363, WMID!R363, EMID!R363, SWALES!R363, SWEST!R363, LPN!R363,SPN!R363,EPN!R363,SPD!R363,SPMW!R363,SSEH!R363,SSES!R363)</f>
        <v>194.74368473526786</v>
      </c>
      <c r="S363" s="227">
        <f>CHOOSE(m_identity,ENWL!S363, NPgN!S363, NPgY!S363, WMID!S363, EMID!S363, SWALES!S363, SWEST!S363, LPN!S363,SPN!S363,EPN!S363,SPD!S363,SPMW!S363,SSEH!S363,SSES!S363)</f>
        <v>175.87346563991051</v>
      </c>
      <c r="T363" s="227">
        <f>CHOOSE(m_identity,ENWL!T363, NPgN!T363, NPgY!T363, WMID!T363, EMID!T363, SWALES!T363, SWEST!T363, LPN!T363,SPN!T363,EPN!T363,SPD!T363,SPMW!T363,SSEH!T363,SSES!T363)</f>
        <v>147.08446047490233</v>
      </c>
      <c r="U363" s="227">
        <f>CHOOSE(m_identity,ENWL!U363, NPgN!U363, NPgY!U363, WMID!U363, EMID!U363, SWALES!U363, SWEST!U363, LPN!U363,SPN!U363,EPN!U363,SPD!U363,SPMW!U363,SSEH!U363,SSES!U363)</f>
        <v>125.97832883611149</v>
      </c>
      <c r="V363" s="227">
        <f>CHOOSE(m_identity,ENWL!V363, NPgN!V363, NPgY!V363, WMID!V363, EMID!V363, SWALES!V363, SWEST!V363, LPN!V363,SPN!V363,EPN!V363,SPD!V363,SPMW!V363,SSEH!V363,SSES!V363)</f>
        <v>130.80244427294289</v>
      </c>
      <c r="W363" s="227">
        <f>CHOOSE(m_identity,ENWL!W363, NPgN!W363, NPgY!W363, WMID!W363, EMID!W363, SWALES!W363, SWEST!W363, LPN!W363,SPN!W363,EPN!W363,SPD!W363,SPMW!W363,SSEH!W363,SSES!W363)</f>
        <v>110.541159438251</v>
      </c>
      <c r="X363" s="227">
        <f>CHOOSE(m_identity,ENWL!X363, NPgN!X363, NPgY!X363, WMID!X363, EMID!X363, SWALES!X363, SWEST!X363, LPN!X363,SPN!X363,EPN!X363,SPD!X363,SPMW!X363,SSEH!X363,SSES!X363)</f>
        <v>125.77347581860529</v>
      </c>
      <c r="Y363" s="227">
        <f>CHOOSE(m_identity,ENWL!Y363, NPgN!Y363, NPgY!Y363, WMID!Y363, EMID!Y363, SWALES!Y363, SWEST!Y363, LPN!Y363,SPN!Y363,EPN!Y363,SPD!Y363,SPMW!Y363,SSEH!Y363,SSES!Y363)</f>
        <v>136.48520298735869</v>
      </c>
      <c r="Z363" s="227">
        <f>CHOOSE(m_identity,ENWL!Z363, NPgN!Z363, NPgY!Z363, WMID!Z363, EMID!Z363, SWALES!Z363, SWEST!Z363, LPN!Z363,SPN!Z363,EPN!Z363,SPD!Z363,SPMW!Z363,SSEH!Z363,SSES!Z363)</f>
        <v>133.16539216595041</v>
      </c>
      <c r="AA363" s="227">
        <f>CHOOSE(m_identity,ENWL!AA363, NPgN!AA363, NPgY!AA363, WMID!AA363, EMID!AA363, SWALES!AA363, SWEST!AA363, LPN!AA363,SPN!AA363,EPN!AA363,SPD!AA363,SPMW!AA363,SSEH!AA363,SSES!AA363)</f>
        <v>138.99996854980139</v>
      </c>
      <c r="AB363" s="227">
        <f>CHOOSE(m_identity,ENWL!AB363, NPgN!AB363, NPgY!AB363, WMID!AB363, EMID!AB363, SWALES!AB363, SWEST!AB363, LPN!AB363,SPN!AB363,EPN!AB363,SPD!AB363,SPMW!AB363,SSEH!AB363,SSES!AB363)</f>
        <v>166.44661556524062</v>
      </c>
      <c r="AC363" s="227">
        <f>CHOOSE(m_identity,ENWL!AC363, NPgN!AC363, NPgY!AC363, WMID!AC363, EMID!AC363, SWALES!AC363, SWEST!AC363, LPN!AC363,SPN!AC363,EPN!AC363,SPD!AC363,SPMW!AC363,SSEH!AC363,SSES!AC363)</f>
        <v>200.72197563436023</v>
      </c>
      <c r="AD363" s="227">
        <f>CHOOSE(m_identity,ENWL!AD363, NPgN!AD363, NPgY!AD363, WMID!AD363, EMID!AD363, SWALES!AD363, SWEST!AD363, LPN!AD363,SPN!AD363,EPN!AD363,SPD!AD363,SPMW!AD363,SSEH!AD363,SSES!AD363)</f>
        <v>215.32272941719307</v>
      </c>
      <c r="AE363" s="227">
        <f>CHOOSE(m_identity,ENWL!AE363, NPgN!AE363, NPgY!AE363, WMID!AE363, EMID!AE363, SWALES!AE363, SWEST!AE363, LPN!AE363,SPN!AE363,EPN!AE363,SPD!AE363,SPMW!AE363,SSEH!AE363,SSES!AE363)</f>
        <v>168.84150388749299</v>
      </c>
      <c r="AF363" s="227">
        <f>CHOOSE(m_identity,ENWL!AF363, NPgN!AF363, NPgY!AF363, WMID!AF363, EMID!AF363, SWALES!AF363, SWEST!AF363, LPN!AF363,SPN!AF363,EPN!AF363,SPD!AF363,SPMW!AF363,SSEH!AF363,SSES!AF363)</f>
        <v>190.27311408313142</v>
      </c>
      <c r="AG363" s="227">
        <f>CHOOSE(m_identity,ENWL!AG363, NPgN!AG363, NPgY!AG363, WMID!AG363, EMID!AG363, SWALES!AG363, SWEST!AG363, LPN!AG363,SPN!AG363,EPN!AG363,SPD!AG363,SPMW!AG363,SSEH!AG363,SSES!AG363)</f>
        <v>215.06223577807756</v>
      </c>
      <c r="AH363" s="419">
        <f>CHOOSE(m_identity,ENWL!AH363, NPgN!AH363, NPgY!AH363, WMID!AH363, EMID!AH363, SWALES!AH363, SWEST!AH363, LPN!AH363,SPN!AH363,EPN!AH363,SPD!AH363,SPMW!AH363,SSEH!AH363,SSES!AH363)</f>
        <v>241.2930578422361</v>
      </c>
      <c r="AI363" s="227">
        <f>CHOOSE(m_identity,ENWL!AI363, NPgN!AI363, NPgY!AI363, WMID!AI363, EMID!AI363, SWALES!AI363, SWEST!AI363, LPN!AI363,SPN!AI363,EPN!AI363,SPD!AI363,SPMW!AI363,SSEH!AI363,SSES!AI363)</f>
        <v>252.92877731841884</v>
      </c>
      <c r="AJ363" s="149"/>
    </row>
    <row r="364" spans="3:43" s="156" customFormat="1" ht="15" customHeight="1">
      <c r="E364" s="145" t="str">
        <f>E36</f>
        <v xml:space="preserve">Other legacy adjustments' price control RAV additions adjustment                                                                                                                  </v>
      </c>
      <c r="F364" s="145"/>
      <c r="G364" s="156" t="s">
        <v>657</v>
      </c>
      <c r="H364" s="145"/>
      <c r="I364" s="145"/>
      <c r="J364" s="22"/>
      <c r="K364" s="227">
        <f>CHOOSE(m_identity,ENWL!K364, NPgN!K364, NPgY!K364, WMID!K364, EMID!K364, SWALES!K364, SWEST!K364, LPN!K364,SPN!K364,EPN!K364,SPD!K364,SPMW!K364,SSEH!K364,SSES!K364)</f>
        <v>0</v>
      </c>
      <c r="L364" s="227">
        <f>CHOOSE(m_identity,ENWL!L364, NPgN!L364, NPgY!L364, WMID!L364, EMID!L364, SWALES!L364, SWEST!L364, LPN!L364,SPN!L364,EPN!L364,SPD!L364,SPMW!L364,SSEH!L364,SSES!L364)</f>
        <v>0</v>
      </c>
      <c r="M364" s="227">
        <f>CHOOSE(m_identity,ENWL!M364, NPgN!M364, NPgY!M364, WMID!M364, EMID!M364, SWALES!M364, SWEST!M364, LPN!M364,SPN!M364,EPN!M364,SPD!M364,SPMW!M364,SSEH!M364,SSES!M364)</f>
        <v>0</v>
      </c>
      <c r="N364" s="227">
        <f>CHOOSE(m_identity,ENWL!N364, NPgN!N364, NPgY!N364, WMID!N364, EMID!N364, SWALES!N364, SWEST!N364, LPN!N364,SPN!N364,EPN!N364,SPD!N364,SPMW!N364,SSEH!N364,SSES!N364)</f>
        <v>0</v>
      </c>
      <c r="O364" s="227">
        <f>CHOOSE(m_identity,ENWL!O364, NPgN!O364, NPgY!O364, WMID!O364, EMID!O364, SWALES!O364, SWEST!O364, LPN!O364,SPN!O364,EPN!O364,SPD!O364,SPMW!O364,SSEH!O364,SSES!O364)</f>
        <v>0</v>
      </c>
      <c r="P364" s="227">
        <f>CHOOSE(m_identity,ENWL!P364, NPgN!P364, NPgY!P364, WMID!P364, EMID!P364, SWALES!P364, SWEST!P364, LPN!P364,SPN!P364,EPN!P364,SPD!P364,SPMW!P364,SSEH!P364,SSES!P364)</f>
        <v>0</v>
      </c>
      <c r="Q364" s="227">
        <f>CHOOSE(m_identity,ENWL!Q364, NPgN!Q364, NPgY!Q364, WMID!Q364, EMID!Q364, SWALES!Q364, SWEST!Q364, LPN!Q364,SPN!Q364,EPN!Q364,SPD!Q364,SPMW!Q364,SSEH!Q364,SSES!Q364)</f>
        <v>0</v>
      </c>
      <c r="R364" s="227">
        <f>CHOOSE(m_identity,ENWL!R364, NPgN!R364, NPgY!R364, WMID!R364, EMID!R364, SWALES!R364, SWEST!R364, LPN!R364,SPN!R364,EPN!R364,SPD!R364,SPMW!R364,SSEH!R364,SSES!R364)</f>
        <v>0</v>
      </c>
      <c r="S364" s="227">
        <f>CHOOSE(m_identity,ENWL!S364, NPgN!S364, NPgY!S364, WMID!S364, EMID!S364, SWALES!S364, SWEST!S364, LPN!S364,SPN!S364,EPN!S364,SPD!S364,SPMW!S364,SSEH!S364,SSES!S364)</f>
        <v>0</v>
      </c>
      <c r="T364" s="227">
        <f>CHOOSE(m_identity,ENWL!T364, NPgN!T364, NPgY!T364, WMID!T364, EMID!T364, SWALES!T364, SWEST!T364, LPN!T364,SPN!T364,EPN!T364,SPD!T364,SPMW!T364,SSEH!T364,SSES!T364)</f>
        <v>0</v>
      </c>
      <c r="U364" s="227">
        <f>CHOOSE(m_identity,ENWL!U364, NPgN!U364, NPgY!U364, WMID!U364, EMID!U364, SWALES!U364, SWEST!U364, LPN!U364,SPN!U364,EPN!U364,SPD!U364,SPMW!U364,SSEH!U364,SSES!U364)</f>
        <v>0</v>
      </c>
      <c r="V364" s="227">
        <f>CHOOSE(m_identity,ENWL!V364, NPgN!V364, NPgY!V364, WMID!V364, EMID!V364, SWALES!V364, SWEST!V364, LPN!V364,SPN!V364,EPN!V364,SPD!V364,SPMW!V364,SSEH!V364,SSES!V364)</f>
        <v>0</v>
      </c>
      <c r="W364" s="227">
        <f>CHOOSE(m_identity,ENWL!W364, NPgN!W364, NPgY!W364, WMID!W364, EMID!W364, SWALES!W364, SWEST!W364, LPN!W364,SPN!W364,EPN!W364,SPD!W364,SPMW!W364,SSEH!W364,SSES!W364)</f>
        <v>0</v>
      </c>
      <c r="X364" s="227">
        <f>CHOOSE(m_identity,ENWL!X364, NPgN!X364, NPgY!X364, WMID!X364, EMID!X364, SWALES!X364, SWEST!X364, LPN!X364,SPN!X364,EPN!X364,SPD!X364,SPMW!X364,SSEH!X364,SSES!X364)</f>
        <v>0</v>
      </c>
      <c r="Y364" s="227">
        <f>CHOOSE(m_identity,ENWL!Y364, NPgN!Y364, NPgY!Y364, WMID!Y364, EMID!Y364, SWALES!Y364, SWEST!Y364, LPN!Y364,SPN!Y364,EPN!Y364,SPD!Y364,SPMW!Y364,SSEH!Y364,SSES!Y364)</f>
        <v>0</v>
      </c>
      <c r="Z364" s="227">
        <f>CHOOSE(m_identity,ENWL!Z364, NPgN!Z364, NPgY!Z364, WMID!Z364, EMID!Z364, SWALES!Z364, SWEST!Z364, LPN!Z364,SPN!Z364,EPN!Z364,SPD!Z364,SPMW!Z364,SSEH!Z364,SSES!Z364)</f>
        <v>0</v>
      </c>
      <c r="AA364" s="227">
        <f>CHOOSE(m_identity,ENWL!AA364, NPgN!AA364, NPgY!AA364, WMID!AA364, EMID!AA364, SWALES!AA364, SWEST!AA364, LPN!AA364,SPN!AA364,EPN!AA364,SPD!AA364,SPMW!AA364,SSEH!AA364,SSES!AA364)</f>
        <v>0</v>
      </c>
      <c r="AB364" s="227">
        <f>CHOOSE(m_identity,ENWL!AB364, NPgN!AB364, NPgY!AB364, WMID!AB364, EMID!AB364, SWALES!AB364, SWEST!AB364, LPN!AB364,SPN!AB364,EPN!AB364,SPD!AB364,SPMW!AB364,SSEH!AB364,SSES!AB364)</f>
        <v>0</v>
      </c>
      <c r="AC364" s="227">
        <f>CHOOSE(m_identity,ENWL!AC364, NPgN!AC364, NPgY!AC364, WMID!AC364, EMID!AC364, SWALES!AC364, SWEST!AC364, LPN!AC364,SPN!AC364,EPN!AC364,SPD!AC364,SPMW!AC364,SSEH!AC364,SSES!AC364)</f>
        <v>0</v>
      </c>
      <c r="AD364" s="227">
        <f>CHOOSE(m_identity,ENWL!AD364, NPgN!AD364, NPgY!AD364, WMID!AD364, EMID!AD364, SWALES!AD364, SWEST!AD364, LPN!AD364,SPN!AD364,EPN!AD364,SPD!AD364,SPMW!AD364,SSEH!AD364,SSES!AD364)</f>
        <v>0</v>
      </c>
      <c r="AE364" s="227">
        <f>CHOOSE(m_identity,ENWL!AE364, NPgN!AE364, NPgY!AE364, WMID!AE364, EMID!AE364, SWALES!AE364, SWEST!AE364, LPN!AE364,SPN!AE364,EPN!AE364,SPD!AE364,SPMW!AE364,SSEH!AE364,SSES!AE364)</f>
        <v>0</v>
      </c>
      <c r="AF364" s="227">
        <f>CHOOSE(m_identity,ENWL!AF364, NPgN!AF364, NPgY!AF364, WMID!AF364, EMID!AF364, SWALES!AF364, SWEST!AF364, LPN!AF364,SPN!AF364,EPN!AF364,SPD!AF364,SPMW!AF364,SSEH!AF364,SSES!AF364)</f>
        <v>0</v>
      </c>
      <c r="AG364" s="227">
        <f>CHOOSE(m_identity,ENWL!AG364, NPgN!AG364, NPgY!AG364, WMID!AG364, EMID!AG364, SWALES!AG364, SWEST!AG364, LPN!AG364,SPN!AG364,EPN!AG364,SPD!AG364,SPMW!AG364,SSEH!AG364,SSES!AG364)</f>
        <v>0</v>
      </c>
      <c r="AH364" s="213">
        <f>AH36</f>
        <v>0</v>
      </c>
      <c r="AI364" s="213">
        <f>AI36</f>
        <v>0</v>
      </c>
      <c r="AJ364" s="149"/>
      <c r="AK364" s="149"/>
      <c r="AL364" s="149"/>
      <c r="AM364" s="149"/>
      <c r="AN364" s="149"/>
      <c r="AO364" s="149"/>
      <c r="AP364" s="149"/>
      <c r="AQ364" s="149"/>
    </row>
    <row r="365" spans="3:43" s="156" customFormat="1" ht="15" customHeight="1">
      <c r="E365" s="387"/>
      <c r="F365" s="145"/>
      <c r="H365" s="145"/>
      <c r="I365" s="145"/>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49"/>
      <c r="AK365" s="149"/>
      <c r="AL365" s="149"/>
      <c r="AM365" s="149"/>
      <c r="AN365" s="149"/>
      <c r="AO365" s="149"/>
      <c r="AP365" s="149"/>
      <c r="AQ365" s="149"/>
    </row>
    <row r="366" spans="3:43" s="156" customFormat="1" ht="15" customHeight="1">
      <c r="E366" s="145" t="s">
        <v>488</v>
      </c>
      <c r="F366" s="145"/>
      <c r="G366" s="156" t="s">
        <v>657</v>
      </c>
      <c r="H366" s="145"/>
      <c r="I366" s="145"/>
      <c r="J366" s="22"/>
      <c r="AI366" s="149"/>
      <c r="AJ366" s="227">
        <f>CHOOSE(m_identity,ENWL!AJ366, NPgN!AJ366, NPgY!AJ366, WMID!AJ366, EMID!AJ366, SWALES!AJ366, SWEST!AJ366, LPN!AJ366,SPN!AJ366,EPN!AJ366,SPD!AJ366,SPMW!AJ366,SSEH!AJ366,SSES!AJ366)</f>
        <v>0</v>
      </c>
      <c r="AK366" s="227">
        <f>CHOOSE(m_identity,ENWL!AK366, NPgN!AK366, NPgY!AK366, WMID!AK366, EMID!AK366, SWALES!AK366, SWEST!AK366, LPN!AK366,SPN!AK366,EPN!AK366,SPD!AK366,SPMW!AK366,SSEH!AK366,SSES!AK366)</f>
        <v>0</v>
      </c>
      <c r="AL366" s="227">
        <f>CHOOSE(m_identity,ENWL!AL366, NPgN!AL366, NPgY!AL366, WMID!AL366, EMID!AL366, SWALES!AL366, SWEST!AL366, LPN!AL366,SPN!AL366,EPN!AL366,SPD!AL366,SPMW!AL366,SSEH!AL366,SSES!AL366)</f>
        <v>0</v>
      </c>
      <c r="AM366" s="227">
        <f>CHOOSE(m_identity,ENWL!AM366, NPgN!AM366, NPgY!AM366, WMID!AM366, EMID!AM366, SWALES!AM366, SWEST!AM366, LPN!AM366,SPN!AM366,EPN!AM366,SPD!AM366,SPMW!AM366,SSEH!AM366,SSES!AM366)</f>
        <v>0</v>
      </c>
      <c r="AN366" s="227">
        <f>CHOOSE(m_identity,ENWL!AN366, NPgN!AN366, NPgY!AN366, WMID!AN366, EMID!AN366, SWALES!AN366, SWEST!AN366, LPN!AN366,SPN!AN366,EPN!AN366,SPD!AN366,SPMW!AN366,SSEH!AN366,SSES!AN366)</f>
        <v>0</v>
      </c>
      <c r="AO366" s="227">
        <f>CHOOSE(m_identity,ENWL!AO366, NPgN!AO366, NPgY!AO366, WMID!AO366, EMID!AO366, SWALES!AO366, SWEST!AO366, LPN!AO366,SPN!AO366,EPN!AO366,SPD!AO366,SPMW!AO366,SSEH!AO366,SSES!AO366)</f>
        <v>0</v>
      </c>
      <c r="AP366" s="227">
        <f>CHOOSE(m_identity,ENWL!AP366, NPgN!AP366, NPgY!AP366, WMID!AP366, EMID!AP366, SWALES!AP366, SWEST!AP366, LPN!AP366,SPN!AP366,EPN!AP366,SPD!AP366,SPMW!AP366,SSEH!AP366,SSES!AP366)</f>
        <v>0</v>
      </c>
      <c r="AQ366" s="227">
        <f>CHOOSE(m_identity,ENWL!AQ366, NPgN!AQ366, NPgY!AQ366, WMID!AQ366, EMID!AQ366, SWALES!AQ366, SWEST!AQ366, LPN!AQ366,SPN!AQ366,EPN!AQ366,SPD!AQ366,SPMW!AQ366,SSEH!AQ366,SSES!AQ366)</f>
        <v>0</v>
      </c>
    </row>
    <row r="367" spans="3:43" s="156" customFormat="1" ht="15" customHeight="1">
      <c r="E367" s="145" t="s">
        <v>798</v>
      </c>
      <c r="F367" s="145"/>
      <c r="G367" s="156" t="s">
        <v>657</v>
      </c>
      <c r="H367" s="145"/>
      <c r="I367" s="145"/>
      <c r="J367" s="22"/>
      <c r="AI367" s="149"/>
      <c r="AJ367" s="227">
        <f>CHOOSE(m_identity,ENWL!AJ367, NPgN!AJ367, NPgY!AJ367, WMID!AJ367, EMID!AJ367, SWALES!AJ367, SWEST!AJ367, LPN!AJ367,SPN!AJ367,EPN!AJ367,SPD!AJ367,SPMW!AJ367,SSEH!AJ367,SSES!AJ367)</f>
        <v>-0.3</v>
      </c>
      <c r="AK367" s="227">
        <f>CHOOSE(m_identity,ENWL!AK367, NPgN!AK367, NPgY!AK367, WMID!AK367, EMID!AK367, SWALES!AK367, SWEST!AK367, LPN!AK367,SPN!AK367,EPN!AK367,SPD!AK367,SPMW!AK367,SSEH!AK367,SSES!AK367)</f>
        <v>-0.3</v>
      </c>
      <c r="AL367" s="227">
        <f>CHOOSE(m_identity,ENWL!AL367, NPgN!AL367, NPgY!AL367, WMID!AL367, EMID!AL367, SWALES!AL367, SWEST!AL367, LPN!AL367,SPN!AL367,EPN!AL367,SPD!AL367,SPMW!AL367,SSEH!AL367,SSES!AL367)</f>
        <v>-0.3</v>
      </c>
      <c r="AM367" s="227">
        <f>CHOOSE(m_identity,ENWL!AM367, NPgN!AM367, NPgY!AM367, WMID!AM367, EMID!AM367, SWALES!AM367, SWEST!AM367, LPN!AM367,SPN!AM367,EPN!AM367,SPD!AM367,SPMW!AM367,SSEH!AM367,SSES!AM367)</f>
        <v>-0.3</v>
      </c>
      <c r="AN367" s="227">
        <f>CHOOSE(m_identity,ENWL!AN367, NPgN!AN367, NPgY!AN367, WMID!AN367, EMID!AN367, SWALES!AN367, SWEST!AN367, LPN!AN367,SPN!AN367,EPN!AN367,SPD!AN367,SPMW!AN367,SSEH!AN367,SSES!AN367)</f>
        <v>-0.3</v>
      </c>
      <c r="AO367" s="227">
        <f>CHOOSE(m_identity,ENWL!AO367, NPgN!AO367, NPgY!AO367, WMID!AO367, EMID!AO367, SWALES!AO367, SWEST!AO367, LPN!AO367,SPN!AO367,EPN!AO367,SPD!AO367,SPMW!AO367,SSEH!AO367,SSES!AO367)</f>
        <v>-0.3</v>
      </c>
      <c r="AP367" s="227">
        <f>CHOOSE(m_identity,ENWL!AP367, NPgN!AP367, NPgY!AP367, WMID!AP367, EMID!AP367, SWALES!AP367, SWEST!AP367, LPN!AP367,SPN!AP367,EPN!AP367,SPD!AP367,SPMW!AP367,SSEH!AP367,SSES!AP367)</f>
        <v>-0.3</v>
      </c>
      <c r="AQ367" s="227">
        <f>CHOOSE(m_identity,ENWL!AQ367, NPgN!AQ367, NPgY!AQ367, WMID!AQ367, EMID!AQ367, SWALES!AQ367, SWEST!AQ367, LPN!AQ367,SPN!AQ367,EPN!AQ367,SPD!AQ367,SPMW!AQ367,SSEH!AQ367,SSES!AQ367)</f>
        <v>-0.3</v>
      </c>
    </row>
    <row r="368" spans="3:43" s="156" customFormat="1" ht="15" customHeight="1">
      <c r="E368" s="145" t="s">
        <v>425</v>
      </c>
      <c r="F368" s="145"/>
      <c r="G368" s="156" t="s">
        <v>657</v>
      </c>
      <c r="H368" s="145"/>
      <c r="I368" s="145"/>
      <c r="J368" s="22" t="s">
        <v>54</v>
      </c>
      <c r="K368" s="227">
        <f>CHOOSE(m_identity,ENWL!K368, NPgN!K368, NPgY!K368, WMID!K368, EMID!K368, SWALES!K368, SWEST!K368, LPN!K368,SPN!K368,EPN!K368,SPD!K368,SPMW!K368,SSEH!K368,SSES!K368)</f>
        <v>0</v>
      </c>
      <c r="L368" s="227">
        <f>CHOOSE(m_identity,ENWL!L368, NPgN!L368, NPgY!L368, WMID!L368, EMID!L368, SWALES!L368, SWEST!L368, LPN!L368,SPN!L368,EPN!L368,SPD!L368,SPMW!L368,SSEH!L368,SSES!L368)</f>
        <v>0</v>
      </c>
      <c r="M368" s="227">
        <f>CHOOSE(m_identity,ENWL!M368, NPgN!M368, NPgY!M368, WMID!M368, EMID!M368, SWALES!M368, SWEST!M368, LPN!M368,SPN!M368,EPN!M368,SPD!M368,SPMW!M368,SSEH!M368,SSES!M368)</f>
        <v>0</v>
      </c>
      <c r="N368" s="227">
        <f>CHOOSE(m_identity,ENWL!N368, NPgN!N368, NPgY!N368, WMID!N368, EMID!N368, SWALES!N368, SWEST!N368, LPN!N368,SPN!N368,EPN!N368,SPD!N368,SPMW!N368,SSEH!N368,SSES!N368)</f>
        <v>0</v>
      </c>
      <c r="O368" s="227">
        <f>CHOOSE(m_identity,ENWL!O368, NPgN!O368, NPgY!O368, WMID!O368, EMID!O368, SWALES!O368, SWEST!O368, LPN!O368,SPN!O368,EPN!O368,SPD!O368,SPMW!O368,SSEH!O368,SSES!O368)</f>
        <v>0</v>
      </c>
      <c r="P368" s="227">
        <f>CHOOSE(m_identity,ENWL!P368, NPgN!P368, NPgY!P368, WMID!P368, EMID!P368, SWALES!P368, SWEST!P368, LPN!P368,SPN!P368,EPN!P368,SPD!P368,SPMW!P368,SSEH!P368,SSES!P368)</f>
        <v>0</v>
      </c>
      <c r="Q368" s="227">
        <f>CHOOSE(m_identity,ENWL!Q368, NPgN!Q368, NPgY!Q368, WMID!Q368, EMID!Q368, SWALES!Q368, SWEST!Q368, LPN!Q368,SPN!Q368,EPN!Q368,SPD!Q368,SPMW!Q368,SSEH!Q368,SSES!Q368)</f>
        <v>0</v>
      </c>
      <c r="R368" s="227">
        <f>CHOOSE(m_identity,ENWL!R368, NPgN!R368, NPgY!R368, WMID!R368, EMID!R368, SWALES!R368, SWEST!R368, LPN!R368,SPN!R368,EPN!R368,SPD!R368,SPMW!R368,SSEH!R368,SSES!R368)</f>
        <v>0</v>
      </c>
      <c r="S368" s="227">
        <f>CHOOSE(m_identity,ENWL!S368, NPgN!S368, NPgY!S368, WMID!S368, EMID!S368, SWALES!S368, SWEST!S368, LPN!S368,SPN!S368,EPN!S368,SPD!S368,SPMW!S368,SSEH!S368,SSES!S368)</f>
        <v>0</v>
      </c>
      <c r="T368" s="227">
        <f>CHOOSE(m_identity,ENWL!T368, NPgN!T368, NPgY!T368, WMID!T368, EMID!T368, SWALES!T368, SWEST!T368, LPN!T368,SPN!T368,EPN!T368,SPD!T368,SPMW!T368,SSEH!T368,SSES!T368)</f>
        <v>0</v>
      </c>
      <c r="U368" s="227">
        <f>CHOOSE(m_identity,ENWL!U368, NPgN!U368, NPgY!U368, WMID!U368, EMID!U368, SWALES!U368, SWEST!U368, LPN!U368,SPN!U368,EPN!U368,SPD!U368,SPMW!U368,SSEH!U368,SSES!U368)</f>
        <v>0</v>
      </c>
      <c r="V368" s="227">
        <f>CHOOSE(m_identity,ENWL!V368, NPgN!V368, NPgY!V368, WMID!V368, EMID!V368, SWALES!V368, SWEST!V368, LPN!V368,SPN!V368,EPN!V368,SPD!V368,SPMW!V368,SSEH!V368,SSES!V368)</f>
        <v>0</v>
      </c>
      <c r="W368" s="227">
        <f>CHOOSE(m_identity,ENWL!W368, NPgN!W368, NPgY!W368, WMID!W368, EMID!W368, SWALES!W368, SWEST!W368, LPN!W368,SPN!W368,EPN!W368,SPD!W368,SPMW!W368,SSEH!W368,SSES!W368)</f>
        <v>0</v>
      </c>
      <c r="X368" s="227">
        <f>CHOOSE(m_identity,ENWL!X368, NPgN!X368, NPgY!X368, WMID!X368, EMID!X368, SWALES!X368, SWEST!X368, LPN!X368,SPN!X368,EPN!X368,SPD!X368,SPMW!X368,SSEH!X368,SSES!X368)</f>
        <v>0</v>
      </c>
      <c r="Y368" s="227">
        <f>CHOOSE(m_identity,ENWL!Y368, NPgN!Y368, NPgY!Y368, WMID!Y368, EMID!Y368, SWALES!Y368, SWEST!Y368, LPN!Y368,SPN!Y368,EPN!Y368,SPD!Y368,SPMW!Y368,SSEH!Y368,SSES!Y368)</f>
        <v>0</v>
      </c>
      <c r="Z368" s="227">
        <f>CHOOSE(m_identity,ENWL!Z368, NPgN!Z368, NPgY!Z368, WMID!Z368, EMID!Z368, SWALES!Z368, SWEST!Z368, LPN!Z368,SPN!Z368,EPN!Z368,SPD!Z368,SPMW!Z368,SSEH!Z368,SSES!Z368)</f>
        <v>0</v>
      </c>
      <c r="AA368" s="227">
        <f>CHOOSE(m_identity,ENWL!AA368, NPgN!AA368, NPgY!AA368, WMID!AA368, EMID!AA368, SWALES!AA368, SWEST!AA368, LPN!AA368,SPN!AA368,EPN!AA368,SPD!AA368,SPMW!AA368,SSEH!AA368,SSES!AA368)</f>
        <v>0</v>
      </c>
      <c r="AB368" s="227">
        <f>CHOOSE(m_identity,ENWL!AB368, NPgN!AB368, NPgY!AB368, WMID!AB368, EMID!AB368, SWALES!AB368, SWEST!AB368, LPN!AB368,SPN!AB368,EPN!AB368,SPD!AB368,SPMW!AB368,SSEH!AB368,SSES!AB368)</f>
        <v>0</v>
      </c>
      <c r="AC368" s="227">
        <f>CHOOSE(m_identity,ENWL!AC368, NPgN!AC368, NPgY!AC368, WMID!AC368, EMID!AC368, SWALES!AC368, SWEST!AC368, LPN!AC368,SPN!AC368,EPN!AC368,SPD!AC368,SPMW!AC368,SSEH!AC368,SSES!AC368)</f>
        <v>0</v>
      </c>
      <c r="AD368" s="227">
        <f>CHOOSE(m_identity,ENWL!AD368, NPgN!AD368, NPgY!AD368, WMID!AD368, EMID!AD368, SWALES!AD368, SWEST!AD368, LPN!AD368,SPN!AD368,EPN!AD368,SPD!AD368,SPMW!AD368,SSEH!AD368,SSES!AD368)</f>
        <v>0</v>
      </c>
      <c r="AE368" s="227">
        <f>CHOOSE(m_identity,ENWL!AE368, NPgN!AE368, NPgY!AE368, WMID!AE368, EMID!AE368, SWALES!AE368, SWEST!AE368, LPN!AE368,SPN!AE368,EPN!AE368,SPD!AE368,SPMW!AE368,SSEH!AE368,SSES!AE368)</f>
        <v>0</v>
      </c>
      <c r="AF368" s="227">
        <f>CHOOSE(m_identity,ENWL!AF368, NPgN!AF368, NPgY!AF368, WMID!AF368, EMID!AF368, SWALES!AF368, SWEST!AF368, LPN!AF368,SPN!AF368,EPN!AF368,SPD!AF368,SPMW!AF368,SSEH!AF368,SSES!AF368)</f>
        <v>0</v>
      </c>
      <c r="AG368" s="227">
        <f>CHOOSE(m_identity,ENWL!AG368, NPgN!AG368, NPgY!AG368, WMID!AG368, EMID!AG368, SWALES!AG368, SWEST!AG368, LPN!AG368,SPN!AG368,EPN!AG368,SPD!AG368,SPMW!AG368,SSEH!AG368,SSES!AG368)</f>
        <v>0</v>
      </c>
      <c r="AH368" s="227">
        <f>CHOOSE(m_identity,ENWL!AH368, NPgN!AH368, NPgY!AH368, WMID!AH368, EMID!AH368, SWALES!AH368, SWEST!AH368, LPN!AH368,SPN!AH368,EPN!AH368,SPD!AH368,SPMW!AH368,SSEH!AH368,SSES!AH368)</f>
        <v>0</v>
      </c>
      <c r="AI368" s="227">
        <f>CHOOSE(m_identity,ENWL!AI368, NPgN!AI368, NPgY!AI368, WMID!AI368, EMID!AI368, SWALES!AI368, SWEST!AI368, LPN!AI368,SPN!AI368,EPN!AI368,SPD!AI368,SPMW!AI368,SSEH!AI368,SSES!AI368)</f>
        <v>0</v>
      </c>
      <c r="AJ368" s="149"/>
    </row>
    <row r="369" spans="2:43" s="156" customFormat="1" ht="15" customHeight="1"/>
    <row r="370" spans="2:43" s="12" customFormat="1" ht="15" customHeight="1">
      <c r="B370" s="15" t="s">
        <v>7</v>
      </c>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row>
    <row r="371" spans="2:43" s="44" customFormat="1" ht="15" customHeight="1">
      <c r="E371" s="3"/>
      <c r="F371" s="3"/>
      <c r="G371" s="3"/>
      <c r="H371" s="3"/>
      <c r="I371" s="3"/>
      <c r="J371" s="33"/>
      <c r="K371" s="33"/>
      <c r="L371" s="33"/>
      <c r="M371" s="33"/>
      <c r="N371" s="33"/>
      <c r="O371" s="33"/>
      <c r="P371" s="33"/>
      <c r="Q371" s="33"/>
      <c r="R371" s="33"/>
      <c r="S371" s="33"/>
      <c r="T371" s="33"/>
      <c r="U371" s="33"/>
      <c r="V371" s="33"/>
      <c r="W371" s="33"/>
      <c r="X371" s="33"/>
      <c r="Y371" s="33"/>
      <c r="Z371" s="33"/>
      <c r="AL371" s="102"/>
      <c r="AM371" s="85"/>
      <c r="AN371" s="103"/>
      <c r="AO371" s="103"/>
      <c r="AP371" s="103"/>
      <c r="AQ371" s="103"/>
    </row>
    <row r="372" spans="2:43" s="156" customFormat="1" ht="15" customHeight="1">
      <c r="C372" s="158" t="s">
        <v>207</v>
      </c>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row>
    <row r="373" spans="2:43" s="156" customFormat="1" ht="15" customHeight="1"/>
    <row r="374" spans="2:43" s="156" customFormat="1" ht="15" customHeight="1">
      <c r="E374" s="156" t="str">
        <f>E38</f>
        <v>Tax liability revenue allowance adjustments - gearing / debt interest costs</v>
      </c>
      <c r="G374" s="190" t="s">
        <v>25</v>
      </c>
      <c r="AJ374" s="213">
        <f t="shared" ref="AJ374:AQ375" si="129">AJ38</f>
        <v>0</v>
      </c>
      <c r="AK374" s="213">
        <f t="shared" si="129"/>
        <v>0</v>
      </c>
      <c r="AL374" s="213">
        <f t="shared" si="129"/>
        <v>0</v>
      </c>
      <c r="AM374" s="213">
        <f t="shared" si="129"/>
        <v>0</v>
      </c>
      <c r="AN374" s="213">
        <f t="shared" si="129"/>
        <v>0</v>
      </c>
      <c r="AO374" s="213">
        <f t="shared" si="129"/>
        <v>0</v>
      </c>
      <c r="AP374" s="213">
        <f t="shared" si="129"/>
        <v>0</v>
      </c>
      <c r="AQ374" s="213">
        <f t="shared" si="129"/>
        <v>0</v>
      </c>
    </row>
    <row r="375" spans="2:43" s="156" customFormat="1" ht="15" customHeight="1">
      <c r="E375" s="156" t="str">
        <f>E39</f>
        <v xml:space="preserve">Tax liability revenue allowance adjustments - tax trigger events                                                       </v>
      </c>
      <c r="G375" s="156" t="s">
        <v>657</v>
      </c>
      <c r="AJ375" s="213">
        <f t="shared" si="129"/>
        <v>0</v>
      </c>
      <c r="AK375" s="213">
        <f t="shared" si="129"/>
        <v>0</v>
      </c>
      <c r="AL375" s="213">
        <f t="shared" si="129"/>
        <v>0</v>
      </c>
      <c r="AM375" s="213">
        <f t="shared" si="129"/>
        <v>0</v>
      </c>
      <c r="AN375" s="213">
        <f t="shared" si="129"/>
        <v>0</v>
      </c>
      <c r="AO375" s="213">
        <f t="shared" si="129"/>
        <v>0</v>
      </c>
      <c r="AP375" s="213">
        <f t="shared" si="129"/>
        <v>0</v>
      </c>
      <c r="AQ375" s="213">
        <f t="shared" si="129"/>
        <v>0</v>
      </c>
    </row>
    <row r="376" spans="2:43" s="156" customFormat="1" ht="15" customHeight="1"/>
    <row r="377" spans="2:43" s="12" customFormat="1" ht="15" customHeight="1">
      <c r="E377" s="3" t="s">
        <v>82</v>
      </c>
      <c r="G377" s="3" t="s">
        <v>47</v>
      </c>
      <c r="I377" s="11"/>
      <c r="J377" s="22" t="s">
        <v>54</v>
      </c>
      <c r="M377" s="149"/>
      <c r="N377" s="149"/>
      <c r="X377" s="149"/>
      <c r="Y377" s="149"/>
      <c r="Z377" s="149"/>
      <c r="AA377" s="149"/>
      <c r="AB377" s="149"/>
      <c r="AC377" s="149"/>
      <c r="AD377" s="149"/>
      <c r="AE377" s="149"/>
      <c r="AF377" s="149"/>
      <c r="AG377" s="149"/>
      <c r="AH377" s="149"/>
      <c r="AI377" s="156"/>
      <c r="AJ377" s="289">
        <f>CHOOSE(m_identity,ENWL!AJ377, NPgN!AJ377, NPgY!AJ377, WMID!AJ377, EMID!AJ377, SWALES!AJ377, SWEST!AJ377, LPN!AJ377,SPN!AJ377,EPN!AJ377,SPD!AJ377,SPMW!AJ377,SSEH!AJ377,SSES!AJ377)</f>
        <v>0.2</v>
      </c>
      <c r="AK377" s="289">
        <f>CHOOSE(m_identity,ENWL!AK377, NPgN!AK377, NPgY!AK377, WMID!AK377, EMID!AK377, SWALES!AK377, SWEST!AK377, LPN!AK377,SPN!AK377,EPN!AK377,SPD!AK377,SPMW!AK377,SSEH!AK377,SSES!AK377)</f>
        <v>0.2</v>
      </c>
      <c r="AL377" s="289">
        <f>CHOOSE(m_identity,ENWL!AL377, NPgN!AL377, NPgY!AL377, WMID!AL377, EMID!AL377, SWALES!AL377, SWEST!AL377, LPN!AL377,SPN!AL377,EPN!AL377,SPD!AL377,SPMW!AL377,SSEH!AL377,SSES!AL377)</f>
        <v>0.2</v>
      </c>
      <c r="AM377" s="289">
        <f>CHOOSE(m_identity,ENWL!AM377, NPgN!AM377, NPgY!AM377, WMID!AM377, EMID!AM377, SWALES!AM377, SWEST!AM377, LPN!AM377,SPN!AM377,EPN!AM377,SPD!AM377,SPMW!AM377,SSEH!AM377,SSES!AM377)</f>
        <v>0.2</v>
      </c>
      <c r="AN377" s="289">
        <f>CHOOSE(m_identity,ENWL!AN377, NPgN!AN377, NPgY!AN377, WMID!AN377, EMID!AN377, SWALES!AN377, SWEST!AN377, LPN!AN377,SPN!AN377,EPN!AN377,SPD!AN377,SPMW!AN377,SSEH!AN377,SSES!AN377)</f>
        <v>0.2</v>
      </c>
      <c r="AO377" s="289">
        <f>CHOOSE(m_identity,ENWL!AO377, NPgN!AO377, NPgY!AO377, WMID!AO377, EMID!AO377, SWALES!AO377, SWEST!AO377, LPN!AO377,SPN!AO377,EPN!AO377,SPD!AO377,SPMW!AO377,SSEH!AO377,SSES!AO377)</f>
        <v>0.2</v>
      </c>
      <c r="AP377" s="289">
        <f>CHOOSE(m_identity,ENWL!AP377, NPgN!AP377, NPgY!AP377, WMID!AP377, EMID!AP377, SWALES!AP377, SWEST!AP377, LPN!AP377,SPN!AP377,EPN!AP377,SPD!AP377,SPMW!AP377,SSEH!AP377,SSES!AP377)</f>
        <v>0.2</v>
      </c>
      <c r="AQ377" s="289">
        <f>CHOOSE(m_identity,ENWL!AQ377, NPgN!AQ377, NPgY!AQ377, WMID!AQ377, EMID!AQ377, SWALES!AQ377, SWEST!AQ377, LPN!AQ377,SPN!AQ377,EPN!AQ377,SPD!AQ377,SPMW!AQ377,SSEH!AQ377,SSES!AQ377)</f>
        <v>0.2</v>
      </c>
    </row>
    <row r="378" spans="2:43" ht="15" customHeight="1">
      <c r="X378" s="156"/>
      <c r="Y378" s="156"/>
      <c r="Z378" s="156"/>
      <c r="AA378" s="156"/>
      <c r="AB378" s="156"/>
      <c r="AC378" s="156"/>
      <c r="AD378" s="156"/>
      <c r="AE378" s="156"/>
      <c r="AF378" s="156"/>
      <c r="AG378" s="156"/>
      <c r="AH378" s="156"/>
      <c r="AI378" s="156"/>
      <c r="AJ378" s="290"/>
      <c r="AK378" s="290"/>
      <c r="AL378" s="290"/>
      <c r="AM378" s="290"/>
      <c r="AN378" s="290"/>
      <c r="AO378" s="290"/>
      <c r="AP378" s="290"/>
      <c r="AQ378" s="290"/>
    </row>
    <row r="379" spans="2:43" s="44" customFormat="1" ht="15" customHeight="1">
      <c r="E379" s="155" t="s">
        <v>439</v>
      </c>
      <c r="F379" s="3"/>
      <c r="G379" s="3" t="s">
        <v>47</v>
      </c>
      <c r="H379" s="3"/>
      <c r="I379" s="3"/>
      <c r="J379" s="45" t="s">
        <v>54</v>
      </c>
      <c r="K379" s="3"/>
      <c r="L379" s="3"/>
      <c r="M379" s="155"/>
      <c r="N379" s="155"/>
      <c r="O379" s="3"/>
      <c r="P379" s="3"/>
      <c r="Q379" s="3"/>
      <c r="R379" s="3"/>
      <c r="S379" s="3"/>
      <c r="T379" s="3"/>
      <c r="U379" s="3"/>
      <c r="V379" s="3"/>
      <c r="W379" s="3"/>
      <c r="X379" s="155"/>
      <c r="Y379" s="155"/>
      <c r="Z379" s="155"/>
      <c r="AA379" s="155"/>
      <c r="AB379" s="155"/>
      <c r="AC379" s="155"/>
      <c r="AD379" s="155"/>
      <c r="AE379" s="155"/>
      <c r="AF379" s="155"/>
      <c r="AG379" s="155"/>
      <c r="AH379" s="155"/>
      <c r="AI379" s="156"/>
      <c r="AJ379" s="289">
        <f>CHOOSE(m_identity,ENWL!AJ379, NPgN!AJ379, NPgY!AJ379, WMID!AJ379, EMID!AJ379, SWALES!AJ379, SWEST!AJ379, LPN!AJ379,SPN!AJ379,EPN!AJ379,SPD!AJ379,SPMW!AJ379,SSEH!AJ379,SSES!AJ379)</f>
        <v>0.18000000000000002</v>
      </c>
      <c r="AK379" s="289">
        <f>CHOOSE(m_identity,ENWL!AK379, NPgN!AK379, NPgY!AK379, WMID!AK379, EMID!AK379, SWALES!AK379, SWEST!AK379, LPN!AK379,SPN!AK379,EPN!AK379,SPD!AK379,SPMW!AK379,SSEH!AK379,SSES!AK379)</f>
        <v>0.18000000000000002</v>
      </c>
      <c r="AL379" s="289">
        <f>CHOOSE(m_identity,ENWL!AL379, NPgN!AL379, NPgY!AL379, WMID!AL379, EMID!AL379, SWALES!AL379, SWEST!AL379, LPN!AL379,SPN!AL379,EPN!AL379,SPD!AL379,SPMW!AL379,SSEH!AL379,SSES!AL379)</f>
        <v>0.18000000000000002</v>
      </c>
      <c r="AM379" s="289">
        <f>CHOOSE(m_identity,ENWL!AM379, NPgN!AM379, NPgY!AM379, WMID!AM379, EMID!AM379, SWALES!AM379, SWEST!AM379, LPN!AM379,SPN!AM379,EPN!AM379,SPD!AM379,SPMW!AM379,SSEH!AM379,SSES!AM379)</f>
        <v>0.18000000000000002</v>
      </c>
      <c r="AN379" s="289">
        <f>CHOOSE(m_identity,ENWL!AN379, NPgN!AN379, NPgY!AN379, WMID!AN379, EMID!AN379, SWALES!AN379, SWEST!AN379, LPN!AN379,SPN!AN379,EPN!AN379,SPD!AN379,SPMW!AN379,SSEH!AN379,SSES!AN379)</f>
        <v>0.18000000000000002</v>
      </c>
      <c r="AO379" s="289">
        <f>CHOOSE(m_identity,ENWL!AO379, NPgN!AO379, NPgY!AO379, WMID!AO379, EMID!AO379, SWALES!AO379, SWEST!AO379, LPN!AO379,SPN!AO379,EPN!AO379,SPD!AO379,SPMW!AO379,SSEH!AO379,SSES!AO379)</f>
        <v>0.18000000000000002</v>
      </c>
      <c r="AP379" s="289">
        <f>CHOOSE(m_identity,ENWL!AP379, NPgN!AP379, NPgY!AP379, WMID!AP379, EMID!AP379, SWALES!AP379, SWEST!AP379, LPN!AP379,SPN!AP379,EPN!AP379,SPD!AP379,SPMW!AP379,SSEH!AP379,SSES!AP379)</f>
        <v>0.18000000000000002</v>
      </c>
      <c r="AQ379" s="289">
        <f>CHOOSE(m_identity,ENWL!AQ379, NPgN!AQ379, NPgY!AQ379, WMID!AQ379, EMID!AQ379, SWALES!AQ379, SWEST!AQ379, LPN!AQ379,SPN!AQ379,EPN!AQ379,SPD!AQ379,SPMW!AQ379,SSEH!AQ379,SSES!AQ379)</f>
        <v>0.18000000000000002</v>
      </c>
    </row>
    <row r="380" spans="2:43" s="44" customFormat="1" ht="15" customHeight="1">
      <c r="E380" s="155" t="s">
        <v>433</v>
      </c>
      <c r="F380" s="3"/>
      <c r="G380" s="3" t="s">
        <v>47</v>
      </c>
      <c r="H380" s="3"/>
      <c r="I380" s="3"/>
      <c r="J380" s="45" t="s">
        <v>54</v>
      </c>
      <c r="M380" s="154"/>
      <c r="N380" s="154"/>
      <c r="X380" s="154"/>
      <c r="Y380" s="154"/>
      <c r="Z380" s="154"/>
      <c r="AA380" s="154"/>
      <c r="AB380" s="154"/>
      <c r="AC380" s="154"/>
      <c r="AD380" s="154"/>
      <c r="AE380" s="154"/>
      <c r="AF380" s="154"/>
      <c r="AG380" s="154"/>
      <c r="AH380" s="154"/>
      <c r="AI380" s="156"/>
      <c r="AJ380" s="289">
        <f>CHOOSE(m_identity,ENWL!AJ380, NPgN!AJ380, NPgY!AJ380, WMID!AJ380, EMID!AJ380, SWALES!AJ380, SWEST!AJ380, LPN!AJ380,SPN!AJ380,EPN!AJ380,SPD!AJ380,SPMW!AJ380,SSEH!AJ380,SSES!AJ380)</f>
        <v>0.08</v>
      </c>
      <c r="AK380" s="289">
        <f>CHOOSE(m_identity,ENWL!AK380, NPgN!AK380, NPgY!AK380, WMID!AK380, EMID!AK380, SWALES!AK380, SWEST!AK380, LPN!AK380,SPN!AK380,EPN!AK380,SPD!AK380,SPMW!AK380,SSEH!AK380,SSES!AK380)</f>
        <v>0.08</v>
      </c>
      <c r="AL380" s="289">
        <f>CHOOSE(m_identity,ENWL!AL380, NPgN!AL380, NPgY!AL380, WMID!AL380, EMID!AL380, SWALES!AL380, SWEST!AL380, LPN!AL380,SPN!AL380,EPN!AL380,SPD!AL380,SPMW!AL380,SSEH!AL380,SSES!AL380)</f>
        <v>0.08</v>
      </c>
      <c r="AM380" s="289">
        <f>CHOOSE(m_identity,ENWL!AM380, NPgN!AM380, NPgY!AM380, WMID!AM380, EMID!AM380, SWALES!AM380, SWEST!AM380, LPN!AM380,SPN!AM380,EPN!AM380,SPD!AM380,SPMW!AM380,SSEH!AM380,SSES!AM380)</f>
        <v>0.08</v>
      </c>
      <c r="AN380" s="289">
        <f>CHOOSE(m_identity,ENWL!AN380, NPgN!AN380, NPgY!AN380, WMID!AN380, EMID!AN380, SWALES!AN380, SWEST!AN380, LPN!AN380,SPN!AN380,EPN!AN380,SPD!AN380,SPMW!AN380,SSEH!AN380,SSES!AN380)</f>
        <v>0.08</v>
      </c>
      <c r="AO380" s="289">
        <f>CHOOSE(m_identity,ENWL!AO380, NPgN!AO380, NPgY!AO380, WMID!AO380, EMID!AO380, SWALES!AO380, SWEST!AO380, LPN!AO380,SPN!AO380,EPN!AO380,SPD!AO380,SPMW!AO380,SSEH!AO380,SSES!AO380)</f>
        <v>0.08</v>
      </c>
      <c r="AP380" s="289">
        <f>CHOOSE(m_identity,ENWL!AP380, NPgN!AP380, NPgY!AP380, WMID!AP380, EMID!AP380, SWALES!AP380, SWEST!AP380, LPN!AP380,SPN!AP380,EPN!AP380,SPD!AP380,SPMW!AP380,SSEH!AP380,SSES!AP380)</f>
        <v>0.08</v>
      </c>
      <c r="AQ380" s="289">
        <f>CHOOSE(m_identity,ENWL!AQ380, NPgN!AQ380, NPgY!AQ380, WMID!AQ380, EMID!AQ380, SWALES!AQ380, SWEST!AQ380, LPN!AQ380,SPN!AQ380,EPN!AQ380,SPD!AQ380,SPMW!AQ380,SSEH!AQ380,SSES!AQ380)</f>
        <v>0.08</v>
      </c>
    </row>
    <row r="381" spans="2:43" s="44" customFormat="1" ht="15" customHeight="1">
      <c r="E381" s="3" t="s">
        <v>205</v>
      </c>
      <c r="F381" s="3"/>
      <c r="G381" s="3" t="s">
        <v>47</v>
      </c>
      <c r="H381" s="3"/>
      <c r="I381" s="155"/>
      <c r="J381" s="45"/>
      <c r="K381" s="3"/>
      <c r="L381" s="3"/>
      <c r="M381" s="155"/>
      <c r="N381" s="155"/>
      <c r="O381" s="3"/>
      <c r="P381" s="3"/>
      <c r="Q381" s="3"/>
      <c r="R381" s="3"/>
      <c r="S381" s="3"/>
      <c r="T381" s="3"/>
      <c r="U381" s="3"/>
      <c r="V381" s="3"/>
      <c r="W381" s="3"/>
      <c r="X381" s="156"/>
      <c r="Y381" s="156"/>
      <c r="Z381" s="156"/>
      <c r="AA381" s="156"/>
      <c r="AB381" s="156"/>
      <c r="AC381" s="156"/>
      <c r="AD381" s="231"/>
      <c r="AE381" s="231"/>
      <c r="AF381" s="231"/>
      <c r="AG381" s="231"/>
      <c r="AH381" s="231"/>
      <c r="AI381" s="231"/>
      <c r="AJ381" s="289">
        <f>CHOOSE(m_identity,ENWL!AJ381, NPgN!AJ381, NPgY!AJ381, WMID!AJ381, EMID!AJ381, SWALES!AJ381, SWEST!AJ381, LPN!AJ381,SPN!AJ381,EPN!AJ381,SPD!AJ381,SPMW!AJ381,SSEH!AJ381,SSES!AJ381)</f>
        <v>2.2200000000000001E-2</v>
      </c>
      <c r="AK381" s="289">
        <f>CHOOSE(m_identity,ENWL!AK381, NPgN!AK381, NPgY!AK381, WMID!AK381, EMID!AK381, SWALES!AK381, SWEST!AK381, LPN!AK381,SPN!AK381,EPN!AK381,SPD!AK381,SPMW!AK381,SSEH!AK381,SSES!AK381)</f>
        <v>2.2200000000000001E-2</v>
      </c>
      <c r="AL381" s="289">
        <f>CHOOSE(m_identity,ENWL!AL381, NPgN!AL381, NPgY!AL381, WMID!AL381, EMID!AL381, SWALES!AL381, SWEST!AL381, LPN!AL381,SPN!AL381,EPN!AL381,SPD!AL381,SPMW!AL381,SSEH!AL381,SSES!AL381)</f>
        <v>2.2200000000000001E-2</v>
      </c>
      <c r="AM381" s="289">
        <f>CHOOSE(m_identity,ENWL!AM381, NPgN!AM381, NPgY!AM381, WMID!AM381, EMID!AM381, SWALES!AM381, SWEST!AM381, LPN!AM381,SPN!AM381,EPN!AM381,SPD!AM381,SPMW!AM381,SSEH!AM381,SSES!AM381)</f>
        <v>2.2200000000000001E-2</v>
      </c>
      <c r="AN381" s="289">
        <f>CHOOSE(m_identity,ENWL!AN381, NPgN!AN381, NPgY!AN381, WMID!AN381, EMID!AN381, SWALES!AN381, SWEST!AN381, LPN!AN381,SPN!AN381,EPN!AN381,SPD!AN381,SPMW!AN381,SSEH!AN381,SSES!AN381)</f>
        <v>2.2200000000000001E-2</v>
      </c>
      <c r="AO381" s="289">
        <f>CHOOSE(m_identity,ENWL!AO381, NPgN!AO381, NPgY!AO381, WMID!AO381, EMID!AO381, SWALES!AO381, SWEST!AO381, LPN!AO381,SPN!AO381,EPN!AO381,SPD!AO381,SPMW!AO381,SSEH!AO381,SSES!AO381)</f>
        <v>2.2200000000000001E-2</v>
      </c>
      <c r="AP381" s="289">
        <f>CHOOSE(m_identity,ENWL!AP381, NPgN!AP381, NPgY!AP381, WMID!AP381, EMID!AP381, SWALES!AP381, SWEST!AP381, LPN!AP381,SPN!AP381,EPN!AP381,SPD!AP381,SPMW!AP381,SSEH!AP381,SSES!AP381)</f>
        <v>2.2200000000000001E-2</v>
      </c>
      <c r="AQ381" s="289">
        <f>CHOOSE(m_identity,ENWL!AQ381, NPgN!AQ381, NPgY!AQ381, WMID!AQ381, EMID!AQ381, SWALES!AQ381, SWEST!AQ381, LPN!AQ381,SPN!AQ381,EPN!AQ381,SPD!AQ381,SPMW!AQ381,SSEH!AQ381,SSES!AQ381)</f>
        <v>2.2200000000000001E-2</v>
      </c>
    </row>
    <row r="382" spans="2:43" ht="15" customHeight="1">
      <c r="AJ382" s="147"/>
      <c r="AK382" s="147"/>
      <c r="AL382" s="147"/>
      <c r="AM382" s="147"/>
      <c r="AN382" s="147"/>
      <c r="AO382" s="147"/>
      <c r="AP382" s="147"/>
      <c r="AQ382" s="147"/>
    </row>
    <row r="383" spans="2:43" ht="15" customHeight="1">
      <c r="B383" s="156"/>
      <c r="C383" s="158" t="s">
        <v>206</v>
      </c>
      <c r="D383" s="158"/>
      <c r="E383" s="158"/>
      <c r="F383" s="158"/>
      <c r="G383" s="158"/>
      <c r="H383" s="158"/>
      <c r="I383" s="158"/>
      <c r="J383" s="158"/>
      <c r="K383" s="158"/>
      <c r="L383" s="158"/>
      <c r="M383" s="158"/>
      <c r="N383" s="158"/>
      <c r="O383" s="158"/>
      <c r="P383" s="158"/>
      <c r="Q383" s="158"/>
      <c r="R383" s="158"/>
      <c r="S383" s="158"/>
      <c r="T383" s="158"/>
      <c r="U383" s="158"/>
      <c r="V383" s="158"/>
      <c r="W383" s="158"/>
      <c r="X383" s="158"/>
      <c r="Y383" s="158"/>
      <c r="Z383" s="158"/>
      <c r="AA383" s="158"/>
      <c r="AB383" s="158"/>
      <c r="AC383" s="158"/>
      <c r="AD383" s="158"/>
      <c r="AE383" s="158"/>
      <c r="AF383" s="158"/>
      <c r="AG383" s="158"/>
      <c r="AH383" s="158"/>
      <c r="AI383" s="158"/>
      <c r="AJ383" s="291"/>
      <c r="AK383" s="291"/>
      <c r="AL383" s="291"/>
      <c r="AM383" s="291"/>
      <c r="AN383" s="291"/>
      <c r="AO383" s="291"/>
      <c r="AP383" s="291"/>
      <c r="AQ383" s="291"/>
    </row>
    <row r="384" spans="2:43" ht="15" customHeight="1">
      <c r="AJ384" s="147"/>
      <c r="AK384" s="147"/>
      <c r="AL384" s="147"/>
      <c r="AM384" s="147"/>
      <c r="AN384" s="147"/>
      <c r="AO384" s="147"/>
      <c r="AP384" s="147"/>
      <c r="AQ384" s="147"/>
    </row>
    <row r="385" spans="5:44" s="16" customFormat="1" ht="15" customHeight="1">
      <c r="E385" s="190" t="s">
        <v>440</v>
      </c>
      <c r="G385" s="16" t="s">
        <v>25</v>
      </c>
      <c r="J385" s="3"/>
      <c r="K385" s="3"/>
      <c r="L385" s="3"/>
      <c r="M385" s="155"/>
      <c r="N385" s="155"/>
      <c r="O385" s="3"/>
      <c r="P385" s="3"/>
      <c r="Q385" s="3"/>
      <c r="R385" s="3"/>
      <c r="S385" s="3"/>
      <c r="T385" s="3"/>
      <c r="U385" s="3"/>
      <c r="V385" s="3"/>
      <c r="W385" s="3"/>
      <c r="X385" s="3"/>
      <c r="Y385" s="3"/>
      <c r="Z385" s="3"/>
      <c r="AA385" s="3"/>
      <c r="AB385" s="3"/>
      <c r="AC385" s="3"/>
      <c r="AD385" s="3"/>
      <c r="AE385" s="3"/>
      <c r="AF385" s="156"/>
      <c r="AG385" s="156"/>
      <c r="AH385" s="227">
        <f>CHOOSE(m_identity,ENWL!AH385, NPgN!AH385, NPgY!AH385, WMID!AH385, EMID!AH385, SWALES!AH385, SWEST!AH385, LPN!AH385,SPN!AH385,EPN!AH385,SPD!AH385,SPMW!AH385,SSEH!AH385,SSES!AH385)</f>
        <v>27.861959999999996</v>
      </c>
      <c r="AI385" s="3"/>
      <c r="AJ385" s="147"/>
      <c r="AK385" s="155"/>
      <c r="AL385" s="155"/>
      <c r="AM385" s="155"/>
      <c r="AN385" s="155"/>
      <c r="AO385" s="155"/>
      <c r="AP385" s="155"/>
      <c r="AQ385" s="155"/>
      <c r="AR385" s="3"/>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6"/>
      <c r="AG386" s="156"/>
      <c r="AH386" s="227">
        <f>CHOOSE(m_identity,ENWL!AH386, NPgN!AH386, NPgY!AH386, WMID!AH386, EMID!AH386, SWALES!AH386, SWEST!AH386, LPN!AH386,SPN!AH386,EPN!AH386,SPD!AH386,SPMW!AH386,SSEH!AH386,SSES!AH386)</f>
        <v>2.2669064000000008</v>
      </c>
      <c r="AI386" s="227">
        <f>CHOOSE(m_identity,ENWL!AI386, NPgN!AI386, NPgY!AI386, WMID!AI386, EMID!AI386, SWALES!AI386, SWEST!AI386, LPN!AI386,SPN!AI386,EPN!AI386,SPD!AI386,SPMW!AI386,SSEH!AI386,SSES!AI386)</f>
        <v>3.8490268640000016</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6"/>
      <c r="AG387" s="156"/>
      <c r="AH387" s="213">
        <f>AH40</f>
        <v>0</v>
      </c>
      <c r="AI387" s="213">
        <f>AI40</f>
        <v>0</v>
      </c>
      <c r="AJ387" s="147"/>
      <c r="AK387" s="155"/>
      <c r="AL387" s="155"/>
      <c r="AM387" s="155"/>
      <c r="AN387" s="155"/>
      <c r="AO387" s="155"/>
      <c r="AP387" s="155"/>
      <c r="AQ387" s="155"/>
      <c r="AR387" s="155"/>
    </row>
    <row r="388" spans="5:44" s="16" customFormat="1" ht="15" customHeight="1">
      <c r="J388" s="3"/>
      <c r="K388" s="3"/>
      <c r="L388" s="3"/>
      <c r="M388" s="155"/>
      <c r="N388" s="155"/>
      <c r="O388" s="3"/>
      <c r="P388" s="3"/>
      <c r="Q388" s="3"/>
      <c r="R388" s="3"/>
      <c r="S388" s="3"/>
      <c r="T388" s="3"/>
      <c r="U388" s="3"/>
      <c r="V388" s="3"/>
      <c r="W388" s="3"/>
      <c r="X388" s="3"/>
      <c r="Y388" s="3"/>
      <c r="Z388" s="3"/>
      <c r="AA388" s="3"/>
      <c r="AB388" s="3"/>
      <c r="AC388" s="3"/>
      <c r="AD388" s="3"/>
      <c r="AE388" s="3"/>
      <c r="AF388" s="156"/>
      <c r="AG388" s="156"/>
      <c r="AH388" s="155"/>
      <c r="AI388" s="3"/>
      <c r="AJ388" s="147"/>
      <c r="AK388" s="155"/>
      <c r="AL388" s="155"/>
      <c r="AM388" s="155"/>
      <c r="AN388" s="155"/>
      <c r="AO388" s="155"/>
      <c r="AP388" s="155"/>
      <c r="AQ388" s="155"/>
      <c r="AR388" s="3"/>
    </row>
    <row r="389" spans="5:44" s="16" customFormat="1" ht="15" customHeight="1">
      <c r="E389" s="190" t="s">
        <v>438</v>
      </c>
      <c r="G389" s="16" t="s">
        <v>25</v>
      </c>
      <c r="J389" s="3"/>
      <c r="K389" s="3"/>
      <c r="L389" s="3"/>
      <c r="M389" s="155"/>
      <c r="N389" s="155"/>
      <c r="O389" s="3"/>
      <c r="P389" s="3"/>
      <c r="Q389" s="3"/>
      <c r="R389" s="3"/>
      <c r="S389" s="3"/>
      <c r="T389" s="3"/>
      <c r="U389" s="3"/>
      <c r="V389" s="3"/>
      <c r="W389" s="3"/>
      <c r="X389" s="3"/>
      <c r="Y389" s="3"/>
      <c r="Z389" s="3"/>
      <c r="AA389" s="3"/>
      <c r="AB389" s="3"/>
      <c r="AC389" s="3"/>
      <c r="AD389" s="3"/>
      <c r="AE389" s="3"/>
      <c r="AF389" s="156"/>
      <c r="AG389" s="156"/>
      <c r="AH389" s="227">
        <f>CHOOSE(m_identity,ENWL!AH389, NPgN!AH389, NPgY!AH389, WMID!AH389, EMID!AH389, SWALES!AH389, SWEST!AH389, LPN!AH389,SPN!AH389,EPN!AH389,SPD!AH389,SPMW!AH389,SSEH!AH389,SSES!AH389)</f>
        <v>437.83453199999997</v>
      </c>
      <c r="AI389" s="3"/>
      <c r="AJ389" s="147"/>
      <c r="AK389" s="155"/>
      <c r="AL389" s="155"/>
      <c r="AM389" s="155"/>
      <c r="AN389" s="155"/>
      <c r="AO389" s="155"/>
      <c r="AP389" s="155"/>
      <c r="AQ389" s="155"/>
      <c r="AR389" s="3"/>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6"/>
      <c r="AG390" s="156"/>
      <c r="AH390" s="227">
        <f>CHOOSE(m_identity,ENWL!AH390, NPgN!AH390, NPgY!AH390, WMID!AH390, EMID!AH390, SWALES!AH390, SWEST!AH390, LPN!AH390,SPN!AH390,EPN!AH390,SPD!AH390,SPMW!AH390,SSEH!AH390,SSES!AH390)</f>
        <v>72.143375040000009</v>
      </c>
      <c r="AI390" s="227">
        <f>CHOOSE(m_identity,ENWL!AI390, NPgN!AI390, NPgY!AI390, WMID!AI390, EMID!AI390, SWALES!AI390, SWEST!AI390, LPN!AI390,SPN!AI390,EPN!AI390,SPD!AI390,SPMW!AI390,SSEH!AI390,SSES!AI390)</f>
        <v>47.102101561599994</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6"/>
      <c r="AG391" s="156"/>
      <c r="AH391" s="213">
        <f>AH41</f>
        <v>0</v>
      </c>
      <c r="AI391" s="213">
        <f>AI41</f>
        <v>0</v>
      </c>
      <c r="AJ391" s="147"/>
      <c r="AK391" s="155"/>
      <c r="AL391" s="155"/>
      <c r="AM391" s="155"/>
      <c r="AN391" s="155"/>
      <c r="AO391" s="155"/>
      <c r="AP391" s="155"/>
      <c r="AQ391" s="155"/>
      <c r="AR391" s="155"/>
    </row>
    <row r="392" spans="5:44" s="153" customFormat="1" ht="15" customHeight="1">
      <c r="E392" s="16"/>
      <c r="F392" s="16"/>
      <c r="G392" s="16"/>
      <c r="H392" s="3"/>
      <c r="I392" s="3"/>
      <c r="J392" s="33"/>
      <c r="K392" s="33"/>
      <c r="L392" s="33"/>
      <c r="M392" s="33"/>
      <c r="N392" s="33"/>
      <c r="O392" s="33"/>
      <c r="P392" s="33"/>
      <c r="Q392" s="33"/>
      <c r="R392" s="33"/>
      <c r="S392" s="33"/>
      <c r="T392" s="33"/>
      <c r="U392" s="33"/>
      <c r="V392" s="33"/>
      <c r="W392" s="33"/>
      <c r="X392" s="33"/>
      <c r="Y392" s="33"/>
      <c r="Z392" s="33"/>
      <c r="AF392" s="156"/>
      <c r="AG392" s="156"/>
      <c r="AH392" s="155"/>
      <c r="AJ392" s="147"/>
      <c r="AK392" s="155"/>
      <c r="AL392" s="155"/>
      <c r="AM392" s="155"/>
      <c r="AN392" s="155"/>
      <c r="AO392" s="155"/>
      <c r="AP392" s="155"/>
      <c r="AQ392" s="155"/>
    </row>
    <row r="393" spans="5:44" s="16" customFormat="1" ht="15" customHeight="1">
      <c r="E393" s="16" t="s">
        <v>133</v>
      </c>
      <c r="G393" s="16" t="s">
        <v>25</v>
      </c>
      <c r="J393" s="3"/>
      <c r="K393" s="3"/>
      <c r="L393" s="3"/>
      <c r="M393" s="155"/>
      <c r="N393" s="155"/>
      <c r="O393" s="3"/>
      <c r="P393" s="3"/>
      <c r="Q393" s="3"/>
      <c r="R393" s="3"/>
      <c r="S393" s="3"/>
      <c r="T393" s="3"/>
      <c r="U393" s="3"/>
      <c r="V393" s="3"/>
      <c r="W393" s="3"/>
      <c r="X393" s="3"/>
      <c r="Y393" s="3"/>
      <c r="Z393" s="3"/>
      <c r="AA393" s="3"/>
      <c r="AB393" s="3"/>
      <c r="AC393" s="3"/>
      <c r="AD393" s="3"/>
      <c r="AE393" s="3"/>
      <c r="AF393" s="156"/>
      <c r="AG393" s="156"/>
      <c r="AH393" s="227">
        <f>CHOOSE(m_identity,ENWL!AH393, NPgN!AH393, NPgY!AH393, WMID!AH393, EMID!AH393, SWALES!AH393, SWEST!AH393, LPN!AH393,SPN!AH393,EPN!AH393,SPD!AH393,SPMW!AH393,SSEH!AH393,SSES!AH393)</f>
        <v>688.75100000000009</v>
      </c>
      <c r="AI393" s="3"/>
      <c r="AJ393" s="147"/>
      <c r="AK393" s="155"/>
      <c r="AL393" s="155"/>
      <c r="AM393" s="155"/>
      <c r="AN393" s="155"/>
      <c r="AO393" s="155"/>
      <c r="AP393" s="155"/>
      <c r="AQ393" s="155"/>
      <c r="AR393" s="3"/>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6"/>
      <c r="AG394" s="156"/>
      <c r="AH394" s="227">
        <f>CHOOSE(m_identity,ENWL!AH394, NPgN!AH394, NPgY!AH394, WMID!AH394, EMID!AH394, SWALES!AH394, SWEST!AH394, LPN!AH394,SPN!AH394,EPN!AH394,SPD!AH394,SPMW!AH394,SSEH!AH394,SSES!AH394)</f>
        <v>82.373040000000003</v>
      </c>
      <c r="AI394" s="227">
        <f>CHOOSE(m_identity,ENWL!AI394, NPgN!AI394, NPgY!AI394, WMID!AI394, EMID!AI394, SWALES!AI394, SWEST!AI394, LPN!AI394,SPN!AI394,EPN!AI394,SPD!AI394,SPMW!AI394,SSEH!AI394,SSES!AI394)</f>
        <v>108.27005637333335</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6"/>
      <c r="AG395" s="156"/>
      <c r="AH395" s="213">
        <f>AH42</f>
        <v>0</v>
      </c>
      <c r="AI395" s="213">
        <f>AI42</f>
        <v>0</v>
      </c>
      <c r="AJ395" s="147"/>
      <c r="AK395" s="155"/>
      <c r="AL395" s="155"/>
      <c r="AM395" s="155"/>
      <c r="AN395" s="155"/>
      <c r="AO395" s="155"/>
      <c r="AP395" s="155"/>
      <c r="AQ395" s="155"/>
      <c r="AR395" s="155"/>
    </row>
    <row r="396" spans="5:44" s="16" customFormat="1" ht="15" customHeight="1">
      <c r="J396" s="3"/>
      <c r="K396" s="3"/>
      <c r="L396" s="3"/>
      <c r="M396" s="155"/>
      <c r="N396" s="155"/>
      <c r="O396" s="3"/>
      <c r="P396" s="3"/>
      <c r="Q396" s="3"/>
      <c r="R396" s="3"/>
      <c r="S396" s="3"/>
      <c r="T396" s="3"/>
      <c r="U396" s="3"/>
      <c r="V396" s="3"/>
      <c r="W396" s="3"/>
      <c r="X396" s="3"/>
      <c r="Y396" s="3"/>
      <c r="Z396" s="3"/>
      <c r="AA396" s="3"/>
      <c r="AB396" s="3"/>
      <c r="AC396" s="3"/>
      <c r="AD396" s="3"/>
      <c r="AE396" s="3"/>
      <c r="AF396" s="156"/>
      <c r="AG396" s="156"/>
      <c r="AH396" s="155"/>
      <c r="AI396" s="3"/>
      <c r="AJ396" s="147"/>
      <c r="AK396" s="155"/>
      <c r="AL396" s="155"/>
      <c r="AM396" s="155"/>
      <c r="AN396" s="155"/>
      <c r="AO396" s="155"/>
      <c r="AP396" s="155"/>
      <c r="AQ396" s="155"/>
      <c r="AR396" s="3"/>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6"/>
      <c r="AG397" s="156"/>
      <c r="AH397" s="227">
        <f>CHOOSE(m_identity,ENWL!AH397, NPgN!AH397, NPgY!AH397, WMID!AH397, EMID!AH397, SWALES!AH397, SWEST!AH397, LPN!AH397,SPN!AH397,EPN!AH397,SPD!AH397,SPMW!AH397,SSEH!AH397,SSES!AH397)</f>
        <v>735.4</v>
      </c>
      <c r="AI397" s="15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6"/>
      <c r="AG398" s="156"/>
      <c r="AH398" s="227">
        <f>CHOOSE(m_identity,ENWL!AH398, NPgN!AH398, NPgY!AH398, WMID!AH398, EMID!AH398, SWALES!AH398, SWEST!AH398, LPN!AH398,SPN!AH398,EPN!AH398,SPD!AH398,SPMW!AH398,SSEH!AH398,SSES!AH398)</f>
        <v>109.31104000000001</v>
      </c>
      <c r="AI398" s="227">
        <f>CHOOSE(m_identity,ENWL!AI398, NPgN!AI398, NPgY!AI398, WMID!AI398, EMID!AI398, SWALES!AI398, SWEST!AI398, LPN!AI398,SPN!AI398,EPN!AI398,SPD!AI398,SPMW!AI398,SSEH!AI398,SSES!AI398)</f>
        <v>139.82309104000001</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6"/>
      <c r="AG399" s="156"/>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6"/>
      <c r="AG400" s="156"/>
      <c r="AH400" s="155"/>
      <c r="AI400" s="155"/>
      <c r="AJ400" s="147"/>
      <c r="AK400" s="155"/>
      <c r="AL400" s="155"/>
      <c r="AM400" s="155"/>
      <c r="AN400" s="155"/>
      <c r="AO400" s="155"/>
      <c r="AP400" s="155"/>
      <c r="AQ400" s="155"/>
      <c r="AR400" s="155"/>
    </row>
    <row r="401" spans="3:43" s="16" customFormat="1" ht="15" customHeight="1">
      <c r="E401" s="3" t="s">
        <v>112</v>
      </c>
      <c r="G401" s="16" t="s">
        <v>25</v>
      </c>
      <c r="M401" s="190"/>
      <c r="N401" s="190"/>
      <c r="AF401" s="156"/>
      <c r="AG401" s="156"/>
      <c r="AH401" s="227">
        <f>CHOOSE(m_identity,ENWL!AH401, NPgN!AH401, NPgY!AH401, WMID!AH401, EMID!AH401, SWALES!AH401, SWEST!AH401, LPN!AH401,SPN!AH401,EPN!AH401,SPD!AH401,SPMW!AH401,SSEH!AH401,SSES!AH401)</f>
        <v>0</v>
      </c>
      <c r="AJ401" s="147"/>
      <c r="AK401" s="190"/>
      <c r="AL401" s="190"/>
      <c r="AM401" s="190"/>
      <c r="AN401" s="190"/>
      <c r="AO401" s="190"/>
      <c r="AP401" s="190"/>
      <c r="AQ401" s="190"/>
    </row>
    <row r="402" spans="3:43" ht="15" customHeight="1">
      <c r="AG402" s="156"/>
      <c r="AJ402" s="145"/>
      <c r="AK402" s="145"/>
      <c r="AL402" s="147"/>
      <c r="AM402" s="147"/>
      <c r="AN402" s="147"/>
      <c r="AO402" s="147"/>
      <c r="AP402" s="147"/>
      <c r="AQ402" s="147"/>
    </row>
    <row r="403" spans="3:43" s="44" customFormat="1" ht="15" customHeight="1">
      <c r="C403" s="17" t="s">
        <v>128</v>
      </c>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292"/>
      <c r="AK403" s="292"/>
      <c r="AL403" s="292"/>
      <c r="AM403" s="292"/>
      <c r="AN403" s="292"/>
      <c r="AO403" s="292"/>
      <c r="AP403" s="292"/>
      <c r="AQ403" s="292"/>
    </row>
    <row r="404" spans="3:43" s="44" customFormat="1" ht="15" customHeight="1">
      <c r="E404" s="3"/>
      <c r="F404" s="3"/>
      <c r="G404" s="3"/>
      <c r="H404" s="3"/>
      <c r="I404" s="3"/>
      <c r="J404" s="92"/>
      <c r="K404" s="92"/>
      <c r="L404" s="92"/>
      <c r="M404" s="175"/>
      <c r="N404" s="175"/>
      <c r="O404" s="92"/>
      <c r="P404" s="92"/>
      <c r="Q404" s="92"/>
      <c r="R404" s="92"/>
      <c r="S404" s="92"/>
      <c r="T404" s="92"/>
      <c r="U404" s="92"/>
      <c r="V404" s="92"/>
      <c r="W404" s="92"/>
      <c r="X404" s="92"/>
      <c r="Y404" s="92"/>
      <c r="Z404" s="92"/>
      <c r="AA404" s="41"/>
      <c r="AB404" s="41"/>
      <c r="AC404" s="40"/>
      <c r="AD404" s="40"/>
      <c r="AE404" s="40"/>
      <c r="AF404" s="40"/>
      <c r="AG404" s="40"/>
      <c r="AH404" s="40"/>
      <c r="AI404" s="40"/>
      <c r="AJ404" s="155"/>
      <c r="AK404" s="155"/>
      <c r="AL404" s="155"/>
      <c r="AM404" s="155"/>
      <c r="AN404" s="155"/>
      <c r="AO404" s="155"/>
      <c r="AP404" s="155"/>
      <c r="AQ404" s="155"/>
    </row>
    <row r="405" spans="3:43" s="44" customFormat="1">
      <c r="D405" s="36" t="s">
        <v>668</v>
      </c>
      <c r="E405" s="36"/>
      <c r="F405" s="36"/>
      <c r="G405" s="36"/>
      <c r="H405" s="36"/>
      <c r="I405" s="36"/>
      <c r="J405" s="36"/>
      <c r="K405" s="36"/>
      <c r="L405" s="36"/>
      <c r="M405" s="36"/>
      <c r="N405" s="36"/>
      <c r="O405" s="36"/>
      <c r="P405" s="36"/>
      <c r="Q405" s="36"/>
      <c r="R405" s="36"/>
      <c r="S405" s="36"/>
      <c r="T405" s="36"/>
      <c r="U405" s="36"/>
      <c r="V405" s="36"/>
      <c r="W405" s="36"/>
      <c r="X405" s="36"/>
      <c r="Y405" s="36"/>
      <c r="Z405" s="36"/>
      <c r="AA405" s="36"/>
      <c r="AB405" s="36"/>
      <c r="AC405" s="36"/>
      <c r="AD405" s="36"/>
      <c r="AE405" s="36"/>
      <c r="AF405" s="36"/>
      <c r="AG405" s="36"/>
      <c r="AH405" s="36"/>
      <c r="AI405" s="36"/>
      <c r="AJ405" s="196"/>
      <c r="AK405" s="196"/>
      <c r="AL405" s="196"/>
      <c r="AM405" s="196"/>
      <c r="AN405" s="196"/>
      <c r="AO405" s="196"/>
      <c r="AP405" s="196"/>
      <c r="AQ405" s="196"/>
    </row>
    <row r="406" spans="3:43" s="44" customFormat="1">
      <c r="M406" s="154"/>
      <c r="N406" s="154"/>
      <c r="AJ406" s="2"/>
      <c r="AK406" s="155"/>
      <c r="AL406" s="155"/>
      <c r="AM406" s="155"/>
      <c r="AN406" s="155"/>
      <c r="AO406" s="155"/>
      <c r="AP406" s="155"/>
      <c r="AQ406" s="155"/>
    </row>
    <row r="407" spans="3:43" s="44" customFormat="1">
      <c r="E407" s="93" t="s">
        <v>23</v>
      </c>
      <c r="G407" s="44" t="s">
        <v>47</v>
      </c>
      <c r="M407" s="154"/>
      <c r="N407" s="154"/>
      <c r="AJ407" s="289">
        <f>CHOOSE(m_identity,ENWL!AJ407, NPgN!AJ407, NPgY!AJ407, WMID!AJ407, EMID!AJ407, SWALES!AJ407, SWEST!AJ407, LPN!AJ407,SPN!AJ407,EPN!AJ407,SPD!AJ407,SPMW!AJ407,SSEH!AJ407,SSES!AJ407)</f>
        <v>0</v>
      </c>
      <c r="AK407" s="289">
        <f>CHOOSE(m_identity,ENWL!AK407, NPgN!AK407, NPgY!AK407, WMID!AK407, EMID!AK407, SWALES!AK407, SWEST!AK407, LPN!AK407,SPN!AK407,EPN!AK407,SPD!AK407,SPMW!AK407,SSEH!AK407,SSES!AK407)</f>
        <v>0</v>
      </c>
      <c r="AL407" s="289">
        <f>CHOOSE(m_identity,ENWL!AL407, NPgN!AL407, NPgY!AL407, WMID!AL407, EMID!AL407, SWALES!AL407, SWEST!AL407, LPN!AL407,SPN!AL407,EPN!AL407,SPD!AL407,SPMW!AL407,SSEH!AL407,SSES!AL407)</f>
        <v>0</v>
      </c>
      <c r="AM407" s="289">
        <f>CHOOSE(m_identity,ENWL!AM407, NPgN!AM407, NPgY!AM407, WMID!AM407, EMID!AM407, SWALES!AM407, SWEST!AM407, LPN!AM407,SPN!AM407,EPN!AM407,SPD!AM407,SPMW!AM407,SSEH!AM407,SSES!AM407)</f>
        <v>0</v>
      </c>
      <c r="AN407" s="289">
        <f>CHOOSE(m_identity,ENWL!AN407, NPgN!AN407, NPgY!AN407, WMID!AN407, EMID!AN407, SWALES!AN407, SWEST!AN407, LPN!AN407,SPN!AN407,EPN!AN407,SPD!AN407,SPMW!AN407,SSEH!AN407,SSES!AN407)</f>
        <v>0</v>
      </c>
      <c r="AO407" s="289">
        <f>CHOOSE(m_identity,ENWL!AO407, NPgN!AO407, NPgY!AO407, WMID!AO407, EMID!AO407, SWALES!AO407, SWEST!AO407, LPN!AO407,SPN!AO407,EPN!AO407,SPD!AO407,SPMW!AO407,SSEH!AO407,SSES!AO407)</f>
        <v>0</v>
      </c>
      <c r="AP407" s="289">
        <f>CHOOSE(m_identity,ENWL!AP407, NPgN!AP407, NPgY!AP407, WMID!AP407, EMID!AP407, SWALES!AP407, SWEST!AP407, LPN!AP407,SPN!AP407,EPN!AP407,SPD!AP407,SPMW!AP407,SSEH!AP407,SSES!AP407)</f>
        <v>0</v>
      </c>
      <c r="AQ407" s="289">
        <f>CHOOSE(m_identity,ENWL!AQ407, NPgN!AQ407, NPgY!AQ407, WMID!AQ407, EMID!AQ407, SWALES!AQ407, SWEST!AQ407, LPN!AQ407,SPN!AQ407,EPN!AQ407,SPD!AQ407,SPMW!AQ407,SSEH!AQ407,SSES!AQ407)</f>
        <v>0</v>
      </c>
    </row>
    <row r="408" spans="3:43" s="44" customFormat="1">
      <c r="E408" s="154" t="s">
        <v>546</v>
      </c>
      <c r="G408" s="44" t="s">
        <v>47</v>
      </c>
      <c r="M408" s="154"/>
      <c r="N408" s="154"/>
      <c r="AJ408" s="289">
        <f>CHOOSE(m_identity,ENWL!AJ408, NPgN!AJ408, NPgY!AJ408, WMID!AJ408, EMID!AJ408, SWALES!AJ408, SWEST!AJ408, LPN!AJ408,SPN!AJ408,EPN!AJ408,SPD!AJ408,SPMW!AJ408,SSEH!AJ408,SSES!AJ408)</f>
        <v>3.1899477452032709E-3</v>
      </c>
      <c r="AK408" s="289">
        <f>CHOOSE(m_identity,ENWL!AK408, NPgN!AK408, NPgY!AK408, WMID!AK408, EMID!AK408, SWALES!AK408, SWEST!AK408, LPN!AK408,SPN!AK408,EPN!AK408,SPD!AK408,SPMW!AK408,SSEH!AK408,SSES!AK408)</f>
        <v>3.1899477452032709E-3</v>
      </c>
      <c r="AL408" s="289">
        <f>CHOOSE(m_identity,ENWL!AL408, NPgN!AL408, NPgY!AL408, WMID!AL408, EMID!AL408, SWALES!AL408, SWEST!AL408, LPN!AL408,SPN!AL408,EPN!AL408,SPD!AL408,SPMW!AL408,SSEH!AL408,SSES!AL408)</f>
        <v>3.1899477452032709E-3</v>
      </c>
      <c r="AM408" s="289">
        <f>CHOOSE(m_identity,ENWL!AM408, NPgN!AM408, NPgY!AM408, WMID!AM408, EMID!AM408, SWALES!AM408, SWEST!AM408, LPN!AM408,SPN!AM408,EPN!AM408,SPD!AM408,SPMW!AM408,SSEH!AM408,SSES!AM408)</f>
        <v>3.1899477452032709E-3</v>
      </c>
      <c r="AN408" s="289">
        <f>CHOOSE(m_identity,ENWL!AN408, NPgN!AN408, NPgY!AN408, WMID!AN408, EMID!AN408, SWALES!AN408, SWEST!AN408, LPN!AN408,SPN!AN408,EPN!AN408,SPD!AN408,SPMW!AN408,SSEH!AN408,SSES!AN408)</f>
        <v>3.1899477452032709E-3</v>
      </c>
      <c r="AO408" s="289">
        <f>CHOOSE(m_identity,ENWL!AO408, NPgN!AO408, NPgY!AO408, WMID!AO408, EMID!AO408, SWALES!AO408, SWEST!AO408, LPN!AO408,SPN!AO408,EPN!AO408,SPD!AO408,SPMW!AO408,SSEH!AO408,SSES!AO408)</f>
        <v>3.1899477452032709E-3</v>
      </c>
      <c r="AP408" s="289">
        <f>CHOOSE(m_identity,ENWL!AP408, NPgN!AP408, NPgY!AP408, WMID!AP408, EMID!AP408, SWALES!AP408, SWEST!AP408, LPN!AP408,SPN!AP408,EPN!AP408,SPD!AP408,SPMW!AP408,SSEH!AP408,SSES!AP408)</f>
        <v>3.1899477452032709E-3</v>
      </c>
      <c r="AQ408" s="289">
        <f>CHOOSE(m_identity,ENWL!AQ408, NPgN!AQ408, NPgY!AQ408, WMID!AQ408, EMID!AQ408, SWALES!AQ408, SWEST!AQ408, LPN!AQ408,SPN!AQ408,EPN!AQ408,SPD!AQ408,SPMW!AQ408,SSEH!AQ408,SSES!AQ408)</f>
        <v>3.1899477452032709E-3</v>
      </c>
    </row>
    <row r="409" spans="3:43" s="44" customFormat="1">
      <c r="E409" s="93" t="s">
        <v>736</v>
      </c>
      <c r="G409" s="44" t="s">
        <v>47</v>
      </c>
      <c r="M409" s="154"/>
      <c r="N409" s="154"/>
      <c r="AJ409" s="289">
        <f>CHOOSE(m_identity,ENWL!AJ409, NPgN!AJ409, NPgY!AJ409, WMID!AJ409, EMID!AJ409, SWALES!AJ409, SWEST!AJ409, LPN!AJ409,SPN!AJ409,EPN!AJ409,SPD!AJ409,SPMW!AJ409,SSEH!AJ409,SSES!AJ409)</f>
        <v>0.68041237113402053</v>
      </c>
      <c r="AK409" s="289">
        <f>CHOOSE(m_identity,ENWL!AK409, NPgN!AK409, NPgY!AK409, WMID!AK409, EMID!AK409, SWALES!AK409, SWEST!AK409, LPN!AK409,SPN!AK409,EPN!AK409,SPD!AK409,SPMW!AK409,SSEH!AK409,SSES!AK409)</f>
        <v>0.68041237113402053</v>
      </c>
      <c r="AL409" s="289">
        <f>CHOOSE(m_identity,ENWL!AL409, NPgN!AL409, NPgY!AL409, WMID!AL409, EMID!AL409, SWALES!AL409, SWEST!AL409, LPN!AL409,SPN!AL409,EPN!AL409,SPD!AL409,SPMW!AL409,SSEH!AL409,SSES!AL409)</f>
        <v>0.68041237113402053</v>
      </c>
      <c r="AM409" s="289">
        <f>CHOOSE(m_identity,ENWL!AM409, NPgN!AM409, NPgY!AM409, WMID!AM409, EMID!AM409, SWALES!AM409, SWEST!AM409, LPN!AM409,SPN!AM409,EPN!AM409,SPD!AM409,SPMW!AM409,SSEH!AM409,SSES!AM409)</f>
        <v>0.68041237113402053</v>
      </c>
      <c r="AN409" s="289">
        <f>CHOOSE(m_identity,ENWL!AN409, NPgN!AN409, NPgY!AN409, WMID!AN409, EMID!AN409, SWALES!AN409, SWEST!AN409, LPN!AN409,SPN!AN409,EPN!AN409,SPD!AN409,SPMW!AN409,SSEH!AN409,SSES!AN409)</f>
        <v>0.68041237113402053</v>
      </c>
      <c r="AO409" s="289">
        <f>CHOOSE(m_identity,ENWL!AO409, NPgN!AO409, NPgY!AO409, WMID!AO409, EMID!AO409, SWALES!AO409, SWEST!AO409, LPN!AO409,SPN!AO409,EPN!AO409,SPD!AO409,SPMW!AO409,SSEH!AO409,SSES!AO409)</f>
        <v>0.68041237113402053</v>
      </c>
      <c r="AP409" s="289">
        <f>CHOOSE(m_identity,ENWL!AP409, NPgN!AP409, NPgY!AP409, WMID!AP409, EMID!AP409, SWALES!AP409, SWEST!AP409, LPN!AP409,SPN!AP409,EPN!AP409,SPD!AP409,SPMW!AP409,SSEH!AP409,SSES!AP409)</f>
        <v>0.68041237113402053</v>
      </c>
      <c r="AQ409" s="289">
        <f>CHOOSE(m_identity,ENWL!AQ409, NPgN!AQ409, NPgY!AQ409, WMID!AQ409, EMID!AQ409, SWALES!AQ409, SWEST!AQ409, LPN!AQ409,SPN!AQ409,EPN!AQ409,SPD!AQ409,SPMW!AQ409,SSEH!AQ409,SSES!AQ409)</f>
        <v>0.68041237113402053</v>
      </c>
    </row>
    <row r="410" spans="3:43" s="154" customFormat="1">
      <c r="E410" s="93" t="s">
        <v>574</v>
      </c>
      <c r="G410" s="154" t="s">
        <v>47</v>
      </c>
      <c r="AJ410" s="289">
        <f>CHOOSE(m_identity,ENWL!AJ410, NPgN!AJ410, NPgY!AJ410, WMID!AJ410, EMID!AJ410, SWALES!AJ410, SWEST!AJ410, LPN!AJ410,SPN!AJ410,EPN!AJ410,SPD!AJ410,SPMW!AJ410,SSEH!AJ410,SSES!AJ410)</f>
        <v>0</v>
      </c>
      <c r="AK410" s="289">
        <f>CHOOSE(m_identity,ENWL!AK410, NPgN!AK410, NPgY!AK410, WMID!AK410, EMID!AK410, SWALES!AK410, SWEST!AK410, LPN!AK410,SPN!AK410,EPN!AK410,SPD!AK410,SPMW!AK410,SSEH!AK410,SSES!AK410)</f>
        <v>0</v>
      </c>
      <c r="AL410" s="289">
        <f>CHOOSE(m_identity,ENWL!AL410, NPgN!AL410, NPgY!AL410, WMID!AL410, EMID!AL410, SWALES!AL410, SWEST!AL410, LPN!AL410,SPN!AL410,EPN!AL410,SPD!AL410,SPMW!AL410,SSEH!AL410,SSES!AL410)</f>
        <v>0</v>
      </c>
      <c r="AM410" s="289">
        <f>CHOOSE(m_identity,ENWL!AM410, NPgN!AM410, NPgY!AM410, WMID!AM410, EMID!AM410, SWALES!AM410, SWEST!AM410, LPN!AM410,SPN!AM410,EPN!AM410,SPD!AM410,SPMW!AM410,SSEH!AM410,SSES!AM410)</f>
        <v>0</v>
      </c>
      <c r="AN410" s="289">
        <f>CHOOSE(m_identity,ENWL!AN410, NPgN!AN410, NPgY!AN410, WMID!AN410, EMID!AN410, SWALES!AN410, SWEST!AN410, LPN!AN410,SPN!AN410,EPN!AN410,SPD!AN410,SPMW!AN410,SSEH!AN410,SSES!AN410)</f>
        <v>0</v>
      </c>
      <c r="AO410" s="289">
        <f>CHOOSE(m_identity,ENWL!AO410, NPgN!AO410, NPgY!AO410, WMID!AO410, EMID!AO410, SWALES!AO410, SWEST!AO410, LPN!AO410,SPN!AO410,EPN!AO410,SPD!AO410,SPMW!AO410,SSEH!AO410,SSES!AO410)</f>
        <v>0</v>
      </c>
      <c r="AP410" s="289">
        <f>CHOOSE(m_identity,ENWL!AP410, NPgN!AP410, NPgY!AP410, WMID!AP410, EMID!AP410, SWALES!AP410, SWEST!AP410, LPN!AP410,SPN!AP410,EPN!AP410,SPD!AP410,SPMW!AP410,SSEH!AP410,SSES!AP410)</f>
        <v>0</v>
      </c>
      <c r="AQ410" s="289">
        <f>CHOOSE(m_identity,ENWL!AQ410, NPgN!AQ410, NPgY!AQ410, WMID!AQ410, EMID!AQ410, SWALES!AQ410, SWEST!AQ410, LPN!AQ410,SPN!AQ410,EPN!AQ410,SPD!AQ410,SPMW!AQ410,SSEH!AQ410,SSES!AQ410)</f>
        <v>0</v>
      </c>
    </row>
    <row r="411" spans="3:43" s="154" customFormat="1">
      <c r="E411" s="93" t="s">
        <v>719</v>
      </c>
      <c r="G411" s="154" t="s">
        <v>47</v>
      </c>
      <c r="AJ411" s="289">
        <f>CHOOSE(m_identity,ENWL!AJ411, NPgN!AJ411, NPgY!AJ411, WMID!AJ411, EMID!AJ411, SWALES!AJ411, SWEST!AJ411, LPN!AJ411,SPN!AJ411,EPN!AJ411,SPD!AJ411,SPMW!AJ411,SSEH!AJ411,SSES!AJ411)</f>
        <v>0</v>
      </c>
      <c r="AK411" s="289">
        <f>CHOOSE(m_identity,ENWL!AK411, NPgN!AK411, NPgY!AK411, WMID!AK411, EMID!AK411, SWALES!AK411, SWEST!AK411, LPN!AK411,SPN!AK411,EPN!AK411,SPD!AK411,SPMW!AK411,SSEH!AK411,SSES!AK411)</f>
        <v>0</v>
      </c>
      <c r="AL411" s="289">
        <f>CHOOSE(m_identity,ENWL!AL411, NPgN!AL411, NPgY!AL411, WMID!AL411, EMID!AL411, SWALES!AL411, SWEST!AL411, LPN!AL411,SPN!AL411,EPN!AL411,SPD!AL411,SPMW!AL411,SSEH!AL411,SSES!AL411)</f>
        <v>0</v>
      </c>
      <c r="AM411" s="289">
        <f>CHOOSE(m_identity,ENWL!AM411, NPgN!AM411, NPgY!AM411, WMID!AM411, EMID!AM411, SWALES!AM411, SWEST!AM411, LPN!AM411,SPN!AM411,EPN!AM411,SPD!AM411,SPMW!AM411,SSEH!AM411,SSES!AM411)</f>
        <v>0</v>
      </c>
      <c r="AN411" s="289">
        <f>CHOOSE(m_identity,ENWL!AN411, NPgN!AN411, NPgY!AN411, WMID!AN411, EMID!AN411, SWALES!AN411, SWEST!AN411, LPN!AN411,SPN!AN411,EPN!AN411,SPD!AN411,SPMW!AN411,SSEH!AN411,SSES!AN411)</f>
        <v>0</v>
      </c>
      <c r="AO411" s="289">
        <f>CHOOSE(m_identity,ENWL!AO411, NPgN!AO411, NPgY!AO411, WMID!AO411, EMID!AO411, SWALES!AO411, SWEST!AO411, LPN!AO411,SPN!AO411,EPN!AO411,SPD!AO411,SPMW!AO411,SSEH!AO411,SSES!AO411)</f>
        <v>0</v>
      </c>
      <c r="AP411" s="289">
        <f>CHOOSE(m_identity,ENWL!AP411, NPgN!AP411, NPgY!AP411, WMID!AP411, EMID!AP411, SWALES!AP411, SWEST!AP411, LPN!AP411,SPN!AP411,EPN!AP411,SPD!AP411,SPMW!AP411,SSEH!AP411,SSES!AP411)</f>
        <v>0</v>
      </c>
      <c r="AQ411" s="289">
        <f>CHOOSE(m_identity,ENWL!AQ411, NPgN!AQ411, NPgY!AQ411, WMID!AQ411, EMID!AQ411, SWALES!AQ411, SWEST!AQ411, LPN!AQ411,SPN!AQ411,EPN!AQ411,SPD!AQ411,SPMW!AQ411,SSEH!AQ411,SSES!AQ411)</f>
        <v>0</v>
      </c>
    </row>
    <row r="412" spans="3:43" s="154" customFormat="1">
      <c r="E412" s="93" t="s">
        <v>705</v>
      </c>
      <c r="G412" s="154" t="s">
        <v>47</v>
      </c>
      <c r="AJ412" s="289">
        <f>CHOOSE(m_identity,ENWL!AJ412, NPgN!AJ412, NPgY!AJ412, WMID!AJ412, EMID!AJ412, SWALES!AJ412, SWEST!AJ412, LPN!AJ412,SPN!AJ412,EPN!AJ412,SPD!AJ412,SPMW!AJ412,SSEH!AJ412,SSES!AJ412)</f>
        <v>0</v>
      </c>
      <c r="AK412" s="289">
        <f>CHOOSE(m_identity,ENWL!AK412, NPgN!AK412, NPgY!AK412, WMID!AK412, EMID!AK412, SWALES!AK412, SWEST!AK412, LPN!AK412,SPN!AK412,EPN!AK412,SPD!AK412,SPMW!AK412,SSEH!AK412,SSES!AK412)</f>
        <v>0</v>
      </c>
      <c r="AL412" s="289">
        <f>CHOOSE(m_identity,ENWL!AL412, NPgN!AL412, NPgY!AL412, WMID!AL412, EMID!AL412, SWALES!AL412, SWEST!AL412, LPN!AL412,SPN!AL412,EPN!AL412,SPD!AL412,SPMW!AL412,SSEH!AL412,SSES!AL412)</f>
        <v>0</v>
      </c>
      <c r="AM412" s="289">
        <f>CHOOSE(m_identity,ENWL!AM412, NPgN!AM412, NPgY!AM412, WMID!AM412, EMID!AM412, SWALES!AM412, SWEST!AM412, LPN!AM412,SPN!AM412,EPN!AM412,SPD!AM412,SPMW!AM412,SSEH!AM412,SSES!AM412)</f>
        <v>0</v>
      </c>
      <c r="AN412" s="289">
        <f>CHOOSE(m_identity,ENWL!AN412, NPgN!AN412, NPgY!AN412, WMID!AN412, EMID!AN412, SWALES!AN412, SWEST!AN412, LPN!AN412,SPN!AN412,EPN!AN412,SPD!AN412,SPMW!AN412,SSEH!AN412,SSES!AN412)</f>
        <v>0</v>
      </c>
      <c r="AO412" s="289">
        <f>CHOOSE(m_identity,ENWL!AO412, NPgN!AO412, NPgY!AO412, WMID!AO412, EMID!AO412, SWALES!AO412, SWEST!AO412, LPN!AO412,SPN!AO412,EPN!AO412,SPD!AO412,SPMW!AO412,SSEH!AO412,SSES!AO412)</f>
        <v>0</v>
      </c>
      <c r="AP412" s="289">
        <f>CHOOSE(m_identity,ENWL!AP412, NPgN!AP412, NPgY!AP412, WMID!AP412, EMID!AP412, SWALES!AP412, SWEST!AP412, LPN!AP412,SPN!AP412,EPN!AP412,SPD!AP412,SPMW!AP412,SSEH!AP412,SSES!AP412)</f>
        <v>0</v>
      </c>
      <c r="AQ412" s="289">
        <f>CHOOSE(m_identity,ENWL!AQ412, NPgN!AQ412, NPgY!AQ412, WMID!AQ412, EMID!AQ412, SWALES!AQ412, SWEST!AQ412, LPN!AQ412,SPN!AQ412,EPN!AQ412,SPD!AQ412,SPMW!AQ412,SSEH!AQ412,SSES!AQ412)</f>
        <v>0</v>
      </c>
    </row>
    <row r="413" spans="3:43" s="44" customFormat="1">
      <c r="E413" s="154" t="s">
        <v>632</v>
      </c>
      <c r="G413" s="44" t="s">
        <v>47</v>
      </c>
      <c r="M413" s="154"/>
      <c r="N413" s="154"/>
      <c r="AJ413" s="289">
        <f>CHOOSE(m_identity,ENWL!AJ413, NPgN!AJ413, NPgY!AJ413, WMID!AJ413, EMID!AJ413, SWALES!AJ413, SWEST!AJ413, LPN!AJ413,SPN!AJ413,EPN!AJ413,SPD!AJ413,SPMW!AJ413,SSEH!AJ413,SSES!AJ413)</f>
        <v>4.9001592551757931E-3</v>
      </c>
      <c r="AK413" s="289">
        <f>CHOOSE(m_identity,ENWL!AK413, NPgN!AK413, NPgY!AK413, WMID!AK413, EMID!AK413, SWALES!AK413, SWEST!AK413, LPN!AK413,SPN!AK413,EPN!AK413,SPD!AK413,SPMW!AK413,SSEH!AK413,SSES!AK413)</f>
        <v>4.9001592551757931E-3</v>
      </c>
      <c r="AL413" s="289">
        <f>CHOOSE(m_identity,ENWL!AL413, NPgN!AL413, NPgY!AL413, WMID!AL413, EMID!AL413, SWALES!AL413, SWEST!AL413, LPN!AL413,SPN!AL413,EPN!AL413,SPD!AL413,SPMW!AL413,SSEH!AL413,SSES!AL413)</f>
        <v>4.9001592551757931E-3</v>
      </c>
      <c r="AM413" s="289">
        <f>CHOOSE(m_identity,ENWL!AM413, NPgN!AM413, NPgY!AM413, WMID!AM413, EMID!AM413, SWALES!AM413, SWEST!AM413, LPN!AM413,SPN!AM413,EPN!AM413,SPD!AM413,SPMW!AM413,SSEH!AM413,SSES!AM413)</f>
        <v>4.9001592551757931E-3</v>
      </c>
      <c r="AN413" s="289">
        <f>CHOOSE(m_identity,ENWL!AN413, NPgN!AN413, NPgY!AN413, WMID!AN413, EMID!AN413, SWALES!AN413, SWEST!AN413, LPN!AN413,SPN!AN413,EPN!AN413,SPD!AN413,SPMW!AN413,SSEH!AN413,SSES!AN413)</f>
        <v>4.9001592551757931E-3</v>
      </c>
      <c r="AO413" s="289">
        <f>CHOOSE(m_identity,ENWL!AO413, NPgN!AO413, NPgY!AO413, WMID!AO413, EMID!AO413, SWALES!AO413, SWEST!AO413, LPN!AO413,SPN!AO413,EPN!AO413,SPD!AO413,SPMW!AO413,SSEH!AO413,SSES!AO413)</f>
        <v>4.9001592551757931E-3</v>
      </c>
      <c r="AP413" s="289">
        <f>CHOOSE(m_identity,ENWL!AP413, NPgN!AP413, NPgY!AP413, WMID!AP413, EMID!AP413, SWALES!AP413, SWEST!AP413, LPN!AP413,SPN!AP413,EPN!AP413,SPD!AP413,SPMW!AP413,SSEH!AP413,SSES!AP413)</f>
        <v>4.9001592551757931E-3</v>
      </c>
      <c r="AQ413" s="289">
        <f>CHOOSE(m_identity,ENWL!AQ413, NPgN!AQ413, NPgY!AQ413, WMID!AQ413, EMID!AQ413, SWALES!AQ413, SWEST!AQ413, LPN!AQ413,SPN!AQ413,EPN!AQ413,SPD!AQ413,SPMW!AQ413,SSEH!AQ413,SSES!AQ413)</f>
        <v>4.9001592551757931E-3</v>
      </c>
    </row>
    <row r="414" spans="3:43" s="44" customFormat="1">
      <c r="F414" s="95"/>
      <c r="G414" s="95"/>
      <c r="H414" s="95"/>
      <c r="I414" s="95"/>
      <c r="J414" s="95"/>
      <c r="K414" s="95"/>
      <c r="L414" s="95"/>
      <c r="M414" s="154"/>
      <c r="N414" s="154"/>
      <c r="O414" s="95"/>
      <c r="P414" s="95"/>
      <c r="Q414" s="95"/>
      <c r="R414" s="95"/>
      <c r="S414" s="95"/>
      <c r="T414" s="95"/>
      <c r="U414" s="95"/>
      <c r="V414" s="95"/>
      <c r="W414" s="95"/>
      <c r="X414" s="95"/>
      <c r="Y414" s="95"/>
      <c r="Z414" s="95"/>
      <c r="AA414" s="95"/>
      <c r="AB414" s="95"/>
      <c r="AC414" s="95"/>
      <c r="AD414" s="95"/>
      <c r="AE414" s="95"/>
      <c r="AF414" s="95"/>
      <c r="AJ414" s="230"/>
      <c r="AK414" s="230"/>
      <c r="AL414" s="230"/>
      <c r="AM414" s="230"/>
      <c r="AN414" s="230"/>
      <c r="AO414" s="230"/>
      <c r="AP414" s="230"/>
      <c r="AQ414" s="230"/>
    </row>
    <row r="415" spans="3:43" s="44" customFormat="1">
      <c r="D415" s="36" t="s">
        <v>669</v>
      </c>
      <c r="E415" s="36"/>
      <c r="F415" s="36"/>
      <c r="G415" s="36"/>
      <c r="H415" s="36"/>
      <c r="I415" s="36"/>
      <c r="J415" s="36"/>
      <c r="K415" s="36"/>
      <c r="L415" s="36"/>
      <c r="M415" s="36"/>
      <c r="N415" s="36"/>
      <c r="O415" s="36"/>
      <c r="P415" s="36"/>
      <c r="Q415" s="36"/>
      <c r="R415" s="36"/>
      <c r="S415" s="36"/>
      <c r="T415" s="36"/>
      <c r="U415" s="36"/>
      <c r="V415" s="36"/>
      <c r="W415" s="36"/>
      <c r="X415" s="36"/>
      <c r="Y415" s="36"/>
      <c r="Z415" s="36"/>
      <c r="AA415" s="36"/>
      <c r="AB415" s="36"/>
      <c r="AC415" s="36"/>
      <c r="AD415" s="36"/>
      <c r="AE415" s="36"/>
      <c r="AF415" s="36"/>
      <c r="AG415" s="36"/>
      <c r="AH415" s="36"/>
      <c r="AI415" s="36"/>
      <c r="AJ415" s="293"/>
      <c r="AK415" s="293"/>
      <c r="AL415" s="293"/>
      <c r="AM415" s="293"/>
      <c r="AN415" s="293"/>
      <c r="AO415" s="293"/>
      <c r="AP415" s="293"/>
      <c r="AQ415" s="293"/>
    </row>
    <row r="416" spans="3:43" s="44" customFormat="1">
      <c r="J416" s="95"/>
      <c r="K416" s="95"/>
      <c r="L416" s="95"/>
      <c r="M416" s="154"/>
      <c r="N416" s="154"/>
      <c r="O416" s="95"/>
      <c r="P416" s="95"/>
      <c r="Q416" s="95"/>
      <c r="R416" s="95"/>
      <c r="S416" s="95"/>
      <c r="T416" s="95"/>
      <c r="U416" s="95"/>
      <c r="V416" s="95"/>
      <c r="W416" s="95"/>
      <c r="X416" s="95"/>
      <c r="Y416" s="95"/>
      <c r="Z416" s="95"/>
      <c r="AA416" s="95"/>
      <c r="AB416" s="95"/>
      <c r="AC416" s="95"/>
      <c r="AD416" s="95"/>
      <c r="AE416" s="95"/>
      <c r="AF416" s="95"/>
      <c r="AJ416" s="232"/>
      <c r="AK416" s="230"/>
      <c r="AL416" s="230"/>
      <c r="AM416" s="230"/>
      <c r="AN416" s="230"/>
      <c r="AO416" s="230"/>
      <c r="AP416" s="230"/>
      <c r="AQ416" s="230"/>
    </row>
    <row r="417" spans="4:43" s="44" customFormat="1">
      <c r="E417" s="93" t="s">
        <v>23</v>
      </c>
      <c r="G417" s="44" t="s">
        <v>47</v>
      </c>
      <c r="J417" s="95"/>
      <c r="K417" s="95"/>
      <c r="L417" s="95"/>
      <c r="M417" s="154"/>
      <c r="N417" s="154"/>
      <c r="O417" s="95"/>
      <c r="P417" s="95"/>
      <c r="Q417" s="95"/>
      <c r="R417" s="95"/>
      <c r="S417" s="95"/>
      <c r="T417" s="95"/>
      <c r="U417" s="95"/>
      <c r="V417" s="95"/>
      <c r="W417" s="95"/>
      <c r="X417" s="95"/>
      <c r="Y417" s="95"/>
      <c r="Z417" s="95"/>
      <c r="AA417" s="95"/>
      <c r="AB417" s="95"/>
      <c r="AC417" s="95"/>
      <c r="AD417" s="95"/>
      <c r="AE417" s="95"/>
      <c r="AF417" s="95"/>
      <c r="AJ417" s="289">
        <f>CHOOSE(m_identity,ENWL!AJ417, NPgN!AJ417, NPgY!AJ417, WMID!AJ417, EMID!AJ417, SWALES!AJ417, SWEST!AJ417, LPN!AJ417,SPN!AJ417,EPN!AJ417,SPD!AJ417,SPMW!AJ417,SSEH!AJ417,SSES!AJ417)</f>
        <v>0.98510411886786298</v>
      </c>
      <c r="AK417" s="289">
        <f>CHOOSE(m_identity,ENWL!AK417, NPgN!AK417, NPgY!AK417, WMID!AK417, EMID!AK417, SWALES!AK417, SWEST!AK417, LPN!AK417,SPN!AK417,EPN!AK417,SPD!AK417,SPMW!AK417,SSEH!AK417,SSES!AK417)</f>
        <v>0.98510411886786298</v>
      </c>
      <c r="AL417" s="289">
        <f>CHOOSE(m_identity,ENWL!AL417, NPgN!AL417, NPgY!AL417, WMID!AL417, EMID!AL417, SWALES!AL417, SWEST!AL417, LPN!AL417,SPN!AL417,EPN!AL417,SPD!AL417,SPMW!AL417,SSEH!AL417,SSES!AL417)</f>
        <v>0.98510411886786298</v>
      </c>
      <c r="AM417" s="289">
        <f>CHOOSE(m_identity,ENWL!AM417, NPgN!AM417, NPgY!AM417, WMID!AM417, EMID!AM417, SWALES!AM417, SWEST!AM417, LPN!AM417,SPN!AM417,EPN!AM417,SPD!AM417,SPMW!AM417,SSEH!AM417,SSES!AM417)</f>
        <v>0.98510411886786298</v>
      </c>
      <c r="AN417" s="289">
        <f>CHOOSE(m_identity,ENWL!AN417, NPgN!AN417, NPgY!AN417, WMID!AN417, EMID!AN417, SWALES!AN417, SWEST!AN417, LPN!AN417,SPN!AN417,EPN!AN417,SPD!AN417,SPMW!AN417,SSEH!AN417,SSES!AN417)</f>
        <v>0.98510411886786298</v>
      </c>
      <c r="AO417" s="289">
        <f>CHOOSE(m_identity,ENWL!AO417, NPgN!AO417, NPgY!AO417, WMID!AO417, EMID!AO417, SWALES!AO417, SWEST!AO417, LPN!AO417,SPN!AO417,EPN!AO417,SPD!AO417,SPMW!AO417,SSEH!AO417,SSES!AO417)</f>
        <v>0.98510411886786298</v>
      </c>
      <c r="AP417" s="289">
        <f>CHOOSE(m_identity,ENWL!AP417, NPgN!AP417, NPgY!AP417, WMID!AP417, EMID!AP417, SWALES!AP417, SWEST!AP417, LPN!AP417,SPN!AP417,EPN!AP417,SPD!AP417,SPMW!AP417,SSEH!AP417,SSES!AP417)</f>
        <v>0.98510411886786298</v>
      </c>
      <c r="AQ417" s="289">
        <f>CHOOSE(m_identity,ENWL!AQ417, NPgN!AQ417, NPgY!AQ417, WMID!AQ417, EMID!AQ417, SWALES!AQ417, SWEST!AQ417, LPN!AQ417,SPN!AQ417,EPN!AQ417,SPD!AQ417,SPMW!AQ417,SSEH!AQ417,SSES!AQ417)</f>
        <v>0.98510411886786298</v>
      </c>
    </row>
    <row r="418" spans="4:43" s="44" customFormat="1">
      <c r="E418" s="154" t="s">
        <v>546</v>
      </c>
      <c r="G418" s="44" t="s">
        <v>47</v>
      </c>
      <c r="J418" s="95"/>
      <c r="K418" s="95"/>
      <c r="L418" s="95"/>
      <c r="M418" s="154"/>
      <c r="N418" s="154"/>
      <c r="O418" s="95"/>
      <c r="P418" s="95"/>
      <c r="Q418" s="95"/>
      <c r="R418" s="95"/>
      <c r="S418" s="95"/>
      <c r="T418" s="95"/>
      <c r="U418" s="95"/>
      <c r="V418" s="95"/>
      <c r="W418" s="95"/>
      <c r="X418" s="95"/>
      <c r="Y418" s="95"/>
      <c r="Z418" s="95"/>
      <c r="AA418" s="95"/>
      <c r="AB418" s="95"/>
      <c r="AC418" s="95"/>
      <c r="AD418" s="95"/>
      <c r="AE418" s="95"/>
      <c r="AF418" s="95"/>
      <c r="AJ418" s="289">
        <f>CHOOSE(m_identity,ENWL!AJ418, NPgN!AJ418, NPgY!AJ418, WMID!AJ418, EMID!AJ418, SWALES!AJ418, SWEST!AJ418, LPN!AJ418,SPN!AJ418,EPN!AJ418,SPD!AJ418,SPMW!AJ418,SSEH!AJ418,SSES!AJ418)</f>
        <v>0.27433550608748125</v>
      </c>
      <c r="AK418" s="289">
        <f>CHOOSE(m_identity,ENWL!AK418, NPgN!AK418, NPgY!AK418, WMID!AK418, EMID!AK418, SWALES!AK418, SWEST!AK418, LPN!AK418,SPN!AK418,EPN!AK418,SPD!AK418,SPMW!AK418,SSEH!AK418,SSES!AK418)</f>
        <v>0.27433550608748125</v>
      </c>
      <c r="AL418" s="289">
        <f>CHOOSE(m_identity,ENWL!AL418, NPgN!AL418, NPgY!AL418, WMID!AL418, EMID!AL418, SWALES!AL418, SWEST!AL418, LPN!AL418,SPN!AL418,EPN!AL418,SPD!AL418,SPMW!AL418,SSEH!AL418,SSES!AL418)</f>
        <v>0.27433550608748125</v>
      </c>
      <c r="AM418" s="289">
        <f>CHOOSE(m_identity,ENWL!AM418, NPgN!AM418, NPgY!AM418, WMID!AM418, EMID!AM418, SWALES!AM418, SWEST!AM418, LPN!AM418,SPN!AM418,EPN!AM418,SPD!AM418,SPMW!AM418,SSEH!AM418,SSES!AM418)</f>
        <v>0.27433550608748125</v>
      </c>
      <c r="AN418" s="289">
        <f>CHOOSE(m_identity,ENWL!AN418, NPgN!AN418, NPgY!AN418, WMID!AN418, EMID!AN418, SWALES!AN418, SWEST!AN418, LPN!AN418,SPN!AN418,EPN!AN418,SPD!AN418,SPMW!AN418,SSEH!AN418,SSES!AN418)</f>
        <v>0.27433550608748125</v>
      </c>
      <c r="AO418" s="289">
        <f>CHOOSE(m_identity,ENWL!AO418, NPgN!AO418, NPgY!AO418, WMID!AO418, EMID!AO418, SWALES!AO418, SWEST!AO418, LPN!AO418,SPN!AO418,EPN!AO418,SPD!AO418,SPMW!AO418,SSEH!AO418,SSES!AO418)</f>
        <v>0.27433550608748125</v>
      </c>
      <c r="AP418" s="289">
        <f>CHOOSE(m_identity,ENWL!AP418, NPgN!AP418, NPgY!AP418, WMID!AP418, EMID!AP418, SWALES!AP418, SWEST!AP418, LPN!AP418,SPN!AP418,EPN!AP418,SPD!AP418,SPMW!AP418,SSEH!AP418,SSES!AP418)</f>
        <v>0.27433550608748125</v>
      </c>
      <c r="AQ418" s="289">
        <f>CHOOSE(m_identity,ENWL!AQ418, NPgN!AQ418, NPgY!AQ418, WMID!AQ418, EMID!AQ418, SWALES!AQ418, SWEST!AQ418, LPN!AQ418,SPN!AQ418,EPN!AQ418,SPD!AQ418,SPMW!AQ418,SSEH!AQ418,SSES!AQ418)</f>
        <v>0.27433550608748125</v>
      </c>
    </row>
    <row r="419" spans="4:43" s="44" customFormat="1">
      <c r="E419" s="93" t="s">
        <v>736</v>
      </c>
      <c r="G419" s="44" t="s">
        <v>47</v>
      </c>
      <c r="J419" s="95"/>
      <c r="K419" s="95"/>
      <c r="L419" s="95"/>
      <c r="M419" s="154"/>
      <c r="N419" s="154"/>
      <c r="O419" s="95"/>
      <c r="P419" s="95"/>
      <c r="Q419" s="95"/>
      <c r="R419" s="95"/>
      <c r="S419" s="95"/>
      <c r="T419" s="95"/>
      <c r="U419" s="95"/>
      <c r="V419" s="95"/>
      <c r="W419" s="95"/>
      <c r="X419" s="95"/>
      <c r="Y419" s="95"/>
      <c r="Z419" s="95"/>
      <c r="AA419" s="95"/>
      <c r="AB419" s="95"/>
      <c r="AC419" s="95"/>
      <c r="AD419" s="95"/>
      <c r="AE419" s="95"/>
      <c r="AF419" s="95"/>
      <c r="AJ419" s="289">
        <f>CHOOSE(m_identity,ENWL!AJ419, NPgN!AJ419, NPgY!AJ419, WMID!AJ419, EMID!AJ419, SWALES!AJ419, SWEST!AJ419, LPN!AJ419,SPN!AJ419,EPN!AJ419,SPD!AJ419,SPMW!AJ419,SSEH!AJ419,SSES!AJ419)</f>
        <v>0</v>
      </c>
      <c r="AK419" s="289">
        <f>CHOOSE(m_identity,ENWL!AK419, NPgN!AK419, NPgY!AK419, WMID!AK419, EMID!AK419, SWALES!AK419, SWEST!AK419, LPN!AK419,SPN!AK419,EPN!AK419,SPD!AK419,SPMW!AK419,SSEH!AK419,SSES!AK419)</f>
        <v>0</v>
      </c>
      <c r="AL419" s="289">
        <f>CHOOSE(m_identity,ENWL!AL419, NPgN!AL419, NPgY!AL419, WMID!AL419, EMID!AL419, SWALES!AL419, SWEST!AL419, LPN!AL419,SPN!AL419,EPN!AL419,SPD!AL419,SPMW!AL419,SSEH!AL419,SSES!AL419)</f>
        <v>0</v>
      </c>
      <c r="AM419" s="289">
        <f>CHOOSE(m_identity,ENWL!AM419, NPgN!AM419, NPgY!AM419, WMID!AM419, EMID!AM419, SWALES!AM419, SWEST!AM419, LPN!AM419,SPN!AM419,EPN!AM419,SPD!AM419,SPMW!AM419,SSEH!AM419,SSES!AM419)</f>
        <v>0</v>
      </c>
      <c r="AN419" s="289">
        <f>CHOOSE(m_identity,ENWL!AN419, NPgN!AN419, NPgY!AN419, WMID!AN419, EMID!AN419, SWALES!AN419, SWEST!AN419, LPN!AN419,SPN!AN419,EPN!AN419,SPD!AN419,SPMW!AN419,SSEH!AN419,SSES!AN419)</f>
        <v>0</v>
      </c>
      <c r="AO419" s="289">
        <f>CHOOSE(m_identity,ENWL!AO419, NPgN!AO419, NPgY!AO419, WMID!AO419, EMID!AO419, SWALES!AO419, SWEST!AO419, LPN!AO419,SPN!AO419,EPN!AO419,SPD!AO419,SPMW!AO419,SSEH!AO419,SSES!AO419)</f>
        <v>0</v>
      </c>
      <c r="AP419" s="289">
        <f>CHOOSE(m_identity,ENWL!AP419, NPgN!AP419, NPgY!AP419, WMID!AP419, EMID!AP419, SWALES!AP419, SWEST!AP419, LPN!AP419,SPN!AP419,EPN!AP419,SPD!AP419,SPMW!AP419,SSEH!AP419,SSES!AP419)</f>
        <v>0</v>
      </c>
      <c r="AQ419" s="289">
        <f>CHOOSE(m_identity,ENWL!AQ419, NPgN!AQ419, NPgY!AQ419, WMID!AQ419, EMID!AQ419, SWALES!AQ419, SWEST!AQ419, LPN!AQ419,SPN!AQ419,EPN!AQ419,SPD!AQ419,SPMW!AQ419,SSEH!AQ419,SSES!AQ419)</f>
        <v>0</v>
      </c>
    </row>
    <row r="420" spans="4:43" s="154" customFormat="1">
      <c r="E420" s="93" t="s">
        <v>574</v>
      </c>
      <c r="G420" s="154" t="s">
        <v>47</v>
      </c>
      <c r="AJ420" s="289">
        <f>CHOOSE(m_identity,ENWL!AJ420, NPgN!AJ420, NPgY!AJ420, WMID!AJ420, EMID!AJ420, SWALES!AJ420, SWEST!AJ420, LPN!AJ420,SPN!AJ420,EPN!AJ420,SPD!AJ420,SPMW!AJ420,SSEH!AJ420,SSES!AJ420)</f>
        <v>0</v>
      </c>
      <c r="AK420" s="289">
        <f>CHOOSE(m_identity,ENWL!AK420, NPgN!AK420, NPgY!AK420, WMID!AK420, EMID!AK420, SWALES!AK420, SWEST!AK420, LPN!AK420,SPN!AK420,EPN!AK420,SPD!AK420,SPMW!AK420,SSEH!AK420,SSES!AK420)</f>
        <v>0</v>
      </c>
      <c r="AL420" s="289">
        <f>CHOOSE(m_identity,ENWL!AL420, NPgN!AL420, NPgY!AL420, WMID!AL420, EMID!AL420, SWALES!AL420, SWEST!AL420, LPN!AL420,SPN!AL420,EPN!AL420,SPD!AL420,SPMW!AL420,SSEH!AL420,SSES!AL420)</f>
        <v>0</v>
      </c>
      <c r="AM420" s="289">
        <f>CHOOSE(m_identity,ENWL!AM420, NPgN!AM420, NPgY!AM420, WMID!AM420, EMID!AM420, SWALES!AM420, SWEST!AM420, LPN!AM420,SPN!AM420,EPN!AM420,SPD!AM420,SPMW!AM420,SSEH!AM420,SSES!AM420)</f>
        <v>0</v>
      </c>
      <c r="AN420" s="289">
        <f>CHOOSE(m_identity,ENWL!AN420, NPgN!AN420, NPgY!AN420, WMID!AN420, EMID!AN420, SWALES!AN420, SWEST!AN420, LPN!AN420,SPN!AN420,EPN!AN420,SPD!AN420,SPMW!AN420,SSEH!AN420,SSES!AN420)</f>
        <v>0</v>
      </c>
      <c r="AO420" s="289">
        <f>CHOOSE(m_identity,ENWL!AO420, NPgN!AO420, NPgY!AO420, WMID!AO420, EMID!AO420, SWALES!AO420, SWEST!AO420, LPN!AO420,SPN!AO420,EPN!AO420,SPD!AO420,SPMW!AO420,SSEH!AO420,SSES!AO420)</f>
        <v>0</v>
      </c>
      <c r="AP420" s="289">
        <f>CHOOSE(m_identity,ENWL!AP420, NPgN!AP420, NPgY!AP420, WMID!AP420, EMID!AP420, SWALES!AP420, SWEST!AP420, LPN!AP420,SPN!AP420,EPN!AP420,SPD!AP420,SPMW!AP420,SSEH!AP420,SSES!AP420)</f>
        <v>0</v>
      </c>
      <c r="AQ420" s="289">
        <f>CHOOSE(m_identity,ENWL!AQ420, NPgN!AQ420, NPgY!AQ420, WMID!AQ420, EMID!AQ420, SWALES!AQ420, SWEST!AQ420, LPN!AQ420,SPN!AQ420,EPN!AQ420,SPD!AQ420,SPMW!AQ420,SSEH!AQ420,SSES!AQ420)</f>
        <v>0</v>
      </c>
    </row>
    <row r="421" spans="4:43" s="154" customFormat="1">
      <c r="E421" s="93" t="s">
        <v>719</v>
      </c>
      <c r="G421" s="154" t="s">
        <v>47</v>
      </c>
      <c r="AJ421" s="289">
        <f>CHOOSE(m_identity,ENWL!AJ421, NPgN!AJ421, NPgY!AJ421, WMID!AJ421, EMID!AJ421, SWALES!AJ421, SWEST!AJ421, LPN!AJ421,SPN!AJ421,EPN!AJ421,SPD!AJ421,SPMW!AJ421,SSEH!AJ421,SSES!AJ421)</f>
        <v>0</v>
      </c>
      <c r="AK421" s="289">
        <f>CHOOSE(m_identity,ENWL!AK421, NPgN!AK421, NPgY!AK421, WMID!AK421, EMID!AK421, SWALES!AK421, SWEST!AK421, LPN!AK421,SPN!AK421,EPN!AK421,SPD!AK421,SPMW!AK421,SSEH!AK421,SSES!AK421)</f>
        <v>0</v>
      </c>
      <c r="AL421" s="289">
        <f>CHOOSE(m_identity,ENWL!AL421, NPgN!AL421, NPgY!AL421, WMID!AL421, EMID!AL421, SWALES!AL421, SWEST!AL421, LPN!AL421,SPN!AL421,EPN!AL421,SPD!AL421,SPMW!AL421,SSEH!AL421,SSES!AL421)</f>
        <v>0</v>
      </c>
      <c r="AM421" s="289">
        <f>CHOOSE(m_identity,ENWL!AM421, NPgN!AM421, NPgY!AM421, WMID!AM421, EMID!AM421, SWALES!AM421, SWEST!AM421, LPN!AM421,SPN!AM421,EPN!AM421,SPD!AM421,SPMW!AM421,SSEH!AM421,SSES!AM421)</f>
        <v>0</v>
      </c>
      <c r="AN421" s="289">
        <f>CHOOSE(m_identity,ENWL!AN421, NPgN!AN421, NPgY!AN421, WMID!AN421, EMID!AN421, SWALES!AN421, SWEST!AN421, LPN!AN421,SPN!AN421,EPN!AN421,SPD!AN421,SPMW!AN421,SSEH!AN421,SSES!AN421)</f>
        <v>0</v>
      </c>
      <c r="AO421" s="289">
        <f>CHOOSE(m_identity,ENWL!AO421, NPgN!AO421, NPgY!AO421, WMID!AO421, EMID!AO421, SWALES!AO421, SWEST!AO421, LPN!AO421,SPN!AO421,EPN!AO421,SPD!AO421,SPMW!AO421,SSEH!AO421,SSES!AO421)</f>
        <v>0</v>
      </c>
      <c r="AP421" s="289">
        <f>CHOOSE(m_identity,ENWL!AP421, NPgN!AP421, NPgY!AP421, WMID!AP421, EMID!AP421, SWALES!AP421, SWEST!AP421, LPN!AP421,SPN!AP421,EPN!AP421,SPD!AP421,SPMW!AP421,SSEH!AP421,SSES!AP421)</f>
        <v>0</v>
      </c>
      <c r="AQ421" s="289">
        <f>CHOOSE(m_identity,ENWL!AQ421, NPgN!AQ421, NPgY!AQ421, WMID!AQ421, EMID!AQ421, SWALES!AQ421, SWEST!AQ421, LPN!AQ421,SPN!AQ421,EPN!AQ421,SPD!AQ421,SPMW!AQ421,SSEH!AQ421,SSES!AQ421)</f>
        <v>0</v>
      </c>
    </row>
    <row r="422" spans="4:43" s="154" customFormat="1">
      <c r="E422" s="93" t="s">
        <v>705</v>
      </c>
      <c r="G422" s="154" t="s">
        <v>47</v>
      </c>
      <c r="AJ422" s="289">
        <f>CHOOSE(m_identity,ENWL!AJ422, NPgN!AJ422, NPgY!AJ422, WMID!AJ422, EMID!AJ422, SWALES!AJ422, SWEST!AJ422, LPN!AJ422,SPN!AJ422,EPN!AJ422,SPD!AJ422,SPMW!AJ422,SSEH!AJ422,SSES!AJ422)</f>
        <v>0</v>
      </c>
      <c r="AK422" s="289">
        <f>CHOOSE(m_identity,ENWL!AK422, NPgN!AK422, NPgY!AK422, WMID!AK422, EMID!AK422, SWALES!AK422, SWEST!AK422, LPN!AK422,SPN!AK422,EPN!AK422,SPD!AK422,SPMW!AK422,SSEH!AK422,SSES!AK422)</f>
        <v>0</v>
      </c>
      <c r="AL422" s="289">
        <f>CHOOSE(m_identity,ENWL!AL422, NPgN!AL422, NPgY!AL422, WMID!AL422, EMID!AL422, SWALES!AL422, SWEST!AL422, LPN!AL422,SPN!AL422,EPN!AL422,SPD!AL422,SPMW!AL422,SSEH!AL422,SSES!AL422)</f>
        <v>0</v>
      </c>
      <c r="AM422" s="289">
        <f>CHOOSE(m_identity,ENWL!AM422, NPgN!AM422, NPgY!AM422, WMID!AM422, EMID!AM422, SWALES!AM422, SWEST!AM422, LPN!AM422,SPN!AM422,EPN!AM422,SPD!AM422,SPMW!AM422,SSEH!AM422,SSES!AM422)</f>
        <v>0</v>
      </c>
      <c r="AN422" s="289">
        <f>CHOOSE(m_identity,ENWL!AN422, NPgN!AN422, NPgY!AN422, WMID!AN422, EMID!AN422, SWALES!AN422, SWEST!AN422, LPN!AN422,SPN!AN422,EPN!AN422,SPD!AN422,SPMW!AN422,SSEH!AN422,SSES!AN422)</f>
        <v>0</v>
      </c>
      <c r="AO422" s="289">
        <f>CHOOSE(m_identity,ENWL!AO422, NPgN!AO422, NPgY!AO422, WMID!AO422, EMID!AO422, SWALES!AO422, SWEST!AO422, LPN!AO422,SPN!AO422,EPN!AO422,SPD!AO422,SPMW!AO422,SSEH!AO422,SSES!AO422)</f>
        <v>0</v>
      </c>
      <c r="AP422" s="289">
        <f>CHOOSE(m_identity,ENWL!AP422, NPgN!AP422, NPgY!AP422, WMID!AP422, EMID!AP422, SWALES!AP422, SWEST!AP422, LPN!AP422,SPN!AP422,EPN!AP422,SPD!AP422,SPMW!AP422,SSEH!AP422,SSES!AP422)</f>
        <v>0</v>
      </c>
      <c r="AQ422" s="289">
        <f>CHOOSE(m_identity,ENWL!AQ422, NPgN!AQ422, NPgY!AQ422, WMID!AQ422, EMID!AQ422, SWALES!AQ422, SWEST!AQ422, LPN!AQ422,SPN!AQ422,EPN!AQ422,SPD!AQ422,SPMW!AQ422,SSEH!AQ422,SSES!AQ422)</f>
        <v>0</v>
      </c>
    </row>
    <row r="423" spans="4:43" s="44" customFormat="1">
      <c r="E423" s="154" t="s">
        <v>632</v>
      </c>
      <c r="G423" s="44" t="s">
        <v>47</v>
      </c>
      <c r="J423" s="95"/>
      <c r="K423" s="95"/>
      <c r="L423" s="95"/>
      <c r="M423" s="154"/>
      <c r="N423" s="154"/>
      <c r="O423" s="95"/>
      <c r="P423" s="95"/>
      <c r="Q423" s="95"/>
      <c r="R423" s="95"/>
      <c r="S423" s="95"/>
      <c r="T423" s="95"/>
      <c r="U423" s="95"/>
      <c r="V423" s="95"/>
      <c r="W423" s="95"/>
      <c r="X423" s="95"/>
      <c r="Y423" s="95"/>
      <c r="Z423" s="95"/>
      <c r="AA423" s="95"/>
      <c r="AB423" s="95"/>
      <c r="AC423" s="95"/>
      <c r="AD423" s="95"/>
      <c r="AE423" s="95"/>
      <c r="AF423" s="95"/>
      <c r="AJ423" s="289">
        <f>CHOOSE(m_identity,ENWL!AJ423, NPgN!AJ423, NPgY!AJ423, WMID!AJ423, EMID!AJ423, SWALES!AJ423, SWEST!AJ423, LPN!AJ423,SPN!AJ423,EPN!AJ423,SPD!AJ423,SPMW!AJ423,SSEH!AJ423,SSES!AJ423)</f>
        <v>0.20494916084772755</v>
      </c>
      <c r="AK423" s="289">
        <f>CHOOSE(m_identity,ENWL!AK423, NPgN!AK423, NPgY!AK423, WMID!AK423, EMID!AK423, SWALES!AK423, SWEST!AK423, LPN!AK423,SPN!AK423,EPN!AK423,SPD!AK423,SPMW!AK423,SSEH!AK423,SSES!AK423)</f>
        <v>0.20494916084772755</v>
      </c>
      <c r="AL423" s="289">
        <f>CHOOSE(m_identity,ENWL!AL423, NPgN!AL423, NPgY!AL423, WMID!AL423, EMID!AL423, SWALES!AL423, SWEST!AL423, LPN!AL423,SPN!AL423,EPN!AL423,SPD!AL423,SPMW!AL423,SSEH!AL423,SSES!AL423)</f>
        <v>0.20494916084772755</v>
      </c>
      <c r="AM423" s="289">
        <f>CHOOSE(m_identity,ENWL!AM423, NPgN!AM423, NPgY!AM423, WMID!AM423, EMID!AM423, SWALES!AM423, SWEST!AM423, LPN!AM423,SPN!AM423,EPN!AM423,SPD!AM423,SPMW!AM423,SSEH!AM423,SSES!AM423)</f>
        <v>0.20494916084772755</v>
      </c>
      <c r="AN423" s="289">
        <f>CHOOSE(m_identity,ENWL!AN423, NPgN!AN423, NPgY!AN423, WMID!AN423, EMID!AN423, SWALES!AN423, SWEST!AN423, LPN!AN423,SPN!AN423,EPN!AN423,SPD!AN423,SPMW!AN423,SSEH!AN423,SSES!AN423)</f>
        <v>0.20494916084772755</v>
      </c>
      <c r="AO423" s="289">
        <f>CHOOSE(m_identity,ENWL!AO423, NPgN!AO423, NPgY!AO423, WMID!AO423, EMID!AO423, SWALES!AO423, SWEST!AO423, LPN!AO423,SPN!AO423,EPN!AO423,SPD!AO423,SPMW!AO423,SSEH!AO423,SSES!AO423)</f>
        <v>0.20494916084772755</v>
      </c>
      <c r="AP423" s="289">
        <f>CHOOSE(m_identity,ENWL!AP423, NPgN!AP423, NPgY!AP423, WMID!AP423, EMID!AP423, SWALES!AP423, SWEST!AP423, LPN!AP423,SPN!AP423,EPN!AP423,SPD!AP423,SPMW!AP423,SSEH!AP423,SSES!AP423)</f>
        <v>0.20494916084772755</v>
      </c>
      <c r="AQ423" s="289">
        <f>CHOOSE(m_identity,ENWL!AQ423, NPgN!AQ423, NPgY!AQ423, WMID!AQ423, EMID!AQ423, SWALES!AQ423, SWEST!AQ423, LPN!AQ423,SPN!AQ423,EPN!AQ423,SPD!AQ423,SPMW!AQ423,SSEH!AQ423,SSES!AQ423)</f>
        <v>0.20494916084772755</v>
      </c>
    </row>
    <row r="424" spans="4:43" s="44" customFormat="1">
      <c r="F424" s="95"/>
      <c r="G424" s="95"/>
      <c r="H424" s="95"/>
      <c r="I424" s="95"/>
      <c r="J424" s="95"/>
      <c r="K424" s="95"/>
      <c r="L424" s="95"/>
      <c r="M424" s="154"/>
      <c r="N424" s="154"/>
      <c r="O424" s="95"/>
      <c r="P424" s="95"/>
      <c r="Q424" s="95"/>
      <c r="R424" s="95"/>
      <c r="S424" s="95"/>
      <c r="T424" s="95"/>
      <c r="U424" s="95"/>
      <c r="V424" s="95"/>
      <c r="W424" s="95"/>
      <c r="X424" s="95"/>
      <c r="Y424" s="95"/>
      <c r="Z424" s="95"/>
      <c r="AA424" s="95"/>
      <c r="AB424" s="95"/>
      <c r="AC424" s="95"/>
      <c r="AD424" s="95"/>
      <c r="AE424" s="95"/>
      <c r="AF424" s="95"/>
      <c r="AJ424" s="230"/>
      <c r="AK424" s="230"/>
      <c r="AL424" s="230"/>
      <c r="AM424" s="230"/>
      <c r="AN424" s="230"/>
      <c r="AO424" s="230"/>
      <c r="AP424" s="230"/>
      <c r="AQ424" s="230"/>
    </row>
    <row r="425" spans="4:43" s="44" customFormat="1">
      <c r="D425" s="36" t="s">
        <v>670</v>
      </c>
      <c r="E425" s="36"/>
      <c r="F425" s="36"/>
      <c r="G425" s="36"/>
      <c r="H425" s="36"/>
      <c r="I425" s="36"/>
      <c r="J425" s="36"/>
      <c r="K425" s="36"/>
      <c r="L425" s="36"/>
      <c r="M425" s="36"/>
      <c r="N425" s="36"/>
      <c r="O425" s="36"/>
      <c r="P425" s="36"/>
      <c r="Q425" s="36"/>
      <c r="R425" s="36"/>
      <c r="S425" s="36"/>
      <c r="T425" s="36"/>
      <c r="U425" s="36"/>
      <c r="V425" s="36"/>
      <c r="W425" s="36"/>
      <c r="X425" s="36"/>
      <c r="Y425" s="36"/>
      <c r="Z425" s="36"/>
      <c r="AA425" s="36"/>
      <c r="AB425" s="36"/>
      <c r="AC425" s="36"/>
      <c r="AD425" s="36"/>
      <c r="AE425" s="36"/>
      <c r="AF425" s="36"/>
      <c r="AG425" s="36"/>
      <c r="AH425" s="36"/>
      <c r="AI425" s="36"/>
      <c r="AJ425" s="293"/>
      <c r="AK425" s="293"/>
      <c r="AL425" s="293"/>
      <c r="AM425" s="293"/>
      <c r="AN425" s="293"/>
      <c r="AO425" s="293"/>
      <c r="AP425" s="293"/>
      <c r="AQ425" s="293"/>
    </row>
    <row r="426" spans="4:43" s="44" customFormat="1">
      <c r="J426" s="95"/>
      <c r="K426" s="95"/>
      <c r="L426" s="95"/>
      <c r="M426" s="154"/>
      <c r="N426" s="154"/>
      <c r="O426" s="95"/>
      <c r="P426" s="95"/>
      <c r="Q426" s="95"/>
      <c r="R426" s="95"/>
      <c r="S426" s="95"/>
      <c r="T426" s="95"/>
      <c r="U426" s="95"/>
      <c r="V426" s="95"/>
      <c r="W426" s="95"/>
      <c r="X426" s="95"/>
      <c r="Y426" s="95"/>
      <c r="Z426" s="95"/>
      <c r="AA426" s="95"/>
      <c r="AB426" s="95"/>
      <c r="AC426" s="95"/>
      <c r="AD426" s="95"/>
      <c r="AE426" s="95"/>
      <c r="AF426" s="95"/>
      <c r="AJ426" s="232"/>
      <c r="AK426" s="230"/>
      <c r="AL426" s="230"/>
      <c r="AM426" s="230"/>
      <c r="AN426" s="230"/>
      <c r="AO426" s="230"/>
      <c r="AP426" s="230"/>
      <c r="AQ426" s="230"/>
    </row>
    <row r="427" spans="4:43" s="44" customFormat="1">
      <c r="E427" s="93" t="s">
        <v>23</v>
      </c>
      <c r="G427" s="44" t="s">
        <v>47</v>
      </c>
      <c r="J427" s="95"/>
      <c r="K427" s="95"/>
      <c r="L427" s="95"/>
      <c r="M427" s="154"/>
      <c r="N427" s="154"/>
      <c r="O427" s="95"/>
      <c r="P427" s="95"/>
      <c r="Q427" s="95"/>
      <c r="R427" s="95"/>
      <c r="S427" s="95"/>
      <c r="T427" s="95"/>
      <c r="U427" s="95"/>
      <c r="V427" s="95"/>
      <c r="W427" s="95"/>
      <c r="X427" s="95"/>
      <c r="Y427" s="95"/>
      <c r="Z427" s="95"/>
      <c r="AA427" s="95"/>
      <c r="AB427" s="95"/>
      <c r="AC427" s="95"/>
      <c r="AD427" s="95"/>
      <c r="AE427" s="95"/>
      <c r="AF427" s="95"/>
      <c r="AJ427" s="289">
        <f>CHOOSE(m_identity,ENWL!AJ427, NPgN!AJ427, NPgY!AJ427, WMID!AJ427, EMID!AJ427, SWALES!AJ427, SWEST!AJ427, LPN!AJ427,SPN!AJ427,EPN!AJ427,SPD!AJ427,SPMW!AJ427,SSEH!AJ427,SSES!AJ427)</f>
        <v>0</v>
      </c>
      <c r="AK427" s="289">
        <f>CHOOSE(m_identity,ENWL!AK427, NPgN!AK427, NPgY!AK427, WMID!AK427, EMID!AK427, SWALES!AK427, SWEST!AK427, LPN!AK427,SPN!AK427,EPN!AK427,SPD!AK427,SPMW!AK427,SSEH!AK427,SSES!AK427)</f>
        <v>0</v>
      </c>
      <c r="AL427" s="289">
        <f>CHOOSE(m_identity,ENWL!AL427, NPgN!AL427, NPgY!AL427, WMID!AL427, EMID!AL427, SWALES!AL427, SWEST!AL427, LPN!AL427,SPN!AL427,EPN!AL427,SPD!AL427,SPMW!AL427,SSEH!AL427,SSES!AL427)</f>
        <v>0</v>
      </c>
      <c r="AM427" s="289">
        <f>CHOOSE(m_identity,ENWL!AM427, NPgN!AM427, NPgY!AM427, WMID!AM427, EMID!AM427, SWALES!AM427, SWEST!AM427, LPN!AM427,SPN!AM427,EPN!AM427,SPD!AM427,SPMW!AM427,SSEH!AM427,SSES!AM427)</f>
        <v>0</v>
      </c>
      <c r="AN427" s="289">
        <f>CHOOSE(m_identity,ENWL!AN427, NPgN!AN427, NPgY!AN427, WMID!AN427, EMID!AN427, SWALES!AN427, SWEST!AN427, LPN!AN427,SPN!AN427,EPN!AN427,SPD!AN427,SPMW!AN427,SSEH!AN427,SSES!AN427)</f>
        <v>0</v>
      </c>
      <c r="AO427" s="289">
        <f>CHOOSE(m_identity,ENWL!AO427, NPgN!AO427, NPgY!AO427, WMID!AO427, EMID!AO427, SWALES!AO427, SWEST!AO427, LPN!AO427,SPN!AO427,EPN!AO427,SPD!AO427,SPMW!AO427,SSEH!AO427,SSES!AO427)</f>
        <v>0</v>
      </c>
      <c r="AP427" s="289">
        <f>CHOOSE(m_identity,ENWL!AP427, NPgN!AP427, NPgY!AP427, WMID!AP427, EMID!AP427, SWALES!AP427, SWEST!AP427, LPN!AP427,SPN!AP427,EPN!AP427,SPD!AP427,SPMW!AP427,SSEH!AP427,SSES!AP427)</f>
        <v>0</v>
      </c>
      <c r="AQ427" s="289">
        <f>CHOOSE(m_identity,ENWL!AQ427, NPgN!AQ427, NPgY!AQ427, WMID!AQ427, EMID!AQ427, SWALES!AQ427, SWEST!AQ427, LPN!AQ427,SPN!AQ427,EPN!AQ427,SPD!AQ427,SPMW!AQ427,SSEH!AQ427,SSES!AQ427)</f>
        <v>0</v>
      </c>
    </row>
    <row r="428" spans="4:43" s="44" customFormat="1">
      <c r="E428" s="154" t="s">
        <v>546</v>
      </c>
      <c r="G428" s="44" t="s">
        <v>47</v>
      </c>
      <c r="J428" s="95"/>
      <c r="K428" s="95"/>
      <c r="L428" s="95"/>
      <c r="M428" s="154"/>
      <c r="N428" s="154"/>
      <c r="O428" s="95"/>
      <c r="P428" s="95"/>
      <c r="Q428" s="95"/>
      <c r="R428" s="95"/>
      <c r="S428" s="95"/>
      <c r="T428" s="95"/>
      <c r="U428" s="95"/>
      <c r="V428" s="95"/>
      <c r="W428" s="95"/>
      <c r="X428" s="95"/>
      <c r="Y428" s="95"/>
      <c r="Z428" s="95"/>
      <c r="AA428" s="95"/>
      <c r="AB428" s="95"/>
      <c r="AC428" s="95"/>
      <c r="AD428" s="95"/>
      <c r="AE428" s="95"/>
      <c r="AF428" s="95"/>
      <c r="AJ428" s="289">
        <f>CHOOSE(m_identity,ENWL!AJ428, NPgN!AJ428, NPgY!AJ428, WMID!AJ428, EMID!AJ428, SWALES!AJ428, SWEST!AJ428, LPN!AJ428,SPN!AJ428,EPN!AJ428,SPD!AJ428,SPMW!AJ428,SSEH!AJ428,SSES!AJ428)</f>
        <v>0.66483827589611488</v>
      </c>
      <c r="AK428" s="289">
        <f>CHOOSE(m_identity,ENWL!AK428, NPgN!AK428, NPgY!AK428, WMID!AK428, EMID!AK428, SWALES!AK428, SWEST!AK428, LPN!AK428,SPN!AK428,EPN!AK428,SPD!AK428,SPMW!AK428,SSEH!AK428,SSES!AK428)</f>
        <v>0.66483827589611488</v>
      </c>
      <c r="AL428" s="289">
        <f>CHOOSE(m_identity,ENWL!AL428, NPgN!AL428, NPgY!AL428, WMID!AL428, EMID!AL428, SWALES!AL428, SWEST!AL428, LPN!AL428,SPN!AL428,EPN!AL428,SPD!AL428,SPMW!AL428,SSEH!AL428,SSES!AL428)</f>
        <v>0.66483827589611488</v>
      </c>
      <c r="AM428" s="289">
        <f>CHOOSE(m_identity,ENWL!AM428, NPgN!AM428, NPgY!AM428, WMID!AM428, EMID!AM428, SWALES!AM428, SWEST!AM428, LPN!AM428,SPN!AM428,EPN!AM428,SPD!AM428,SPMW!AM428,SSEH!AM428,SSES!AM428)</f>
        <v>0.66483827589611488</v>
      </c>
      <c r="AN428" s="289">
        <f>CHOOSE(m_identity,ENWL!AN428, NPgN!AN428, NPgY!AN428, WMID!AN428, EMID!AN428, SWALES!AN428, SWEST!AN428, LPN!AN428,SPN!AN428,EPN!AN428,SPD!AN428,SPMW!AN428,SSEH!AN428,SSES!AN428)</f>
        <v>0.66483827589611488</v>
      </c>
      <c r="AO428" s="289">
        <f>CHOOSE(m_identity,ENWL!AO428, NPgN!AO428, NPgY!AO428, WMID!AO428, EMID!AO428, SWALES!AO428, SWEST!AO428, LPN!AO428,SPN!AO428,EPN!AO428,SPD!AO428,SPMW!AO428,SSEH!AO428,SSES!AO428)</f>
        <v>0.66483827589611488</v>
      </c>
      <c r="AP428" s="289">
        <f>CHOOSE(m_identity,ENWL!AP428, NPgN!AP428, NPgY!AP428, WMID!AP428, EMID!AP428, SWALES!AP428, SWEST!AP428, LPN!AP428,SPN!AP428,EPN!AP428,SPD!AP428,SPMW!AP428,SSEH!AP428,SSES!AP428)</f>
        <v>0.66483827589611488</v>
      </c>
      <c r="AQ428" s="289">
        <f>CHOOSE(m_identity,ENWL!AQ428, NPgN!AQ428, NPgY!AQ428, WMID!AQ428, EMID!AQ428, SWALES!AQ428, SWEST!AQ428, LPN!AQ428,SPN!AQ428,EPN!AQ428,SPD!AQ428,SPMW!AQ428,SSEH!AQ428,SSES!AQ428)</f>
        <v>0.66483827589611488</v>
      </c>
    </row>
    <row r="429" spans="4:43" s="44" customFormat="1">
      <c r="E429" s="93" t="s">
        <v>736</v>
      </c>
      <c r="G429" s="44" t="s">
        <v>47</v>
      </c>
      <c r="J429" s="95"/>
      <c r="K429" s="95"/>
      <c r="L429" s="95"/>
      <c r="M429" s="154"/>
      <c r="N429" s="154"/>
      <c r="O429" s="95"/>
      <c r="P429" s="95"/>
      <c r="Q429" s="95"/>
      <c r="R429" s="95"/>
      <c r="S429" s="95"/>
      <c r="T429" s="95"/>
      <c r="U429" s="95"/>
      <c r="V429" s="95"/>
      <c r="W429" s="95"/>
      <c r="X429" s="95"/>
      <c r="Y429" s="95"/>
      <c r="Z429" s="95"/>
      <c r="AA429" s="95"/>
      <c r="AB429" s="95"/>
      <c r="AC429" s="95"/>
      <c r="AD429" s="95"/>
      <c r="AE429" s="95"/>
      <c r="AF429" s="95"/>
      <c r="AJ429" s="289">
        <f>CHOOSE(m_identity,ENWL!AJ429, NPgN!AJ429, NPgY!AJ429, WMID!AJ429, EMID!AJ429, SWALES!AJ429, SWEST!AJ429, LPN!AJ429,SPN!AJ429,EPN!AJ429,SPD!AJ429,SPMW!AJ429,SSEH!AJ429,SSES!AJ429)</f>
        <v>0.14908802537668517</v>
      </c>
      <c r="AK429" s="289">
        <f>CHOOSE(m_identity,ENWL!AK429, NPgN!AK429, NPgY!AK429, WMID!AK429, EMID!AK429, SWALES!AK429, SWEST!AK429, LPN!AK429,SPN!AK429,EPN!AK429,SPD!AK429,SPMW!AK429,SSEH!AK429,SSES!AK429)</f>
        <v>0.14908802537668517</v>
      </c>
      <c r="AL429" s="289">
        <f>CHOOSE(m_identity,ENWL!AL429, NPgN!AL429, NPgY!AL429, WMID!AL429, EMID!AL429, SWALES!AL429, SWEST!AL429, LPN!AL429,SPN!AL429,EPN!AL429,SPD!AL429,SPMW!AL429,SSEH!AL429,SSES!AL429)</f>
        <v>0.14908802537668517</v>
      </c>
      <c r="AM429" s="289">
        <f>CHOOSE(m_identity,ENWL!AM429, NPgN!AM429, NPgY!AM429, WMID!AM429, EMID!AM429, SWALES!AM429, SWEST!AM429, LPN!AM429,SPN!AM429,EPN!AM429,SPD!AM429,SPMW!AM429,SSEH!AM429,SSES!AM429)</f>
        <v>0.14908802537668517</v>
      </c>
      <c r="AN429" s="289">
        <f>CHOOSE(m_identity,ENWL!AN429, NPgN!AN429, NPgY!AN429, WMID!AN429, EMID!AN429, SWALES!AN429, SWEST!AN429, LPN!AN429,SPN!AN429,EPN!AN429,SPD!AN429,SPMW!AN429,SSEH!AN429,SSES!AN429)</f>
        <v>0.14908802537668517</v>
      </c>
      <c r="AO429" s="289">
        <f>CHOOSE(m_identity,ENWL!AO429, NPgN!AO429, NPgY!AO429, WMID!AO429, EMID!AO429, SWALES!AO429, SWEST!AO429, LPN!AO429,SPN!AO429,EPN!AO429,SPD!AO429,SPMW!AO429,SSEH!AO429,SSES!AO429)</f>
        <v>0.14908802537668517</v>
      </c>
      <c r="AP429" s="289">
        <f>CHOOSE(m_identity,ENWL!AP429, NPgN!AP429, NPgY!AP429, WMID!AP429, EMID!AP429, SWALES!AP429, SWEST!AP429, LPN!AP429,SPN!AP429,EPN!AP429,SPD!AP429,SPMW!AP429,SSEH!AP429,SSES!AP429)</f>
        <v>0.14908802537668517</v>
      </c>
      <c r="AQ429" s="289">
        <f>CHOOSE(m_identity,ENWL!AQ429, NPgN!AQ429, NPgY!AQ429, WMID!AQ429, EMID!AQ429, SWALES!AQ429, SWEST!AQ429, LPN!AQ429,SPN!AQ429,EPN!AQ429,SPD!AQ429,SPMW!AQ429,SSEH!AQ429,SSES!AQ429)</f>
        <v>0.14908802537668517</v>
      </c>
    </row>
    <row r="430" spans="4:43" s="154" customFormat="1">
      <c r="E430" s="93" t="s">
        <v>574</v>
      </c>
      <c r="G430" s="154" t="s">
        <v>47</v>
      </c>
      <c r="AJ430" s="289">
        <f>CHOOSE(m_identity,ENWL!AJ430, NPgN!AJ430, NPgY!AJ430, WMID!AJ430, EMID!AJ430, SWALES!AJ430, SWEST!AJ430, LPN!AJ430,SPN!AJ430,EPN!AJ430,SPD!AJ430,SPMW!AJ430,SSEH!AJ430,SSES!AJ430)</f>
        <v>0.37540902588706376</v>
      </c>
      <c r="AK430" s="289">
        <f>CHOOSE(m_identity,ENWL!AK430, NPgN!AK430, NPgY!AK430, WMID!AK430, EMID!AK430, SWALES!AK430, SWEST!AK430, LPN!AK430,SPN!AK430,EPN!AK430,SPD!AK430,SPMW!AK430,SSEH!AK430,SSES!AK430)</f>
        <v>0.37540902588706376</v>
      </c>
      <c r="AL430" s="289">
        <f>CHOOSE(m_identity,ENWL!AL430, NPgN!AL430, NPgY!AL430, WMID!AL430, EMID!AL430, SWALES!AL430, SWEST!AL430, LPN!AL430,SPN!AL430,EPN!AL430,SPD!AL430,SPMW!AL430,SSEH!AL430,SSES!AL430)</f>
        <v>0.37540902588706376</v>
      </c>
      <c r="AM430" s="289">
        <f>CHOOSE(m_identity,ENWL!AM430, NPgN!AM430, NPgY!AM430, WMID!AM430, EMID!AM430, SWALES!AM430, SWEST!AM430, LPN!AM430,SPN!AM430,EPN!AM430,SPD!AM430,SPMW!AM430,SSEH!AM430,SSES!AM430)</f>
        <v>0.37540902588706376</v>
      </c>
      <c r="AN430" s="289">
        <f>CHOOSE(m_identity,ENWL!AN430, NPgN!AN430, NPgY!AN430, WMID!AN430, EMID!AN430, SWALES!AN430, SWEST!AN430, LPN!AN430,SPN!AN430,EPN!AN430,SPD!AN430,SPMW!AN430,SSEH!AN430,SSES!AN430)</f>
        <v>0.37540902588706376</v>
      </c>
      <c r="AO430" s="289">
        <f>CHOOSE(m_identity,ENWL!AO430, NPgN!AO430, NPgY!AO430, WMID!AO430, EMID!AO430, SWALES!AO430, SWEST!AO430, LPN!AO430,SPN!AO430,EPN!AO430,SPD!AO430,SPMW!AO430,SSEH!AO430,SSES!AO430)</f>
        <v>0.37540902588706376</v>
      </c>
      <c r="AP430" s="289">
        <f>CHOOSE(m_identity,ENWL!AP430, NPgN!AP430, NPgY!AP430, WMID!AP430, EMID!AP430, SWALES!AP430, SWEST!AP430, LPN!AP430,SPN!AP430,EPN!AP430,SPD!AP430,SPMW!AP430,SSEH!AP430,SSES!AP430)</f>
        <v>0.37540902588706376</v>
      </c>
      <c r="AQ430" s="289">
        <f>CHOOSE(m_identity,ENWL!AQ430, NPgN!AQ430, NPgY!AQ430, WMID!AQ430, EMID!AQ430, SWALES!AQ430, SWEST!AQ430, LPN!AQ430,SPN!AQ430,EPN!AQ430,SPD!AQ430,SPMW!AQ430,SSEH!AQ430,SSES!AQ430)</f>
        <v>0.37540902588706376</v>
      </c>
    </row>
    <row r="431" spans="4:43" s="154" customFormat="1">
      <c r="E431" s="93" t="s">
        <v>719</v>
      </c>
      <c r="G431" s="154" t="s">
        <v>47</v>
      </c>
      <c r="AJ431" s="289">
        <f>CHOOSE(m_identity,ENWL!AJ431, NPgN!AJ431, NPgY!AJ431, WMID!AJ431, EMID!AJ431, SWALES!AJ431, SWEST!AJ431, LPN!AJ431,SPN!AJ431,EPN!AJ431,SPD!AJ431,SPMW!AJ431,SSEH!AJ431,SSES!AJ431)</f>
        <v>0.5</v>
      </c>
      <c r="AK431" s="289">
        <f>CHOOSE(m_identity,ENWL!AK431, NPgN!AK431, NPgY!AK431, WMID!AK431, EMID!AK431, SWALES!AK431, SWEST!AK431, LPN!AK431,SPN!AK431,EPN!AK431,SPD!AK431,SPMW!AK431,SSEH!AK431,SSES!AK431)</f>
        <v>0.5</v>
      </c>
      <c r="AL431" s="289">
        <f>CHOOSE(m_identity,ENWL!AL431, NPgN!AL431, NPgY!AL431, WMID!AL431, EMID!AL431, SWALES!AL431, SWEST!AL431, LPN!AL431,SPN!AL431,EPN!AL431,SPD!AL431,SPMW!AL431,SSEH!AL431,SSES!AL431)</f>
        <v>0.5</v>
      </c>
      <c r="AM431" s="289">
        <f>CHOOSE(m_identity,ENWL!AM431, NPgN!AM431, NPgY!AM431, WMID!AM431, EMID!AM431, SWALES!AM431, SWEST!AM431, LPN!AM431,SPN!AM431,EPN!AM431,SPD!AM431,SPMW!AM431,SSEH!AM431,SSES!AM431)</f>
        <v>0.5</v>
      </c>
      <c r="AN431" s="289">
        <f>CHOOSE(m_identity,ENWL!AN431, NPgN!AN431, NPgY!AN431, WMID!AN431, EMID!AN431, SWALES!AN431, SWEST!AN431, LPN!AN431,SPN!AN431,EPN!AN431,SPD!AN431,SPMW!AN431,SSEH!AN431,SSES!AN431)</f>
        <v>0.5</v>
      </c>
      <c r="AO431" s="289">
        <f>CHOOSE(m_identity,ENWL!AO431, NPgN!AO431, NPgY!AO431, WMID!AO431, EMID!AO431, SWALES!AO431, SWEST!AO431, LPN!AO431,SPN!AO431,EPN!AO431,SPD!AO431,SPMW!AO431,SSEH!AO431,SSES!AO431)</f>
        <v>0.5</v>
      </c>
      <c r="AP431" s="289">
        <f>CHOOSE(m_identity,ENWL!AP431, NPgN!AP431, NPgY!AP431, WMID!AP431, EMID!AP431, SWALES!AP431, SWEST!AP431, LPN!AP431,SPN!AP431,EPN!AP431,SPD!AP431,SPMW!AP431,SSEH!AP431,SSES!AP431)</f>
        <v>0.5</v>
      </c>
      <c r="AQ431" s="289">
        <f>CHOOSE(m_identity,ENWL!AQ431, NPgN!AQ431, NPgY!AQ431, WMID!AQ431, EMID!AQ431, SWALES!AQ431, SWEST!AQ431, LPN!AQ431,SPN!AQ431,EPN!AQ431,SPD!AQ431,SPMW!AQ431,SSEH!AQ431,SSES!AQ431)</f>
        <v>0.5</v>
      </c>
    </row>
    <row r="432" spans="4:43" s="154" customFormat="1">
      <c r="E432" s="93" t="s">
        <v>705</v>
      </c>
      <c r="G432" s="154" t="s">
        <v>47</v>
      </c>
      <c r="AJ432" s="289">
        <f>CHOOSE(m_identity,ENWL!AJ432, NPgN!AJ432, NPgY!AJ432, WMID!AJ432, EMID!AJ432, SWALES!AJ432, SWEST!AJ432, LPN!AJ432,SPN!AJ432,EPN!AJ432,SPD!AJ432,SPMW!AJ432,SSEH!AJ432,SSES!AJ432)</f>
        <v>0</v>
      </c>
      <c r="AK432" s="289">
        <f>CHOOSE(m_identity,ENWL!AK432, NPgN!AK432, NPgY!AK432, WMID!AK432, EMID!AK432, SWALES!AK432, SWEST!AK432, LPN!AK432,SPN!AK432,EPN!AK432,SPD!AK432,SPMW!AK432,SSEH!AK432,SSES!AK432)</f>
        <v>0</v>
      </c>
      <c r="AL432" s="289">
        <f>CHOOSE(m_identity,ENWL!AL432, NPgN!AL432, NPgY!AL432, WMID!AL432, EMID!AL432, SWALES!AL432, SWEST!AL432, LPN!AL432,SPN!AL432,EPN!AL432,SPD!AL432,SPMW!AL432,SSEH!AL432,SSES!AL432)</f>
        <v>0</v>
      </c>
      <c r="AM432" s="289">
        <f>CHOOSE(m_identity,ENWL!AM432, NPgN!AM432, NPgY!AM432, WMID!AM432, EMID!AM432, SWALES!AM432, SWEST!AM432, LPN!AM432,SPN!AM432,EPN!AM432,SPD!AM432,SPMW!AM432,SSEH!AM432,SSES!AM432)</f>
        <v>0</v>
      </c>
      <c r="AN432" s="289">
        <f>CHOOSE(m_identity,ENWL!AN432, NPgN!AN432, NPgY!AN432, WMID!AN432, EMID!AN432, SWALES!AN432, SWEST!AN432, LPN!AN432,SPN!AN432,EPN!AN432,SPD!AN432,SPMW!AN432,SSEH!AN432,SSES!AN432)</f>
        <v>0</v>
      </c>
      <c r="AO432" s="289">
        <f>CHOOSE(m_identity,ENWL!AO432, NPgN!AO432, NPgY!AO432, WMID!AO432, EMID!AO432, SWALES!AO432, SWEST!AO432, LPN!AO432,SPN!AO432,EPN!AO432,SPD!AO432,SPMW!AO432,SSEH!AO432,SSES!AO432)</f>
        <v>0</v>
      </c>
      <c r="AP432" s="289">
        <f>CHOOSE(m_identity,ENWL!AP432, NPgN!AP432, NPgY!AP432, WMID!AP432, EMID!AP432, SWALES!AP432, SWEST!AP432, LPN!AP432,SPN!AP432,EPN!AP432,SPD!AP432,SPMW!AP432,SSEH!AP432,SSES!AP432)</f>
        <v>0</v>
      </c>
      <c r="AQ432" s="289">
        <f>CHOOSE(m_identity,ENWL!AQ432, NPgN!AQ432, NPgY!AQ432, WMID!AQ432, EMID!AQ432, SWALES!AQ432, SWEST!AQ432, LPN!AQ432,SPN!AQ432,EPN!AQ432,SPD!AQ432,SPMW!AQ432,SSEH!AQ432,SSES!AQ432)</f>
        <v>0</v>
      </c>
    </row>
    <row r="433" spans="4:43" s="44" customFormat="1">
      <c r="E433" s="154" t="s">
        <v>632</v>
      </c>
      <c r="G433" s="44" t="s">
        <v>47</v>
      </c>
      <c r="J433" s="95"/>
      <c r="K433" s="95"/>
      <c r="L433" s="95"/>
      <c r="M433" s="154"/>
      <c r="N433" s="154"/>
      <c r="O433" s="95"/>
      <c r="P433" s="95"/>
      <c r="Q433" s="95"/>
      <c r="R433" s="95"/>
      <c r="S433" s="95"/>
      <c r="T433" s="95"/>
      <c r="U433" s="95"/>
      <c r="V433" s="95"/>
      <c r="W433" s="95"/>
      <c r="X433" s="95"/>
      <c r="Y433" s="95"/>
      <c r="Z433" s="95"/>
      <c r="AA433" s="95"/>
      <c r="AB433" s="95"/>
      <c r="AC433" s="95"/>
      <c r="AD433" s="95"/>
      <c r="AE433" s="95"/>
      <c r="AF433" s="95"/>
      <c r="AJ433" s="289">
        <f>CHOOSE(m_identity,ENWL!AJ433, NPgN!AJ433, NPgY!AJ433, WMID!AJ433, EMID!AJ433, SWALES!AJ433, SWEST!AJ433, LPN!AJ433,SPN!AJ433,EPN!AJ433,SPD!AJ433,SPMW!AJ433,SSEH!AJ433,SSES!AJ433)</f>
        <v>0.22626485360774226</v>
      </c>
      <c r="AK433" s="289">
        <f>CHOOSE(m_identity,ENWL!AK433, NPgN!AK433, NPgY!AK433, WMID!AK433, EMID!AK433, SWALES!AK433, SWEST!AK433, LPN!AK433,SPN!AK433,EPN!AK433,SPD!AK433,SPMW!AK433,SSEH!AK433,SSES!AK433)</f>
        <v>0.22626485360774226</v>
      </c>
      <c r="AL433" s="289">
        <f>CHOOSE(m_identity,ENWL!AL433, NPgN!AL433, NPgY!AL433, WMID!AL433, EMID!AL433, SWALES!AL433, SWEST!AL433, LPN!AL433,SPN!AL433,EPN!AL433,SPD!AL433,SPMW!AL433,SSEH!AL433,SSES!AL433)</f>
        <v>0.22626485360774226</v>
      </c>
      <c r="AM433" s="289">
        <f>CHOOSE(m_identity,ENWL!AM433, NPgN!AM433, NPgY!AM433, WMID!AM433, EMID!AM433, SWALES!AM433, SWEST!AM433, LPN!AM433,SPN!AM433,EPN!AM433,SPD!AM433,SPMW!AM433,SSEH!AM433,SSES!AM433)</f>
        <v>0.22626485360774226</v>
      </c>
      <c r="AN433" s="289">
        <f>CHOOSE(m_identity,ENWL!AN433, NPgN!AN433, NPgY!AN433, WMID!AN433, EMID!AN433, SWALES!AN433, SWEST!AN433, LPN!AN433,SPN!AN433,EPN!AN433,SPD!AN433,SPMW!AN433,SSEH!AN433,SSES!AN433)</f>
        <v>0.22626485360774226</v>
      </c>
      <c r="AO433" s="289">
        <f>CHOOSE(m_identity,ENWL!AO433, NPgN!AO433, NPgY!AO433, WMID!AO433, EMID!AO433, SWALES!AO433, SWEST!AO433, LPN!AO433,SPN!AO433,EPN!AO433,SPD!AO433,SPMW!AO433,SSEH!AO433,SSES!AO433)</f>
        <v>0.22626485360774226</v>
      </c>
      <c r="AP433" s="289">
        <f>CHOOSE(m_identity,ENWL!AP433, NPgN!AP433, NPgY!AP433, WMID!AP433, EMID!AP433, SWALES!AP433, SWEST!AP433, LPN!AP433,SPN!AP433,EPN!AP433,SPD!AP433,SPMW!AP433,SSEH!AP433,SSES!AP433)</f>
        <v>0.22626485360774226</v>
      </c>
      <c r="AQ433" s="289">
        <f>CHOOSE(m_identity,ENWL!AQ433, NPgN!AQ433, NPgY!AQ433, WMID!AQ433, EMID!AQ433, SWALES!AQ433, SWEST!AQ433, LPN!AQ433,SPN!AQ433,EPN!AQ433,SPD!AQ433,SPMW!AQ433,SSEH!AQ433,SSES!AQ433)</f>
        <v>0.22626485360774226</v>
      </c>
    </row>
    <row r="434" spans="4:43" s="44" customFormat="1">
      <c r="F434" s="95"/>
      <c r="G434" s="95"/>
      <c r="H434" s="95"/>
      <c r="I434" s="95"/>
      <c r="J434" s="95"/>
      <c r="K434" s="95"/>
      <c r="L434" s="95"/>
      <c r="M434" s="154"/>
      <c r="N434" s="154"/>
      <c r="O434" s="95"/>
      <c r="P434" s="95"/>
      <c r="Q434" s="95"/>
      <c r="R434" s="95"/>
      <c r="S434" s="95"/>
      <c r="T434" s="95"/>
      <c r="U434" s="95"/>
      <c r="V434" s="95"/>
      <c r="W434" s="95"/>
      <c r="X434" s="95"/>
      <c r="Y434" s="95"/>
      <c r="Z434" s="95"/>
      <c r="AA434" s="95"/>
      <c r="AB434" s="95"/>
      <c r="AC434" s="95"/>
      <c r="AD434" s="95"/>
      <c r="AE434" s="95"/>
      <c r="AF434" s="95"/>
      <c r="AJ434" s="230"/>
      <c r="AK434" s="230"/>
      <c r="AL434" s="230"/>
      <c r="AM434" s="230"/>
      <c r="AN434" s="230"/>
      <c r="AO434" s="230"/>
      <c r="AP434" s="230"/>
      <c r="AQ434" s="230"/>
    </row>
    <row r="435" spans="4:43" s="44" customFormat="1">
      <c r="D435" s="36" t="s">
        <v>671</v>
      </c>
      <c r="E435" s="36"/>
      <c r="F435" s="36"/>
      <c r="G435" s="36"/>
      <c r="H435" s="36"/>
      <c r="I435" s="36"/>
      <c r="J435" s="36"/>
      <c r="K435" s="36"/>
      <c r="L435" s="36"/>
      <c r="M435" s="36"/>
      <c r="N435" s="36"/>
      <c r="O435" s="36"/>
      <c r="P435" s="36"/>
      <c r="Q435" s="36"/>
      <c r="R435" s="36"/>
      <c r="S435" s="36"/>
      <c r="T435" s="36"/>
      <c r="U435" s="36"/>
      <c r="V435" s="36"/>
      <c r="W435" s="36"/>
      <c r="X435" s="36"/>
      <c r="Y435" s="36"/>
      <c r="Z435" s="36"/>
      <c r="AA435" s="36"/>
      <c r="AB435" s="36"/>
      <c r="AC435" s="36"/>
      <c r="AD435" s="36"/>
      <c r="AE435" s="36"/>
      <c r="AF435" s="36"/>
      <c r="AG435" s="36"/>
      <c r="AH435" s="36"/>
      <c r="AI435" s="36"/>
      <c r="AJ435" s="293"/>
      <c r="AK435" s="293"/>
      <c r="AL435" s="293"/>
      <c r="AM435" s="293"/>
      <c r="AN435" s="293"/>
      <c r="AO435" s="293"/>
      <c r="AP435" s="293"/>
      <c r="AQ435" s="293"/>
    </row>
    <row r="436" spans="4:43" s="44" customFormat="1">
      <c r="J436" s="95"/>
      <c r="K436" s="95"/>
      <c r="L436" s="95"/>
      <c r="M436" s="154"/>
      <c r="N436" s="154"/>
      <c r="O436" s="95"/>
      <c r="P436" s="95"/>
      <c r="Q436" s="95"/>
      <c r="R436" s="95"/>
      <c r="S436" s="95"/>
      <c r="T436" s="95"/>
      <c r="U436" s="95"/>
      <c r="V436" s="95"/>
      <c r="W436" s="95"/>
      <c r="X436" s="95"/>
      <c r="Y436" s="95"/>
      <c r="Z436" s="95"/>
      <c r="AA436" s="95"/>
      <c r="AB436" s="95"/>
      <c r="AC436" s="95"/>
      <c r="AD436" s="95"/>
      <c r="AE436" s="95"/>
      <c r="AF436" s="95"/>
      <c r="AJ436" s="232"/>
      <c r="AK436" s="230"/>
      <c r="AL436" s="230"/>
      <c r="AM436" s="230"/>
      <c r="AN436" s="230"/>
      <c r="AO436" s="230"/>
      <c r="AP436" s="230"/>
      <c r="AQ436" s="230"/>
    </row>
    <row r="437" spans="4:43" s="44" customFormat="1">
      <c r="E437" s="93" t="s">
        <v>23</v>
      </c>
      <c r="G437" s="44" t="s">
        <v>47</v>
      </c>
      <c r="J437" s="95"/>
      <c r="K437" s="95"/>
      <c r="L437" s="95"/>
      <c r="M437" s="154"/>
      <c r="N437" s="154"/>
      <c r="O437" s="95"/>
      <c r="P437" s="95"/>
      <c r="Q437" s="95"/>
      <c r="R437" s="95"/>
      <c r="S437" s="95"/>
      <c r="T437" s="95"/>
      <c r="U437" s="95"/>
      <c r="V437" s="95"/>
      <c r="W437" s="95"/>
      <c r="X437" s="95"/>
      <c r="Y437" s="95"/>
      <c r="Z437" s="95"/>
      <c r="AA437" s="95"/>
      <c r="AB437" s="95"/>
      <c r="AC437" s="95"/>
      <c r="AD437" s="95"/>
      <c r="AE437" s="95"/>
      <c r="AF437" s="95"/>
      <c r="AJ437" s="289">
        <f>CHOOSE(m_identity,ENWL!AJ437, NPgN!AJ437, NPgY!AJ437, WMID!AJ437, EMID!AJ437, SWALES!AJ437, SWEST!AJ437, LPN!AJ437,SPN!AJ437,EPN!AJ437,SPD!AJ437,SPMW!AJ437,SSEH!AJ437,SSES!AJ437)</f>
        <v>1.4895881132137087E-2</v>
      </c>
      <c r="AK437" s="289">
        <f>CHOOSE(m_identity,ENWL!AK437, NPgN!AK437, NPgY!AK437, WMID!AK437, EMID!AK437, SWALES!AK437, SWEST!AK437, LPN!AK437,SPN!AK437,EPN!AK437,SPD!AK437,SPMW!AK437,SSEH!AK437,SSES!AK437)</f>
        <v>1.4895881132137087E-2</v>
      </c>
      <c r="AL437" s="289">
        <f>CHOOSE(m_identity,ENWL!AL437, NPgN!AL437, NPgY!AL437, WMID!AL437, EMID!AL437, SWALES!AL437, SWEST!AL437, LPN!AL437,SPN!AL437,EPN!AL437,SPD!AL437,SPMW!AL437,SSEH!AL437,SSES!AL437)</f>
        <v>1.4895881132137087E-2</v>
      </c>
      <c r="AM437" s="289">
        <f>CHOOSE(m_identity,ENWL!AM437, NPgN!AM437, NPgY!AM437, WMID!AM437, EMID!AM437, SWALES!AM437, SWEST!AM437, LPN!AM437,SPN!AM437,EPN!AM437,SPD!AM437,SPMW!AM437,SSEH!AM437,SSES!AM437)</f>
        <v>1.4895881132137087E-2</v>
      </c>
      <c r="AN437" s="289">
        <f>CHOOSE(m_identity,ENWL!AN437, NPgN!AN437, NPgY!AN437, WMID!AN437, EMID!AN437, SWALES!AN437, SWEST!AN437, LPN!AN437,SPN!AN437,EPN!AN437,SPD!AN437,SPMW!AN437,SSEH!AN437,SSES!AN437)</f>
        <v>1.4895881132137087E-2</v>
      </c>
      <c r="AO437" s="289">
        <f>CHOOSE(m_identity,ENWL!AO437, NPgN!AO437, NPgY!AO437, WMID!AO437, EMID!AO437, SWALES!AO437, SWEST!AO437, LPN!AO437,SPN!AO437,EPN!AO437,SPD!AO437,SPMW!AO437,SSEH!AO437,SSES!AO437)</f>
        <v>1.4895881132137087E-2</v>
      </c>
      <c r="AP437" s="289">
        <f>CHOOSE(m_identity,ENWL!AP437, NPgN!AP437, NPgY!AP437, WMID!AP437, EMID!AP437, SWALES!AP437, SWEST!AP437, LPN!AP437,SPN!AP437,EPN!AP437,SPD!AP437,SPMW!AP437,SSEH!AP437,SSES!AP437)</f>
        <v>1.4895881132137087E-2</v>
      </c>
      <c r="AQ437" s="289">
        <f>CHOOSE(m_identity,ENWL!AQ437, NPgN!AQ437, NPgY!AQ437, WMID!AQ437, EMID!AQ437, SWALES!AQ437, SWEST!AQ437, LPN!AQ437,SPN!AQ437,EPN!AQ437,SPD!AQ437,SPMW!AQ437,SSEH!AQ437,SSES!AQ437)</f>
        <v>1.4895881132137087E-2</v>
      </c>
    </row>
    <row r="438" spans="4:43" s="44" customFormat="1">
      <c r="E438" s="154" t="s">
        <v>546</v>
      </c>
      <c r="G438" s="44" t="s">
        <v>47</v>
      </c>
      <c r="J438" s="95"/>
      <c r="K438" s="95"/>
      <c r="L438" s="95"/>
      <c r="M438" s="154"/>
      <c r="N438" s="154"/>
      <c r="O438" s="95"/>
      <c r="P438" s="95"/>
      <c r="Q438" s="95"/>
      <c r="R438" s="95"/>
      <c r="S438" s="95"/>
      <c r="T438" s="95"/>
      <c r="U438" s="95"/>
      <c r="V438" s="95"/>
      <c r="W438" s="95"/>
      <c r="X438" s="95"/>
      <c r="Y438" s="95"/>
      <c r="Z438" s="95"/>
      <c r="AA438" s="95"/>
      <c r="AB438" s="95"/>
      <c r="AC438" s="95"/>
      <c r="AD438" s="95"/>
      <c r="AE438" s="95"/>
      <c r="AF438" s="95"/>
      <c r="AJ438" s="289">
        <f>CHOOSE(m_identity,ENWL!AJ438, NPgN!AJ438, NPgY!AJ438, WMID!AJ438, EMID!AJ438, SWALES!AJ438, SWEST!AJ438, LPN!AJ438,SPN!AJ438,EPN!AJ438,SPD!AJ438,SPMW!AJ438,SSEH!AJ438,SSES!AJ438)</f>
        <v>0</v>
      </c>
      <c r="AK438" s="289">
        <f>CHOOSE(m_identity,ENWL!AK438, NPgN!AK438, NPgY!AK438, WMID!AK438, EMID!AK438, SWALES!AK438, SWEST!AK438, LPN!AK438,SPN!AK438,EPN!AK438,SPD!AK438,SPMW!AK438,SSEH!AK438,SSES!AK438)</f>
        <v>0</v>
      </c>
      <c r="AL438" s="289">
        <f>CHOOSE(m_identity,ENWL!AL438, NPgN!AL438, NPgY!AL438, WMID!AL438, EMID!AL438, SWALES!AL438, SWEST!AL438, LPN!AL438,SPN!AL438,EPN!AL438,SPD!AL438,SPMW!AL438,SSEH!AL438,SSES!AL438)</f>
        <v>0</v>
      </c>
      <c r="AM438" s="289">
        <f>CHOOSE(m_identity,ENWL!AM438, NPgN!AM438, NPgY!AM438, WMID!AM438, EMID!AM438, SWALES!AM438, SWEST!AM438, LPN!AM438,SPN!AM438,EPN!AM438,SPD!AM438,SPMW!AM438,SSEH!AM438,SSES!AM438)</f>
        <v>0</v>
      </c>
      <c r="AN438" s="289">
        <f>CHOOSE(m_identity,ENWL!AN438, NPgN!AN438, NPgY!AN438, WMID!AN438, EMID!AN438, SWALES!AN438, SWEST!AN438, LPN!AN438,SPN!AN438,EPN!AN438,SPD!AN438,SPMW!AN438,SSEH!AN438,SSES!AN438)</f>
        <v>0</v>
      </c>
      <c r="AO438" s="289">
        <f>CHOOSE(m_identity,ENWL!AO438, NPgN!AO438, NPgY!AO438, WMID!AO438, EMID!AO438, SWALES!AO438, SWEST!AO438, LPN!AO438,SPN!AO438,EPN!AO438,SPD!AO438,SPMW!AO438,SSEH!AO438,SSES!AO438)</f>
        <v>0</v>
      </c>
      <c r="AP438" s="289">
        <f>CHOOSE(m_identity,ENWL!AP438, NPgN!AP438, NPgY!AP438, WMID!AP438, EMID!AP438, SWALES!AP438, SWEST!AP438, LPN!AP438,SPN!AP438,EPN!AP438,SPD!AP438,SPMW!AP438,SSEH!AP438,SSES!AP438)</f>
        <v>0</v>
      </c>
      <c r="AQ438" s="289">
        <f>CHOOSE(m_identity,ENWL!AQ438, NPgN!AQ438, NPgY!AQ438, WMID!AQ438, EMID!AQ438, SWALES!AQ438, SWEST!AQ438, LPN!AQ438,SPN!AQ438,EPN!AQ438,SPD!AQ438,SPMW!AQ438,SSEH!AQ438,SSES!AQ438)</f>
        <v>0</v>
      </c>
    </row>
    <row r="439" spans="4:43" s="44" customFormat="1">
      <c r="E439" s="93" t="s">
        <v>736</v>
      </c>
      <c r="G439" s="44" t="s">
        <v>47</v>
      </c>
      <c r="J439" s="95"/>
      <c r="K439" s="95"/>
      <c r="L439" s="95"/>
      <c r="M439" s="154"/>
      <c r="N439" s="154"/>
      <c r="O439" s="95"/>
      <c r="P439" s="95"/>
      <c r="Q439" s="95"/>
      <c r="R439" s="95"/>
      <c r="S439" s="95"/>
      <c r="T439" s="95"/>
      <c r="U439" s="95"/>
      <c r="V439" s="95"/>
      <c r="W439" s="95"/>
      <c r="X439" s="95"/>
      <c r="Y439" s="95"/>
      <c r="Z439" s="95"/>
      <c r="AA439" s="95"/>
      <c r="AB439" s="95"/>
      <c r="AC439" s="95"/>
      <c r="AD439" s="95"/>
      <c r="AE439" s="95"/>
      <c r="AF439" s="95"/>
      <c r="AJ439" s="289">
        <f>CHOOSE(m_identity,ENWL!AJ439, NPgN!AJ439, NPgY!AJ439, WMID!AJ439, EMID!AJ439, SWALES!AJ439, SWEST!AJ439, LPN!AJ439,SPN!AJ439,EPN!AJ439,SPD!AJ439,SPMW!AJ439,SSEH!AJ439,SSES!AJ439)</f>
        <v>0</v>
      </c>
      <c r="AK439" s="289">
        <f>CHOOSE(m_identity,ENWL!AK439, NPgN!AK439, NPgY!AK439, WMID!AK439, EMID!AK439, SWALES!AK439, SWEST!AK439, LPN!AK439,SPN!AK439,EPN!AK439,SPD!AK439,SPMW!AK439,SSEH!AK439,SSES!AK439)</f>
        <v>0</v>
      </c>
      <c r="AL439" s="289">
        <f>CHOOSE(m_identity,ENWL!AL439, NPgN!AL439, NPgY!AL439, WMID!AL439, EMID!AL439, SWALES!AL439, SWEST!AL439, LPN!AL439,SPN!AL439,EPN!AL439,SPD!AL439,SPMW!AL439,SSEH!AL439,SSES!AL439)</f>
        <v>0</v>
      </c>
      <c r="AM439" s="289">
        <f>CHOOSE(m_identity,ENWL!AM439, NPgN!AM439, NPgY!AM439, WMID!AM439, EMID!AM439, SWALES!AM439, SWEST!AM439, LPN!AM439,SPN!AM439,EPN!AM439,SPD!AM439,SPMW!AM439,SSEH!AM439,SSES!AM439)</f>
        <v>0</v>
      </c>
      <c r="AN439" s="289">
        <f>CHOOSE(m_identity,ENWL!AN439, NPgN!AN439, NPgY!AN439, WMID!AN439, EMID!AN439, SWALES!AN439, SWEST!AN439, LPN!AN439,SPN!AN439,EPN!AN439,SPD!AN439,SPMW!AN439,SSEH!AN439,SSES!AN439)</f>
        <v>0</v>
      </c>
      <c r="AO439" s="289">
        <f>CHOOSE(m_identity,ENWL!AO439, NPgN!AO439, NPgY!AO439, WMID!AO439, EMID!AO439, SWALES!AO439, SWEST!AO439, LPN!AO439,SPN!AO439,EPN!AO439,SPD!AO439,SPMW!AO439,SSEH!AO439,SSES!AO439)</f>
        <v>0</v>
      </c>
      <c r="AP439" s="289">
        <f>CHOOSE(m_identity,ENWL!AP439, NPgN!AP439, NPgY!AP439, WMID!AP439, EMID!AP439, SWALES!AP439, SWEST!AP439, LPN!AP439,SPN!AP439,EPN!AP439,SPD!AP439,SPMW!AP439,SSEH!AP439,SSES!AP439)</f>
        <v>0</v>
      </c>
      <c r="AQ439" s="289">
        <f>CHOOSE(m_identity,ENWL!AQ439, NPgN!AQ439, NPgY!AQ439, WMID!AQ439, EMID!AQ439, SWALES!AQ439, SWEST!AQ439, LPN!AQ439,SPN!AQ439,EPN!AQ439,SPD!AQ439,SPMW!AQ439,SSEH!AQ439,SSES!AQ439)</f>
        <v>0</v>
      </c>
    </row>
    <row r="440" spans="4:43" s="154" customFormat="1">
      <c r="E440" s="93" t="s">
        <v>574</v>
      </c>
      <c r="G440" s="154" t="s">
        <v>47</v>
      </c>
      <c r="AJ440" s="289">
        <f>CHOOSE(m_identity,ENWL!AJ440, NPgN!AJ440, NPgY!AJ440, WMID!AJ440, EMID!AJ440, SWALES!AJ440, SWEST!AJ440, LPN!AJ440,SPN!AJ440,EPN!AJ440,SPD!AJ440,SPMW!AJ440,SSEH!AJ440,SSES!AJ440)</f>
        <v>0.62459097411293629</v>
      </c>
      <c r="AK440" s="289">
        <f>CHOOSE(m_identity,ENWL!AK440, NPgN!AK440, NPgY!AK440, WMID!AK440, EMID!AK440, SWALES!AK440, SWEST!AK440, LPN!AK440,SPN!AK440,EPN!AK440,SPD!AK440,SPMW!AK440,SSEH!AK440,SSES!AK440)</f>
        <v>0.62459097411293629</v>
      </c>
      <c r="AL440" s="289">
        <f>CHOOSE(m_identity,ENWL!AL440, NPgN!AL440, NPgY!AL440, WMID!AL440, EMID!AL440, SWALES!AL440, SWEST!AL440, LPN!AL440,SPN!AL440,EPN!AL440,SPD!AL440,SPMW!AL440,SSEH!AL440,SSES!AL440)</f>
        <v>0.62459097411293629</v>
      </c>
      <c r="AM440" s="289">
        <f>CHOOSE(m_identity,ENWL!AM440, NPgN!AM440, NPgY!AM440, WMID!AM440, EMID!AM440, SWALES!AM440, SWEST!AM440, LPN!AM440,SPN!AM440,EPN!AM440,SPD!AM440,SPMW!AM440,SSEH!AM440,SSES!AM440)</f>
        <v>0.62459097411293629</v>
      </c>
      <c r="AN440" s="289">
        <f>CHOOSE(m_identity,ENWL!AN440, NPgN!AN440, NPgY!AN440, WMID!AN440, EMID!AN440, SWALES!AN440, SWEST!AN440, LPN!AN440,SPN!AN440,EPN!AN440,SPD!AN440,SPMW!AN440,SSEH!AN440,SSES!AN440)</f>
        <v>0.62459097411293629</v>
      </c>
      <c r="AO440" s="289">
        <f>CHOOSE(m_identity,ENWL!AO440, NPgN!AO440, NPgY!AO440, WMID!AO440, EMID!AO440, SWALES!AO440, SWEST!AO440, LPN!AO440,SPN!AO440,EPN!AO440,SPD!AO440,SPMW!AO440,SSEH!AO440,SSES!AO440)</f>
        <v>0.62459097411293629</v>
      </c>
      <c r="AP440" s="289">
        <f>CHOOSE(m_identity,ENWL!AP440, NPgN!AP440, NPgY!AP440, WMID!AP440, EMID!AP440, SWALES!AP440, SWEST!AP440, LPN!AP440,SPN!AP440,EPN!AP440,SPD!AP440,SPMW!AP440,SSEH!AP440,SSES!AP440)</f>
        <v>0.62459097411293629</v>
      </c>
      <c r="AQ440" s="289">
        <f>CHOOSE(m_identity,ENWL!AQ440, NPgN!AQ440, NPgY!AQ440, WMID!AQ440, EMID!AQ440, SWALES!AQ440, SWEST!AQ440, LPN!AQ440,SPN!AQ440,EPN!AQ440,SPD!AQ440,SPMW!AQ440,SSEH!AQ440,SSES!AQ440)</f>
        <v>0.62459097411293629</v>
      </c>
    </row>
    <row r="441" spans="4:43" s="154" customFormat="1">
      <c r="E441" s="93" t="s">
        <v>719</v>
      </c>
      <c r="G441" s="154" t="s">
        <v>47</v>
      </c>
      <c r="AJ441" s="289">
        <f>CHOOSE(m_identity,ENWL!AJ441, NPgN!AJ441, NPgY!AJ441, WMID!AJ441, EMID!AJ441, SWALES!AJ441, SWEST!AJ441, LPN!AJ441,SPN!AJ441,EPN!AJ441,SPD!AJ441,SPMW!AJ441,SSEH!AJ441,SSES!AJ441)</f>
        <v>0.5</v>
      </c>
      <c r="AK441" s="289">
        <f>CHOOSE(m_identity,ENWL!AK441, NPgN!AK441, NPgY!AK441, WMID!AK441, EMID!AK441, SWALES!AK441, SWEST!AK441, LPN!AK441,SPN!AK441,EPN!AK441,SPD!AK441,SPMW!AK441,SSEH!AK441,SSES!AK441)</f>
        <v>0.5</v>
      </c>
      <c r="AL441" s="289">
        <f>CHOOSE(m_identity,ENWL!AL441, NPgN!AL441, NPgY!AL441, WMID!AL441, EMID!AL441, SWALES!AL441, SWEST!AL441, LPN!AL441,SPN!AL441,EPN!AL441,SPD!AL441,SPMW!AL441,SSEH!AL441,SSES!AL441)</f>
        <v>0.5</v>
      </c>
      <c r="AM441" s="289">
        <f>CHOOSE(m_identity,ENWL!AM441, NPgN!AM441, NPgY!AM441, WMID!AM441, EMID!AM441, SWALES!AM441, SWEST!AM441, LPN!AM441,SPN!AM441,EPN!AM441,SPD!AM441,SPMW!AM441,SSEH!AM441,SSES!AM441)</f>
        <v>0.5</v>
      </c>
      <c r="AN441" s="289">
        <f>CHOOSE(m_identity,ENWL!AN441, NPgN!AN441, NPgY!AN441, WMID!AN441, EMID!AN441, SWALES!AN441, SWEST!AN441, LPN!AN441,SPN!AN441,EPN!AN441,SPD!AN441,SPMW!AN441,SSEH!AN441,SSES!AN441)</f>
        <v>0.5</v>
      </c>
      <c r="AO441" s="289">
        <f>CHOOSE(m_identity,ENWL!AO441, NPgN!AO441, NPgY!AO441, WMID!AO441, EMID!AO441, SWALES!AO441, SWEST!AO441, LPN!AO441,SPN!AO441,EPN!AO441,SPD!AO441,SPMW!AO441,SSEH!AO441,SSES!AO441)</f>
        <v>0.5</v>
      </c>
      <c r="AP441" s="289">
        <f>CHOOSE(m_identity,ENWL!AP441, NPgN!AP441, NPgY!AP441, WMID!AP441, EMID!AP441, SWALES!AP441, SWEST!AP441, LPN!AP441,SPN!AP441,EPN!AP441,SPD!AP441,SPMW!AP441,SSEH!AP441,SSES!AP441)</f>
        <v>0.5</v>
      </c>
      <c r="AQ441" s="289">
        <f>CHOOSE(m_identity,ENWL!AQ441, NPgN!AQ441, NPgY!AQ441, WMID!AQ441, EMID!AQ441, SWALES!AQ441, SWEST!AQ441, LPN!AQ441,SPN!AQ441,EPN!AQ441,SPD!AQ441,SPMW!AQ441,SSEH!AQ441,SSES!AQ441)</f>
        <v>0.5</v>
      </c>
    </row>
    <row r="442" spans="4:43" s="154" customFormat="1">
      <c r="E442" s="93" t="s">
        <v>705</v>
      </c>
      <c r="G442" s="154" t="s">
        <v>47</v>
      </c>
      <c r="AJ442" s="289">
        <f>CHOOSE(m_identity,ENWL!AJ442, NPgN!AJ442, NPgY!AJ442, WMID!AJ442, EMID!AJ442, SWALES!AJ442, SWEST!AJ442, LPN!AJ442,SPN!AJ442,EPN!AJ442,SPD!AJ442,SPMW!AJ442,SSEH!AJ442,SSES!AJ442)</f>
        <v>1</v>
      </c>
      <c r="AK442" s="289">
        <f>CHOOSE(m_identity,ENWL!AK442, NPgN!AK442, NPgY!AK442, WMID!AK442, EMID!AK442, SWALES!AK442, SWEST!AK442, LPN!AK442,SPN!AK442,EPN!AK442,SPD!AK442,SPMW!AK442,SSEH!AK442,SSES!AK442)</f>
        <v>1</v>
      </c>
      <c r="AL442" s="289">
        <f>CHOOSE(m_identity,ENWL!AL442, NPgN!AL442, NPgY!AL442, WMID!AL442, EMID!AL442, SWALES!AL442, SWEST!AL442, LPN!AL442,SPN!AL442,EPN!AL442,SPD!AL442,SPMW!AL442,SSEH!AL442,SSES!AL442)</f>
        <v>1</v>
      </c>
      <c r="AM442" s="289">
        <f>CHOOSE(m_identity,ENWL!AM442, NPgN!AM442, NPgY!AM442, WMID!AM442, EMID!AM442, SWALES!AM442, SWEST!AM442, LPN!AM442,SPN!AM442,EPN!AM442,SPD!AM442,SPMW!AM442,SSEH!AM442,SSES!AM442)</f>
        <v>1</v>
      </c>
      <c r="AN442" s="289">
        <f>CHOOSE(m_identity,ENWL!AN442, NPgN!AN442, NPgY!AN442, WMID!AN442, EMID!AN442, SWALES!AN442, SWEST!AN442, LPN!AN442,SPN!AN442,EPN!AN442,SPD!AN442,SPMW!AN442,SSEH!AN442,SSES!AN442)</f>
        <v>1</v>
      </c>
      <c r="AO442" s="289">
        <f>CHOOSE(m_identity,ENWL!AO442, NPgN!AO442, NPgY!AO442, WMID!AO442, EMID!AO442, SWALES!AO442, SWEST!AO442, LPN!AO442,SPN!AO442,EPN!AO442,SPD!AO442,SPMW!AO442,SSEH!AO442,SSES!AO442)</f>
        <v>1</v>
      </c>
      <c r="AP442" s="289">
        <f>CHOOSE(m_identity,ENWL!AP442, NPgN!AP442, NPgY!AP442, WMID!AP442, EMID!AP442, SWALES!AP442, SWEST!AP442, LPN!AP442,SPN!AP442,EPN!AP442,SPD!AP442,SPMW!AP442,SSEH!AP442,SSES!AP442)</f>
        <v>1</v>
      </c>
      <c r="AQ442" s="289">
        <f>CHOOSE(m_identity,ENWL!AQ442, NPgN!AQ442, NPgY!AQ442, WMID!AQ442, EMID!AQ442, SWALES!AQ442, SWEST!AQ442, LPN!AQ442,SPN!AQ442,EPN!AQ442,SPD!AQ442,SPMW!AQ442,SSEH!AQ442,SSES!AQ442)</f>
        <v>1</v>
      </c>
    </row>
    <row r="443" spans="4:43" s="44" customFormat="1">
      <c r="E443" s="154" t="s">
        <v>632</v>
      </c>
      <c r="G443" s="44" t="s">
        <v>47</v>
      </c>
      <c r="J443" s="95"/>
      <c r="K443" s="95"/>
      <c r="L443" s="95"/>
      <c r="M443" s="154"/>
      <c r="N443" s="154"/>
      <c r="O443" s="95"/>
      <c r="P443" s="95"/>
      <c r="Q443" s="95"/>
      <c r="R443" s="95"/>
      <c r="S443" s="95"/>
      <c r="T443" s="95"/>
      <c r="U443" s="95"/>
      <c r="V443" s="95"/>
      <c r="W443" s="95"/>
      <c r="X443" s="95"/>
      <c r="Y443" s="95"/>
      <c r="Z443" s="95"/>
      <c r="AA443" s="95"/>
      <c r="AB443" s="95"/>
      <c r="AC443" s="95"/>
      <c r="AD443" s="95"/>
      <c r="AE443" s="95"/>
      <c r="AF443" s="95"/>
      <c r="AJ443" s="289">
        <f>CHOOSE(m_identity,ENWL!AJ443, NPgN!AJ443, NPgY!AJ443, WMID!AJ443, EMID!AJ443, SWALES!AJ443, SWEST!AJ443, LPN!AJ443,SPN!AJ443,EPN!AJ443,SPD!AJ443,SPMW!AJ443,SSEH!AJ443,SSES!AJ443)</f>
        <v>0.50679897096655635</v>
      </c>
      <c r="AK443" s="289">
        <f>CHOOSE(m_identity,ENWL!AK443, NPgN!AK443, NPgY!AK443, WMID!AK443, EMID!AK443, SWALES!AK443, SWEST!AK443, LPN!AK443,SPN!AK443,EPN!AK443,SPD!AK443,SPMW!AK443,SSEH!AK443,SSES!AK443)</f>
        <v>0.50679897096655635</v>
      </c>
      <c r="AL443" s="289">
        <f>CHOOSE(m_identity,ENWL!AL443, NPgN!AL443, NPgY!AL443, WMID!AL443, EMID!AL443, SWALES!AL443, SWEST!AL443, LPN!AL443,SPN!AL443,EPN!AL443,SPD!AL443,SPMW!AL443,SSEH!AL443,SSES!AL443)</f>
        <v>0.50679897096655635</v>
      </c>
      <c r="AM443" s="289">
        <f>CHOOSE(m_identity,ENWL!AM443, NPgN!AM443, NPgY!AM443, WMID!AM443, EMID!AM443, SWALES!AM443, SWEST!AM443, LPN!AM443,SPN!AM443,EPN!AM443,SPD!AM443,SPMW!AM443,SSEH!AM443,SSES!AM443)</f>
        <v>0.50679897096655635</v>
      </c>
      <c r="AN443" s="289">
        <f>CHOOSE(m_identity,ENWL!AN443, NPgN!AN443, NPgY!AN443, WMID!AN443, EMID!AN443, SWALES!AN443, SWEST!AN443, LPN!AN443,SPN!AN443,EPN!AN443,SPD!AN443,SPMW!AN443,SSEH!AN443,SSES!AN443)</f>
        <v>0.50679897096655635</v>
      </c>
      <c r="AO443" s="289">
        <f>CHOOSE(m_identity,ENWL!AO443, NPgN!AO443, NPgY!AO443, WMID!AO443, EMID!AO443, SWALES!AO443, SWEST!AO443, LPN!AO443,SPN!AO443,EPN!AO443,SPD!AO443,SPMW!AO443,SSEH!AO443,SSES!AO443)</f>
        <v>0.50679897096655635</v>
      </c>
      <c r="AP443" s="289">
        <f>CHOOSE(m_identity,ENWL!AP443, NPgN!AP443, NPgY!AP443, WMID!AP443, EMID!AP443, SWALES!AP443, SWEST!AP443, LPN!AP443,SPN!AP443,EPN!AP443,SPD!AP443,SPMW!AP443,SSEH!AP443,SSES!AP443)</f>
        <v>0.50679897096655635</v>
      </c>
      <c r="AQ443" s="289">
        <f>CHOOSE(m_identity,ENWL!AQ443, NPgN!AQ443, NPgY!AQ443, WMID!AQ443, EMID!AQ443, SWALES!AQ443, SWEST!AQ443, LPN!AQ443,SPN!AQ443,EPN!AQ443,SPD!AQ443,SPMW!AQ443,SSEH!AQ443,SSES!AQ443)</f>
        <v>0.50679897096655635</v>
      </c>
    </row>
    <row r="444" spans="4:43" s="44" customFormat="1">
      <c r="F444" s="95"/>
      <c r="G444" s="95"/>
      <c r="H444" s="95"/>
      <c r="I444" s="95"/>
      <c r="J444" s="95"/>
      <c r="K444" s="95"/>
      <c r="L444" s="95"/>
      <c r="M444" s="154"/>
      <c r="N444" s="154"/>
      <c r="O444" s="95"/>
      <c r="P444" s="95"/>
      <c r="Q444" s="95"/>
      <c r="R444" s="95"/>
      <c r="S444" s="95"/>
      <c r="T444" s="95"/>
      <c r="U444" s="95"/>
      <c r="V444" s="95"/>
      <c r="W444" s="95"/>
      <c r="X444" s="95"/>
      <c r="Y444" s="95"/>
      <c r="Z444" s="95"/>
      <c r="AA444" s="95"/>
      <c r="AB444" s="95"/>
      <c r="AC444" s="95"/>
      <c r="AD444" s="95"/>
      <c r="AE444" s="95"/>
      <c r="AF444" s="95"/>
      <c r="AJ444" s="230"/>
      <c r="AK444" s="230"/>
      <c r="AL444" s="230"/>
      <c r="AM444" s="230"/>
      <c r="AN444" s="230"/>
      <c r="AO444" s="230"/>
      <c r="AP444" s="230"/>
      <c r="AQ444" s="230"/>
    </row>
    <row r="445" spans="4:43" s="44" customFormat="1">
      <c r="D445" s="36" t="s">
        <v>672</v>
      </c>
      <c r="E445" s="36"/>
      <c r="F445" s="36"/>
      <c r="G445" s="36"/>
      <c r="H445" s="36"/>
      <c r="I445" s="36"/>
      <c r="J445" s="36"/>
      <c r="K445" s="36"/>
      <c r="L445" s="36"/>
      <c r="M445" s="36"/>
      <c r="N445" s="36"/>
      <c r="O445" s="36"/>
      <c r="P445" s="36"/>
      <c r="Q445" s="36"/>
      <c r="R445" s="36"/>
      <c r="S445" s="36"/>
      <c r="T445" s="36"/>
      <c r="U445" s="36"/>
      <c r="V445" s="36"/>
      <c r="W445" s="36"/>
      <c r="X445" s="36"/>
      <c r="Y445" s="36"/>
      <c r="Z445" s="36"/>
      <c r="AA445" s="36"/>
      <c r="AB445" s="36"/>
      <c r="AC445" s="36"/>
      <c r="AD445" s="36"/>
      <c r="AE445" s="36"/>
      <c r="AF445" s="36"/>
      <c r="AG445" s="36"/>
      <c r="AH445" s="36"/>
      <c r="AI445" s="36"/>
      <c r="AJ445" s="293"/>
      <c r="AK445" s="293"/>
      <c r="AL445" s="293"/>
      <c r="AM445" s="293"/>
      <c r="AN445" s="293"/>
      <c r="AO445" s="293"/>
      <c r="AP445" s="293"/>
      <c r="AQ445" s="293"/>
    </row>
    <row r="446" spans="4:43" s="44" customFormat="1">
      <c r="J446" s="95"/>
      <c r="K446" s="95"/>
      <c r="L446" s="95"/>
      <c r="M446" s="154"/>
      <c r="N446" s="154"/>
      <c r="O446" s="95"/>
      <c r="P446" s="95"/>
      <c r="Q446" s="95"/>
      <c r="R446" s="95"/>
      <c r="S446" s="95"/>
      <c r="T446" s="95"/>
      <c r="U446" s="95"/>
      <c r="V446" s="95"/>
      <c r="W446" s="95"/>
      <c r="X446" s="95"/>
      <c r="Y446" s="95"/>
      <c r="Z446" s="95"/>
      <c r="AA446" s="95"/>
      <c r="AB446" s="95"/>
      <c r="AC446" s="95"/>
      <c r="AD446" s="95"/>
      <c r="AE446" s="95"/>
      <c r="AF446" s="95"/>
      <c r="AJ446" s="232"/>
      <c r="AK446" s="230"/>
      <c r="AL446" s="230"/>
      <c r="AM446" s="230"/>
      <c r="AN446" s="230"/>
      <c r="AO446" s="230"/>
      <c r="AP446" s="230"/>
      <c r="AQ446" s="230"/>
    </row>
    <row r="447" spans="4:43" s="44" customFormat="1">
      <c r="E447" s="93" t="s">
        <v>23</v>
      </c>
      <c r="G447" s="44" t="s">
        <v>47</v>
      </c>
      <c r="J447" s="95"/>
      <c r="K447" s="95"/>
      <c r="L447" s="95"/>
      <c r="M447" s="154"/>
      <c r="N447" s="154"/>
      <c r="O447" s="95"/>
      <c r="P447" s="95"/>
      <c r="Q447" s="95"/>
      <c r="R447" s="95"/>
      <c r="S447" s="95"/>
      <c r="T447" s="95"/>
      <c r="U447" s="95"/>
      <c r="V447" s="95"/>
      <c r="W447" s="95"/>
      <c r="X447" s="95"/>
      <c r="Y447" s="95"/>
      <c r="Z447" s="95"/>
      <c r="AA447" s="95"/>
      <c r="AB447" s="95"/>
      <c r="AC447" s="95"/>
      <c r="AD447" s="95"/>
      <c r="AE447" s="95"/>
      <c r="AF447" s="95"/>
      <c r="AJ447" s="289">
        <f>CHOOSE(m_identity,ENWL!AJ447, NPgN!AJ447, NPgY!AJ447, WMID!AJ447, EMID!AJ447, SWALES!AJ447, SWEST!AJ447, LPN!AJ447,SPN!AJ447,EPN!AJ447,SPD!AJ447,SPMW!AJ447,SSEH!AJ447,SSES!AJ447)</f>
        <v>0</v>
      </c>
      <c r="AK447" s="289">
        <f>CHOOSE(m_identity,ENWL!AK447, NPgN!AK447, NPgY!AK447, WMID!AK447, EMID!AK447, SWALES!AK447, SWEST!AK447, LPN!AK447,SPN!AK447,EPN!AK447,SPD!AK447,SPMW!AK447,SSEH!AK447,SSES!AK447)</f>
        <v>0</v>
      </c>
      <c r="AL447" s="289">
        <f>CHOOSE(m_identity,ENWL!AL447, NPgN!AL447, NPgY!AL447, WMID!AL447, EMID!AL447, SWALES!AL447, SWEST!AL447, LPN!AL447,SPN!AL447,EPN!AL447,SPD!AL447,SPMW!AL447,SSEH!AL447,SSES!AL447)</f>
        <v>0</v>
      </c>
      <c r="AM447" s="289">
        <f>CHOOSE(m_identity,ENWL!AM447, NPgN!AM447, NPgY!AM447, WMID!AM447, EMID!AM447, SWALES!AM447, SWEST!AM447, LPN!AM447,SPN!AM447,EPN!AM447,SPD!AM447,SPMW!AM447,SSEH!AM447,SSES!AM447)</f>
        <v>0</v>
      </c>
      <c r="AN447" s="289">
        <f>CHOOSE(m_identity,ENWL!AN447, NPgN!AN447, NPgY!AN447, WMID!AN447, EMID!AN447, SWALES!AN447, SWEST!AN447, LPN!AN447,SPN!AN447,EPN!AN447,SPD!AN447,SPMW!AN447,SSEH!AN447,SSES!AN447)</f>
        <v>0</v>
      </c>
      <c r="AO447" s="289">
        <f>CHOOSE(m_identity,ENWL!AO447, NPgN!AO447, NPgY!AO447, WMID!AO447, EMID!AO447, SWALES!AO447, SWEST!AO447, LPN!AO447,SPN!AO447,EPN!AO447,SPD!AO447,SPMW!AO447,SSEH!AO447,SSES!AO447)</f>
        <v>0</v>
      </c>
      <c r="AP447" s="289">
        <f>CHOOSE(m_identity,ENWL!AP447, NPgN!AP447, NPgY!AP447, WMID!AP447, EMID!AP447, SWALES!AP447, SWEST!AP447, LPN!AP447,SPN!AP447,EPN!AP447,SPD!AP447,SPMW!AP447,SSEH!AP447,SSES!AP447)</f>
        <v>0</v>
      </c>
      <c r="AQ447" s="289">
        <f>CHOOSE(m_identity,ENWL!AQ447, NPgN!AQ447, NPgY!AQ447, WMID!AQ447, EMID!AQ447, SWALES!AQ447, SWEST!AQ447, LPN!AQ447,SPN!AQ447,EPN!AQ447,SPD!AQ447,SPMW!AQ447,SSEH!AQ447,SSES!AQ447)</f>
        <v>0</v>
      </c>
    </row>
    <row r="448" spans="4:43" s="44" customFormat="1">
      <c r="E448" s="154" t="s">
        <v>546</v>
      </c>
      <c r="G448" s="44" t="s">
        <v>47</v>
      </c>
      <c r="J448" s="95"/>
      <c r="K448" s="95"/>
      <c r="L448" s="95"/>
      <c r="M448" s="154"/>
      <c r="N448" s="154"/>
      <c r="O448" s="95"/>
      <c r="P448" s="95"/>
      <c r="Q448" s="95"/>
      <c r="R448" s="95"/>
      <c r="S448" s="95"/>
      <c r="T448" s="95"/>
      <c r="U448" s="95"/>
      <c r="V448" s="95"/>
      <c r="W448" s="95"/>
      <c r="X448" s="95"/>
      <c r="Y448" s="95"/>
      <c r="Z448" s="95"/>
      <c r="AA448" s="95"/>
      <c r="AB448" s="95"/>
      <c r="AC448" s="95"/>
      <c r="AD448" s="95"/>
      <c r="AE448" s="95"/>
      <c r="AF448" s="95"/>
      <c r="AJ448" s="289">
        <f>CHOOSE(m_identity,ENWL!AJ448, NPgN!AJ448, NPgY!AJ448, WMID!AJ448, EMID!AJ448, SWALES!AJ448, SWEST!AJ448, LPN!AJ448,SPN!AJ448,EPN!AJ448,SPD!AJ448,SPMW!AJ448,SSEH!AJ448,SSES!AJ448)</f>
        <v>5.7636270271200496E-2</v>
      </c>
      <c r="AK448" s="289">
        <f>CHOOSE(m_identity,ENWL!AK448, NPgN!AK448, NPgY!AK448, WMID!AK448, EMID!AK448, SWALES!AK448, SWEST!AK448, LPN!AK448,SPN!AK448,EPN!AK448,SPD!AK448,SPMW!AK448,SSEH!AK448,SSES!AK448)</f>
        <v>5.7636270271200496E-2</v>
      </c>
      <c r="AL448" s="289">
        <f>CHOOSE(m_identity,ENWL!AL448, NPgN!AL448, NPgY!AL448, WMID!AL448, EMID!AL448, SWALES!AL448, SWEST!AL448, LPN!AL448,SPN!AL448,EPN!AL448,SPD!AL448,SPMW!AL448,SSEH!AL448,SSES!AL448)</f>
        <v>5.7636270271200496E-2</v>
      </c>
      <c r="AM448" s="289">
        <f>CHOOSE(m_identity,ENWL!AM448, NPgN!AM448, NPgY!AM448, WMID!AM448, EMID!AM448, SWALES!AM448, SWEST!AM448, LPN!AM448,SPN!AM448,EPN!AM448,SPD!AM448,SPMW!AM448,SSEH!AM448,SSES!AM448)</f>
        <v>5.7636270271200496E-2</v>
      </c>
      <c r="AN448" s="289">
        <f>CHOOSE(m_identity,ENWL!AN448, NPgN!AN448, NPgY!AN448, WMID!AN448, EMID!AN448, SWALES!AN448, SWEST!AN448, LPN!AN448,SPN!AN448,EPN!AN448,SPD!AN448,SPMW!AN448,SSEH!AN448,SSES!AN448)</f>
        <v>5.7636270271200496E-2</v>
      </c>
      <c r="AO448" s="289">
        <f>CHOOSE(m_identity,ENWL!AO448, NPgN!AO448, NPgY!AO448, WMID!AO448, EMID!AO448, SWALES!AO448, SWEST!AO448, LPN!AO448,SPN!AO448,EPN!AO448,SPD!AO448,SPMW!AO448,SSEH!AO448,SSES!AO448)</f>
        <v>5.7636270271200496E-2</v>
      </c>
      <c r="AP448" s="289">
        <f>CHOOSE(m_identity,ENWL!AP448, NPgN!AP448, NPgY!AP448, WMID!AP448, EMID!AP448, SWALES!AP448, SWEST!AP448, LPN!AP448,SPN!AP448,EPN!AP448,SPD!AP448,SPMW!AP448,SSEH!AP448,SSES!AP448)</f>
        <v>5.7636270271200496E-2</v>
      </c>
      <c r="AQ448" s="289">
        <f>CHOOSE(m_identity,ENWL!AQ448, NPgN!AQ448, NPgY!AQ448, WMID!AQ448, EMID!AQ448, SWALES!AQ448, SWEST!AQ448, LPN!AQ448,SPN!AQ448,EPN!AQ448,SPD!AQ448,SPMW!AQ448,SSEH!AQ448,SSES!AQ448)</f>
        <v>5.7636270271200496E-2</v>
      </c>
    </row>
    <row r="449" spans="4:43" s="44" customFormat="1">
      <c r="E449" s="93" t="s">
        <v>736</v>
      </c>
      <c r="G449" s="44" t="s">
        <v>47</v>
      </c>
      <c r="J449" s="95"/>
      <c r="K449" s="95"/>
      <c r="L449" s="95"/>
      <c r="M449" s="154"/>
      <c r="N449" s="154"/>
      <c r="O449" s="95"/>
      <c r="P449" s="95"/>
      <c r="Q449" s="95"/>
      <c r="R449" s="95"/>
      <c r="S449" s="95"/>
      <c r="T449" s="95"/>
      <c r="U449" s="95"/>
      <c r="V449" s="95"/>
      <c r="W449" s="95"/>
      <c r="X449" s="95"/>
      <c r="Y449" s="95"/>
      <c r="Z449" s="95"/>
      <c r="AA449" s="95"/>
      <c r="AB449" s="95"/>
      <c r="AC449" s="95"/>
      <c r="AD449" s="95"/>
      <c r="AE449" s="95"/>
      <c r="AF449" s="95"/>
      <c r="AJ449" s="289">
        <f>CHOOSE(m_identity,ENWL!AJ449, NPgN!AJ449, NPgY!AJ449, WMID!AJ449, EMID!AJ449, SWALES!AJ449, SWEST!AJ449, LPN!AJ449,SPN!AJ449,EPN!AJ449,SPD!AJ449,SPMW!AJ449,SSEH!AJ449,SSES!AJ449)</f>
        <v>0.17049960348929416</v>
      </c>
      <c r="AK449" s="289">
        <f>CHOOSE(m_identity,ENWL!AK449, NPgN!AK449, NPgY!AK449, WMID!AK449, EMID!AK449, SWALES!AK449, SWEST!AK449, LPN!AK449,SPN!AK449,EPN!AK449,SPD!AK449,SPMW!AK449,SSEH!AK449,SSES!AK449)</f>
        <v>0.17049960348929416</v>
      </c>
      <c r="AL449" s="289">
        <f>CHOOSE(m_identity,ENWL!AL449, NPgN!AL449, NPgY!AL449, WMID!AL449, EMID!AL449, SWALES!AL449, SWEST!AL449, LPN!AL449,SPN!AL449,EPN!AL449,SPD!AL449,SPMW!AL449,SSEH!AL449,SSES!AL449)</f>
        <v>0.17049960348929416</v>
      </c>
      <c r="AM449" s="289">
        <f>CHOOSE(m_identity,ENWL!AM449, NPgN!AM449, NPgY!AM449, WMID!AM449, EMID!AM449, SWALES!AM449, SWEST!AM449, LPN!AM449,SPN!AM449,EPN!AM449,SPD!AM449,SPMW!AM449,SSEH!AM449,SSES!AM449)</f>
        <v>0.17049960348929416</v>
      </c>
      <c r="AN449" s="289">
        <f>CHOOSE(m_identity,ENWL!AN449, NPgN!AN449, NPgY!AN449, WMID!AN449, EMID!AN449, SWALES!AN449, SWEST!AN449, LPN!AN449,SPN!AN449,EPN!AN449,SPD!AN449,SPMW!AN449,SSEH!AN449,SSES!AN449)</f>
        <v>0.17049960348929416</v>
      </c>
      <c r="AO449" s="289">
        <f>CHOOSE(m_identity,ENWL!AO449, NPgN!AO449, NPgY!AO449, WMID!AO449, EMID!AO449, SWALES!AO449, SWEST!AO449, LPN!AO449,SPN!AO449,EPN!AO449,SPD!AO449,SPMW!AO449,SSEH!AO449,SSES!AO449)</f>
        <v>0.17049960348929416</v>
      </c>
      <c r="AP449" s="289">
        <f>CHOOSE(m_identity,ENWL!AP449, NPgN!AP449, NPgY!AP449, WMID!AP449, EMID!AP449, SWALES!AP449, SWEST!AP449, LPN!AP449,SPN!AP449,EPN!AP449,SPD!AP449,SPMW!AP449,SSEH!AP449,SSES!AP449)</f>
        <v>0.17049960348929416</v>
      </c>
      <c r="AQ449" s="289">
        <f>CHOOSE(m_identity,ENWL!AQ449, NPgN!AQ449, NPgY!AQ449, WMID!AQ449, EMID!AQ449, SWALES!AQ449, SWEST!AQ449, LPN!AQ449,SPN!AQ449,EPN!AQ449,SPD!AQ449,SPMW!AQ449,SSEH!AQ449,SSES!AQ449)</f>
        <v>0.17049960348929416</v>
      </c>
    </row>
    <row r="450" spans="4:43" s="154" customFormat="1">
      <c r="E450" s="93" t="s">
        <v>574</v>
      </c>
      <c r="G450" s="154" t="s">
        <v>47</v>
      </c>
      <c r="AJ450" s="289">
        <f>CHOOSE(m_identity,ENWL!AJ450, NPgN!AJ450, NPgY!AJ450, WMID!AJ450, EMID!AJ450, SWALES!AJ450, SWEST!AJ450, LPN!AJ450,SPN!AJ450,EPN!AJ450,SPD!AJ450,SPMW!AJ450,SSEH!AJ450,SSES!AJ450)</f>
        <v>0</v>
      </c>
      <c r="AK450" s="289">
        <f>CHOOSE(m_identity,ENWL!AK450, NPgN!AK450, NPgY!AK450, WMID!AK450, EMID!AK450, SWALES!AK450, SWEST!AK450, LPN!AK450,SPN!AK450,EPN!AK450,SPD!AK450,SPMW!AK450,SSEH!AK450,SSES!AK450)</f>
        <v>0</v>
      </c>
      <c r="AL450" s="289">
        <f>CHOOSE(m_identity,ENWL!AL450, NPgN!AL450, NPgY!AL450, WMID!AL450, EMID!AL450, SWALES!AL450, SWEST!AL450, LPN!AL450,SPN!AL450,EPN!AL450,SPD!AL450,SPMW!AL450,SSEH!AL450,SSES!AL450)</f>
        <v>0</v>
      </c>
      <c r="AM450" s="289">
        <f>CHOOSE(m_identity,ENWL!AM450, NPgN!AM450, NPgY!AM450, WMID!AM450, EMID!AM450, SWALES!AM450, SWEST!AM450, LPN!AM450,SPN!AM450,EPN!AM450,SPD!AM450,SPMW!AM450,SSEH!AM450,SSES!AM450)</f>
        <v>0</v>
      </c>
      <c r="AN450" s="289">
        <f>CHOOSE(m_identity,ENWL!AN450, NPgN!AN450, NPgY!AN450, WMID!AN450, EMID!AN450, SWALES!AN450, SWEST!AN450, LPN!AN450,SPN!AN450,EPN!AN450,SPD!AN450,SPMW!AN450,SSEH!AN450,SSES!AN450)</f>
        <v>0</v>
      </c>
      <c r="AO450" s="289">
        <f>CHOOSE(m_identity,ENWL!AO450, NPgN!AO450, NPgY!AO450, WMID!AO450, EMID!AO450, SWALES!AO450, SWEST!AO450, LPN!AO450,SPN!AO450,EPN!AO450,SPD!AO450,SPMW!AO450,SSEH!AO450,SSES!AO450)</f>
        <v>0</v>
      </c>
      <c r="AP450" s="289">
        <f>CHOOSE(m_identity,ENWL!AP450, NPgN!AP450, NPgY!AP450, WMID!AP450, EMID!AP450, SWALES!AP450, SWEST!AP450, LPN!AP450,SPN!AP450,EPN!AP450,SPD!AP450,SPMW!AP450,SSEH!AP450,SSES!AP450)</f>
        <v>0</v>
      </c>
      <c r="AQ450" s="289">
        <f>CHOOSE(m_identity,ENWL!AQ450, NPgN!AQ450, NPgY!AQ450, WMID!AQ450, EMID!AQ450, SWALES!AQ450, SWEST!AQ450, LPN!AQ450,SPN!AQ450,EPN!AQ450,SPD!AQ450,SPMW!AQ450,SSEH!AQ450,SSES!AQ450)</f>
        <v>0</v>
      </c>
    </row>
    <row r="451" spans="4:43" s="154" customFormat="1">
      <c r="E451" s="93" t="s">
        <v>719</v>
      </c>
      <c r="G451" s="154" t="s">
        <v>47</v>
      </c>
      <c r="AJ451" s="289">
        <f>CHOOSE(m_identity,ENWL!AJ451, NPgN!AJ451, NPgY!AJ451, WMID!AJ451, EMID!AJ451, SWALES!AJ451, SWEST!AJ451, LPN!AJ451,SPN!AJ451,EPN!AJ451,SPD!AJ451,SPMW!AJ451,SSEH!AJ451,SSES!AJ451)</f>
        <v>0</v>
      </c>
      <c r="AK451" s="289">
        <f>CHOOSE(m_identity,ENWL!AK451, NPgN!AK451, NPgY!AK451, WMID!AK451, EMID!AK451, SWALES!AK451, SWEST!AK451, LPN!AK451,SPN!AK451,EPN!AK451,SPD!AK451,SPMW!AK451,SSEH!AK451,SSES!AK451)</f>
        <v>0</v>
      </c>
      <c r="AL451" s="289">
        <f>CHOOSE(m_identity,ENWL!AL451, NPgN!AL451, NPgY!AL451, WMID!AL451, EMID!AL451, SWALES!AL451, SWEST!AL451, LPN!AL451,SPN!AL451,EPN!AL451,SPD!AL451,SPMW!AL451,SSEH!AL451,SSES!AL451)</f>
        <v>0</v>
      </c>
      <c r="AM451" s="289">
        <f>CHOOSE(m_identity,ENWL!AM451, NPgN!AM451, NPgY!AM451, WMID!AM451, EMID!AM451, SWALES!AM451, SWEST!AM451, LPN!AM451,SPN!AM451,EPN!AM451,SPD!AM451,SPMW!AM451,SSEH!AM451,SSES!AM451)</f>
        <v>0</v>
      </c>
      <c r="AN451" s="289">
        <f>CHOOSE(m_identity,ENWL!AN451, NPgN!AN451, NPgY!AN451, WMID!AN451, EMID!AN451, SWALES!AN451, SWEST!AN451, LPN!AN451,SPN!AN451,EPN!AN451,SPD!AN451,SPMW!AN451,SSEH!AN451,SSES!AN451)</f>
        <v>0</v>
      </c>
      <c r="AO451" s="289">
        <f>CHOOSE(m_identity,ENWL!AO451, NPgN!AO451, NPgY!AO451, WMID!AO451, EMID!AO451, SWALES!AO451, SWEST!AO451, LPN!AO451,SPN!AO451,EPN!AO451,SPD!AO451,SPMW!AO451,SSEH!AO451,SSES!AO451)</f>
        <v>0</v>
      </c>
      <c r="AP451" s="289">
        <f>CHOOSE(m_identity,ENWL!AP451, NPgN!AP451, NPgY!AP451, WMID!AP451, EMID!AP451, SWALES!AP451, SWEST!AP451, LPN!AP451,SPN!AP451,EPN!AP451,SPD!AP451,SPMW!AP451,SSEH!AP451,SSES!AP451)</f>
        <v>0</v>
      </c>
      <c r="AQ451" s="289">
        <f>CHOOSE(m_identity,ENWL!AQ451, NPgN!AQ451, NPgY!AQ451, WMID!AQ451, EMID!AQ451, SWALES!AQ451, SWEST!AQ451, LPN!AQ451,SPN!AQ451,EPN!AQ451,SPD!AQ451,SPMW!AQ451,SSEH!AQ451,SSES!AQ451)</f>
        <v>0</v>
      </c>
    </row>
    <row r="452" spans="4:43" s="154" customFormat="1">
      <c r="E452" s="93" t="s">
        <v>705</v>
      </c>
      <c r="G452" s="154" t="s">
        <v>47</v>
      </c>
      <c r="AJ452" s="289">
        <f>CHOOSE(m_identity,ENWL!AJ452, NPgN!AJ452, NPgY!AJ452, WMID!AJ452, EMID!AJ452, SWALES!AJ452, SWEST!AJ452, LPN!AJ452,SPN!AJ452,EPN!AJ452,SPD!AJ452,SPMW!AJ452,SSEH!AJ452,SSES!AJ452)</f>
        <v>0</v>
      </c>
      <c r="AK452" s="289">
        <f>CHOOSE(m_identity,ENWL!AK452, NPgN!AK452, NPgY!AK452, WMID!AK452, EMID!AK452, SWALES!AK452, SWEST!AK452, LPN!AK452,SPN!AK452,EPN!AK452,SPD!AK452,SPMW!AK452,SSEH!AK452,SSES!AK452)</f>
        <v>0</v>
      </c>
      <c r="AL452" s="289">
        <f>CHOOSE(m_identity,ENWL!AL452, NPgN!AL452, NPgY!AL452, WMID!AL452, EMID!AL452, SWALES!AL452, SWEST!AL452, LPN!AL452,SPN!AL452,EPN!AL452,SPD!AL452,SPMW!AL452,SSEH!AL452,SSES!AL452)</f>
        <v>0</v>
      </c>
      <c r="AM452" s="289">
        <f>CHOOSE(m_identity,ENWL!AM452, NPgN!AM452, NPgY!AM452, WMID!AM452, EMID!AM452, SWALES!AM452, SWEST!AM452, LPN!AM452,SPN!AM452,EPN!AM452,SPD!AM452,SPMW!AM452,SSEH!AM452,SSES!AM452)</f>
        <v>0</v>
      </c>
      <c r="AN452" s="289">
        <f>CHOOSE(m_identity,ENWL!AN452, NPgN!AN452, NPgY!AN452, WMID!AN452, EMID!AN452, SWALES!AN452, SWEST!AN452, LPN!AN452,SPN!AN452,EPN!AN452,SPD!AN452,SPMW!AN452,SSEH!AN452,SSES!AN452)</f>
        <v>0</v>
      </c>
      <c r="AO452" s="289">
        <f>CHOOSE(m_identity,ENWL!AO452, NPgN!AO452, NPgY!AO452, WMID!AO452, EMID!AO452, SWALES!AO452, SWEST!AO452, LPN!AO452,SPN!AO452,EPN!AO452,SPD!AO452,SPMW!AO452,SSEH!AO452,SSES!AO452)</f>
        <v>0</v>
      </c>
      <c r="AP452" s="289">
        <f>CHOOSE(m_identity,ENWL!AP452, NPgN!AP452, NPgY!AP452, WMID!AP452, EMID!AP452, SWALES!AP452, SWEST!AP452, LPN!AP452,SPN!AP452,EPN!AP452,SPD!AP452,SPMW!AP452,SSEH!AP452,SSES!AP452)</f>
        <v>0</v>
      </c>
      <c r="AQ452" s="289">
        <f>CHOOSE(m_identity,ENWL!AQ452, NPgN!AQ452, NPgY!AQ452, WMID!AQ452, EMID!AQ452, SWALES!AQ452, SWEST!AQ452, LPN!AQ452,SPN!AQ452,EPN!AQ452,SPD!AQ452,SPMW!AQ452,SSEH!AQ452,SSES!AQ452)</f>
        <v>0</v>
      </c>
    </row>
    <row r="453" spans="4:43" s="44" customFormat="1">
      <c r="E453" s="154" t="s">
        <v>632</v>
      </c>
      <c r="G453" s="44" t="s">
        <v>47</v>
      </c>
      <c r="J453" s="95"/>
      <c r="K453" s="95"/>
      <c r="L453" s="95"/>
      <c r="M453" s="154"/>
      <c r="N453" s="154"/>
      <c r="O453" s="95"/>
      <c r="P453" s="95"/>
      <c r="Q453" s="95"/>
      <c r="R453" s="95"/>
      <c r="S453" s="95"/>
      <c r="T453" s="95"/>
      <c r="U453" s="95"/>
      <c r="V453" s="95"/>
      <c r="W453" s="95"/>
      <c r="X453" s="95"/>
      <c r="Y453" s="95"/>
      <c r="Z453" s="95"/>
      <c r="AA453" s="95"/>
      <c r="AB453" s="95"/>
      <c r="AC453" s="95"/>
      <c r="AD453" s="95"/>
      <c r="AE453" s="95"/>
      <c r="AF453" s="95"/>
      <c r="AJ453" s="289">
        <f>CHOOSE(m_identity,ENWL!AJ453, NPgN!AJ453, NPgY!AJ453, WMID!AJ453, EMID!AJ453, SWALES!AJ453, SWEST!AJ453, LPN!AJ453,SPN!AJ453,EPN!AJ453,SPD!AJ453,SPMW!AJ453,SSEH!AJ453,SSES!AJ453)</f>
        <v>5.7086855322797982E-2</v>
      </c>
      <c r="AK453" s="289">
        <f>CHOOSE(m_identity,ENWL!AK453, NPgN!AK453, NPgY!AK453, WMID!AK453, EMID!AK453, SWALES!AK453, SWEST!AK453, LPN!AK453,SPN!AK453,EPN!AK453,SPD!AK453,SPMW!AK453,SSEH!AK453,SSES!AK453)</f>
        <v>5.7086855322797982E-2</v>
      </c>
      <c r="AL453" s="289">
        <f>CHOOSE(m_identity,ENWL!AL453, NPgN!AL453, NPgY!AL453, WMID!AL453, EMID!AL453, SWALES!AL453, SWEST!AL453, LPN!AL453,SPN!AL453,EPN!AL453,SPD!AL453,SPMW!AL453,SSEH!AL453,SSES!AL453)</f>
        <v>5.7086855322797982E-2</v>
      </c>
      <c r="AM453" s="289">
        <f>CHOOSE(m_identity,ENWL!AM453, NPgN!AM453, NPgY!AM453, WMID!AM453, EMID!AM453, SWALES!AM453, SWEST!AM453, LPN!AM453,SPN!AM453,EPN!AM453,SPD!AM453,SPMW!AM453,SSEH!AM453,SSES!AM453)</f>
        <v>5.7086855322797982E-2</v>
      </c>
      <c r="AN453" s="289">
        <f>CHOOSE(m_identity,ENWL!AN453, NPgN!AN453, NPgY!AN453, WMID!AN453, EMID!AN453, SWALES!AN453, SWEST!AN453, LPN!AN453,SPN!AN453,EPN!AN453,SPD!AN453,SPMW!AN453,SSEH!AN453,SSES!AN453)</f>
        <v>5.7086855322797982E-2</v>
      </c>
      <c r="AO453" s="289">
        <f>CHOOSE(m_identity,ENWL!AO453, NPgN!AO453, NPgY!AO453, WMID!AO453, EMID!AO453, SWALES!AO453, SWEST!AO453, LPN!AO453,SPN!AO453,EPN!AO453,SPD!AO453,SPMW!AO453,SSEH!AO453,SSES!AO453)</f>
        <v>5.7086855322797982E-2</v>
      </c>
      <c r="AP453" s="289">
        <f>CHOOSE(m_identity,ENWL!AP453, NPgN!AP453, NPgY!AP453, WMID!AP453, EMID!AP453, SWALES!AP453, SWEST!AP453, LPN!AP453,SPN!AP453,EPN!AP453,SPD!AP453,SPMW!AP453,SSEH!AP453,SSES!AP453)</f>
        <v>5.7086855322797982E-2</v>
      </c>
      <c r="AQ453" s="289">
        <f>CHOOSE(m_identity,ENWL!AQ453, NPgN!AQ453, NPgY!AQ453, WMID!AQ453, EMID!AQ453, SWALES!AQ453, SWEST!AQ453, LPN!AQ453,SPN!AQ453,EPN!AQ453,SPD!AQ453,SPMW!AQ453,SSEH!AQ453,SSES!AQ453)</f>
        <v>5.7086855322797982E-2</v>
      </c>
    </row>
    <row r="454" spans="4:43" s="154" customFormat="1">
      <c r="AJ454" s="289"/>
      <c r="AK454" s="289"/>
      <c r="AL454" s="289"/>
      <c r="AM454" s="289"/>
      <c r="AN454" s="289"/>
      <c r="AO454" s="289"/>
      <c r="AP454" s="289"/>
      <c r="AQ454" s="289"/>
    </row>
    <row r="455" spans="4:43" s="154" customFormat="1">
      <c r="D455" s="36" t="s">
        <v>428</v>
      </c>
      <c r="E455" s="36"/>
      <c r="F455" s="36"/>
      <c r="G455" s="36"/>
      <c r="H455" s="36"/>
      <c r="I455" s="36"/>
      <c r="J455" s="36"/>
      <c r="K455" s="36"/>
      <c r="L455" s="36"/>
      <c r="M455" s="36"/>
      <c r="N455" s="36"/>
      <c r="O455" s="36"/>
      <c r="P455" s="36"/>
      <c r="Q455" s="36"/>
      <c r="R455" s="36"/>
      <c r="S455" s="36"/>
      <c r="T455" s="36"/>
      <c r="U455" s="36"/>
      <c r="V455" s="36"/>
      <c r="W455" s="36"/>
      <c r="X455" s="36"/>
      <c r="Y455" s="36"/>
      <c r="Z455" s="36"/>
      <c r="AA455" s="36"/>
      <c r="AB455" s="36"/>
      <c r="AC455" s="36"/>
      <c r="AD455" s="36"/>
      <c r="AE455" s="36"/>
      <c r="AF455" s="36"/>
      <c r="AG455" s="36"/>
      <c r="AH455" s="36"/>
      <c r="AI455" s="36"/>
      <c r="AJ455" s="293"/>
      <c r="AK455" s="293"/>
      <c r="AL455" s="293"/>
      <c r="AM455" s="293"/>
      <c r="AN455" s="293"/>
      <c r="AO455" s="293"/>
      <c r="AP455" s="293"/>
      <c r="AQ455" s="293"/>
    </row>
    <row r="456" spans="4:43" s="156" customFormat="1"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33"/>
      <c r="AK456" s="233"/>
      <c r="AL456" s="233"/>
      <c r="AM456" s="233"/>
      <c r="AN456" s="233"/>
      <c r="AO456" s="233"/>
      <c r="AP456" s="233"/>
      <c r="AQ456" s="233"/>
    </row>
    <row r="457" spans="4:43" s="154" customFormat="1">
      <c r="AJ457" s="230"/>
      <c r="AK457" s="230"/>
      <c r="AL457" s="230"/>
      <c r="AM457" s="230"/>
      <c r="AN457" s="230"/>
      <c r="AO457" s="230"/>
      <c r="AP457" s="230"/>
      <c r="AQ457" s="230"/>
    </row>
    <row r="458" spans="4:43" s="154" customFormat="1">
      <c r="E458" s="93" t="s">
        <v>23</v>
      </c>
      <c r="G458" s="154" t="s">
        <v>47</v>
      </c>
      <c r="AJ458" s="237">
        <f t="shared" ref="AJ458:AQ464" si="130">AJ407+AJ417+AJ427+AJ437+AJ447</f>
        <v>1</v>
      </c>
      <c r="AK458" s="237">
        <f t="shared" si="130"/>
        <v>1</v>
      </c>
      <c r="AL458" s="237">
        <f t="shared" si="130"/>
        <v>1</v>
      </c>
      <c r="AM458" s="237">
        <f t="shared" si="130"/>
        <v>1</v>
      </c>
      <c r="AN458" s="237">
        <f t="shared" si="130"/>
        <v>1</v>
      </c>
      <c r="AO458" s="237">
        <f t="shared" si="130"/>
        <v>1</v>
      </c>
      <c r="AP458" s="237">
        <f t="shared" si="130"/>
        <v>1</v>
      </c>
      <c r="AQ458" s="237">
        <f t="shared" si="130"/>
        <v>1</v>
      </c>
    </row>
    <row r="459" spans="4:43" s="154" customFormat="1">
      <c r="E459" s="154" t="s">
        <v>546</v>
      </c>
      <c r="G459" s="154" t="s">
        <v>47</v>
      </c>
      <c r="AJ459" s="237">
        <f t="shared" si="130"/>
        <v>1</v>
      </c>
      <c r="AK459" s="237">
        <f t="shared" si="130"/>
        <v>1</v>
      </c>
      <c r="AL459" s="237">
        <f t="shared" si="130"/>
        <v>1</v>
      </c>
      <c r="AM459" s="237">
        <f t="shared" si="130"/>
        <v>1</v>
      </c>
      <c r="AN459" s="237">
        <f t="shared" si="130"/>
        <v>1</v>
      </c>
      <c r="AO459" s="237">
        <f t="shared" si="130"/>
        <v>1</v>
      </c>
      <c r="AP459" s="237">
        <f t="shared" si="130"/>
        <v>1</v>
      </c>
      <c r="AQ459" s="237">
        <f t="shared" si="130"/>
        <v>1</v>
      </c>
    </row>
    <row r="460" spans="4:43" s="154" customFormat="1">
      <c r="E460" s="93" t="s">
        <v>736</v>
      </c>
      <c r="G460" s="154" t="s">
        <v>47</v>
      </c>
      <c r="AJ460" s="237">
        <f t="shared" si="130"/>
        <v>0.99999999999999989</v>
      </c>
      <c r="AK460" s="237">
        <f t="shared" si="130"/>
        <v>0.99999999999999989</v>
      </c>
      <c r="AL460" s="237">
        <f t="shared" si="130"/>
        <v>0.99999999999999989</v>
      </c>
      <c r="AM460" s="237">
        <f t="shared" si="130"/>
        <v>0.99999999999999989</v>
      </c>
      <c r="AN460" s="237">
        <f t="shared" si="130"/>
        <v>0.99999999999999989</v>
      </c>
      <c r="AO460" s="237">
        <f t="shared" si="130"/>
        <v>0.99999999999999989</v>
      </c>
      <c r="AP460" s="237">
        <f t="shared" si="130"/>
        <v>0.99999999999999989</v>
      </c>
      <c r="AQ460" s="237">
        <f t="shared" si="130"/>
        <v>0.99999999999999989</v>
      </c>
    </row>
    <row r="461" spans="4:43" s="154" customFormat="1">
      <c r="E461" s="93" t="s">
        <v>574</v>
      </c>
      <c r="AJ461" s="237">
        <f t="shared" si="130"/>
        <v>1</v>
      </c>
      <c r="AK461" s="237">
        <f t="shared" si="130"/>
        <v>1</v>
      </c>
      <c r="AL461" s="237">
        <f t="shared" si="130"/>
        <v>1</v>
      </c>
      <c r="AM461" s="237">
        <f t="shared" si="130"/>
        <v>1</v>
      </c>
      <c r="AN461" s="237">
        <f t="shared" si="130"/>
        <v>1</v>
      </c>
      <c r="AO461" s="237">
        <f t="shared" si="130"/>
        <v>1</v>
      </c>
      <c r="AP461" s="237">
        <f t="shared" si="130"/>
        <v>1</v>
      </c>
      <c r="AQ461" s="237">
        <f t="shared" si="130"/>
        <v>1</v>
      </c>
    </row>
    <row r="462" spans="4:43" s="154" customFormat="1">
      <c r="E462" s="93" t="s">
        <v>719</v>
      </c>
      <c r="G462" s="154" t="s">
        <v>47</v>
      </c>
      <c r="AJ462" s="237">
        <f t="shared" si="130"/>
        <v>1</v>
      </c>
      <c r="AK462" s="237">
        <f t="shared" si="130"/>
        <v>1</v>
      </c>
      <c r="AL462" s="237">
        <f t="shared" si="130"/>
        <v>1</v>
      </c>
      <c r="AM462" s="237">
        <f t="shared" si="130"/>
        <v>1</v>
      </c>
      <c r="AN462" s="237">
        <f t="shared" si="130"/>
        <v>1</v>
      </c>
      <c r="AO462" s="237">
        <f t="shared" si="130"/>
        <v>1</v>
      </c>
      <c r="AP462" s="237">
        <f t="shared" si="130"/>
        <v>1</v>
      </c>
      <c r="AQ462" s="237">
        <f t="shared" si="130"/>
        <v>1</v>
      </c>
    </row>
    <row r="463" spans="4:43" s="154" customFormat="1">
      <c r="E463" s="93" t="s">
        <v>705</v>
      </c>
      <c r="AJ463" s="237">
        <f t="shared" si="130"/>
        <v>1</v>
      </c>
      <c r="AK463" s="237">
        <f t="shared" si="130"/>
        <v>1</v>
      </c>
      <c r="AL463" s="237">
        <f t="shared" si="130"/>
        <v>1</v>
      </c>
      <c r="AM463" s="237">
        <f t="shared" si="130"/>
        <v>1</v>
      </c>
      <c r="AN463" s="237">
        <f t="shared" si="130"/>
        <v>1</v>
      </c>
      <c r="AO463" s="237">
        <f t="shared" si="130"/>
        <v>1</v>
      </c>
      <c r="AP463" s="237">
        <f t="shared" si="130"/>
        <v>1</v>
      </c>
      <c r="AQ463" s="237">
        <f t="shared" si="130"/>
        <v>1</v>
      </c>
    </row>
    <row r="464" spans="4:43" s="154" customFormat="1">
      <c r="E464" s="154" t="s">
        <v>632</v>
      </c>
      <c r="G464" s="154" t="s">
        <v>47</v>
      </c>
      <c r="AJ464" s="237">
        <f t="shared" si="130"/>
        <v>0.99999999999999989</v>
      </c>
      <c r="AK464" s="237">
        <f t="shared" si="130"/>
        <v>0.99999999999999989</v>
      </c>
      <c r="AL464" s="237">
        <f t="shared" si="130"/>
        <v>0.99999999999999989</v>
      </c>
      <c r="AM464" s="237">
        <f t="shared" si="130"/>
        <v>0.99999999999999989</v>
      </c>
      <c r="AN464" s="237">
        <f t="shared" si="130"/>
        <v>0.99999999999999989</v>
      </c>
      <c r="AO464" s="237">
        <f t="shared" si="130"/>
        <v>0.99999999999999989</v>
      </c>
      <c r="AP464" s="237">
        <f t="shared" si="130"/>
        <v>0.99999999999999989</v>
      </c>
      <c r="AQ464" s="237">
        <f t="shared" si="130"/>
        <v>0.99999999999999989</v>
      </c>
    </row>
    <row r="465" spans="2:43" s="154" customFormat="1">
      <c r="AJ465" s="237"/>
      <c r="AK465" s="237"/>
      <c r="AL465" s="237"/>
      <c r="AM465" s="237"/>
      <c r="AN465" s="237"/>
      <c r="AO465" s="237"/>
      <c r="AP465" s="237"/>
      <c r="AQ465" s="237"/>
    </row>
    <row r="466" spans="2:43" s="156" customFormat="1">
      <c r="B466" s="15"/>
      <c r="C466" s="15"/>
      <c r="D466" s="15" t="s">
        <v>505</v>
      </c>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294"/>
      <c r="AK466" s="294"/>
      <c r="AL466" s="294"/>
      <c r="AM466" s="294"/>
      <c r="AN466" s="294"/>
      <c r="AO466" s="294"/>
      <c r="AP466" s="294"/>
      <c r="AQ466" s="294"/>
    </row>
    <row r="467" spans="2:43" s="156" customFormat="1" ht="15" customHeight="1">
      <c r="AJ467" s="147"/>
      <c r="AK467" s="147"/>
      <c r="AL467" s="147"/>
      <c r="AM467" s="147"/>
      <c r="AN467" s="147"/>
      <c r="AO467" s="147"/>
      <c r="AP467" s="147"/>
      <c r="AQ467" s="147"/>
    </row>
    <row r="468" spans="2:43" s="156" customFormat="1" ht="15" customHeight="1">
      <c r="E468" s="156" t="s">
        <v>506</v>
      </c>
      <c r="G468" s="156" t="s">
        <v>657</v>
      </c>
      <c r="AJ468" s="295">
        <f>CHOOSE(m_identity,ENWL!AJ468, NPgN!AJ468, NPgY!AJ468, WMID!AJ468, EMID!AJ468, SWALES!AJ468, SWEST!AJ468, LPN!AJ468,SPN!AJ468,EPN!AJ468,SPD!AJ468,SPMW!AJ468,SSEH!AJ468,SSES!AJ468)</f>
        <v>1.5633743969242253</v>
      </c>
      <c r="AK468" s="295">
        <f>CHOOSE(m_identity,ENWL!AK468, NPgN!AK468, NPgY!AK468, WMID!AK468, EMID!AK468, SWALES!AK468, SWEST!AK468, LPN!AK468,SPN!AK468,EPN!AK468,SPD!AK468,SPMW!AK468,SSEH!AK468,SSES!AK468)</f>
        <v>1.5686707892221732</v>
      </c>
      <c r="AL468" s="295">
        <f>CHOOSE(m_identity,ENWL!AL468, NPgN!AL468, NPgY!AL468, WMID!AL468, EMID!AL468, SWALES!AL468, SWEST!AL468, LPN!AL468,SPN!AL468,EPN!AL468,SPD!AL468,SPMW!AL468,SSEH!AL468,SSES!AL468)</f>
        <v>1.5686136050136668</v>
      </c>
      <c r="AM468" s="295">
        <f>CHOOSE(m_identity,ENWL!AM468, NPgN!AM468, NPgY!AM468, WMID!AM468, EMID!AM468, SWALES!AM468, SWEST!AM468, LPN!AM468,SPN!AM468,EPN!AM468,SPD!AM468,SPMW!AM468,SSEH!AM468,SSES!AM468)</f>
        <v>1.568584577606454</v>
      </c>
      <c r="AN468" s="295">
        <f>CHOOSE(m_identity,ENWL!AN468, NPgN!AN468, NPgY!AN468, WMID!AN468, EMID!AN468, SWALES!AN468, SWEST!AN468, LPN!AN468,SPN!AN468,EPN!AN468,SPD!AN468,SPMW!AN468,SSEH!AN468,SSES!AN468)</f>
        <v>1.5685631013176282</v>
      </c>
      <c r="AO468" s="295">
        <f>CHOOSE(m_identity,ENWL!AO468, NPgN!AO468, NPgY!AO468, WMID!AO468, EMID!AO468, SWALES!AO468, SWEST!AO468, LPN!AO468,SPN!AO468,EPN!AO468,SPD!AO468,SPMW!AO468,SSEH!AO468,SSES!AO468)</f>
        <v>1.5685713376859443</v>
      </c>
      <c r="AP468" s="295">
        <f>CHOOSE(m_identity,ENWL!AP468, NPgN!AP468, NPgY!AP468, WMID!AP468, EMID!AP468, SWALES!AP468, SWEST!AP468, LPN!AP468,SPN!AP468,EPN!AP468,SPD!AP468,SPMW!AP468,SSEH!AP468,SSES!AP468)</f>
        <v>1.5685677095013983</v>
      </c>
      <c r="AQ468" s="295">
        <f>CHOOSE(m_identity,ENWL!AQ468, NPgN!AQ468, NPgY!AQ468, WMID!AQ468, EMID!AQ468, SWALES!AQ468, SWEST!AQ468, LPN!AQ468,SPN!AQ468,EPN!AQ468,SPD!AQ468,SPMW!AQ468,SSEH!AQ468,SSES!AQ468)</f>
        <v>1.5685952954262763</v>
      </c>
    </row>
    <row r="469" spans="2:43" ht="15" customHeight="1">
      <c r="AJ469" s="147"/>
      <c r="AK469" s="147"/>
      <c r="AL469" s="147"/>
      <c r="AM469" s="147"/>
      <c r="AN469" s="147"/>
      <c r="AO469" s="147"/>
      <c r="AP469" s="147"/>
      <c r="AQ469" s="147"/>
    </row>
    <row r="470" spans="2:43" s="156" customFormat="1">
      <c r="B470" s="15"/>
      <c r="C470" s="15"/>
      <c r="D470" s="15" t="s">
        <v>639</v>
      </c>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294"/>
      <c r="AK470" s="294"/>
      <c r="AL470" s="294"/>
      <c r="AM470" s="294"/>
      <c r="AN470" s="294"/>
      <c r="AO470" s="294"/>
      <c r="AP470" s="294"/>
      <c r="AQ470" s="294"/>
    </row>
    <row r="471" spans="2:43" s="152" customFormat="1" ht="15" customHeight="1">
      <c r="AJ471" s="150"/>
      <c r="AK471" s="150"/>
      <c r="AL471" s="150"/>
      <c r="AM471" s="150"/>
      <c r="AN471" s="150"/>
      <c r="AO471" s="150"/>
      <c r="AP471" s="150"/>
      <c r="AQ471" s="150"/>
    </row>
    <row r="472" spans="2:43" s="152" customFormat="1" ht="15" customHeight="1">
      <c r="E472" s="152" t="s">
        <v>642</v>
      </c>
      <c r="G472" s="156" t="s">
        <v>657</v>
      </c>
      <c r="AJ472" s="227">
        <f>CHOOSE(m_identity,ENWL!AJ472, NPgN!AJ472, NPgY!AJ472, WMID!AJ472, EMID!AJ472, SWALES!AJ472, SWEST!AJ472, LPN!AJ472,SPN!AJ472,EPN!AJ472,SPD!AJ472,SPMW!AJ472,SSEH!AJ472,SSES!AJ472)</f>
        <v>-16.922422342166954</v>
      </c>
      <c r="AK472" s="227">
        <f>CHOOSE(m_identity,ENWL!AK472, NPgN!AK472, NPgY!AK472, WMID!AK472, EMID!AK472, SWALES!AK472, SWEST!AK472, LPN!AK472,SPN!AK472,EPN!AK472,SPD!AK472,SPMW!AK472,SSEH!AK472,SSES!AK472)</f>
        <v>-15.281952671227749</v>
      </c>
      <c r="AL472" s="227">
        <f>CHOOSE(m_identity,ENWL!AL472, NPgN!AL472, NPgY!AL472, WMID!AL472, EMID!AL472, SWALES!AL472, SWEST!AL472, LPN!AL472,SPN!AL472,EPN!AL472,SPD!AL472,SPMW!AL472,SSEH!AL472,SSES!AL472)</f>
        <v>-12.282382349445506</v>
      </c>
      <c r="AM472" s="227">
        <f>CHOOSE(m_identity,ENWL!AM472, NPgN!AM472, NPgY!AM472, WMID!AM472, EMID!AM472, SWALES!AM472, SWEST!AM472, LPN!AM472,SPN!AM472,EPN!AM472,SPD!AM472,SPMW!AM472,SSEH!AM472,SSES!AM472)</f>
        <v>-10.408685093159399</v>
      </c>
      <c r="AN472" s="227">
        <f>CHOOSE(m_identity,ENWL!AN472, NPgN!AN472, NPgY!AN472, WMID!AN472, EMID!AN472, SWALES!AN472, SWEST!AN472, LPN!AN472,SPN!AN472,EPN!AN472,SPD!AN472,SPMW!AN472,SSEH!AN472,SSES!AN472)</f>
        <v>-0.74534648002296677</v>
      </c>
      <c r="AO472" s="227">
        <f>CHOOSE(m_identity,ENWL!AO472, NPgN!AO472, NPgY!AO472, WMID!AO472, EMID!AO472, SWALES!AO472, SWEST!AO472, LPN!AO472,SPN!AO472,EPN!AO472,SPD!AO472,SPMW!AO472,SSEH!AO472,SSES!AO472)</f>
        <v>1.4482592984731113</v>
      </c>
      <c r="AP472" s="227">
        <f>CHOOSE(m_identity,ENWL!AP472, NPgN!AP472, NPgY!AP472, WMID!AP472, EMID!AP472, SWALES!AP472, SWEST!AP472, LPN!AP472,SPN!AP472,EPN!AP472,SPD!AP472,SPMW!AP472,SSEH!AP472,SSES!AP472)</f>
        <v>25.552114174602103</v>
      </c>
      <c r="AQ472" s="227">
        <f>CHOOSE(m_identity,ENWL!AQ472, NPgN!AQ472, NPgY!AQ472, WMID!AQ472, EMID!AQ472, SWALES!AQ472, SWEST!AQ472, LPN!AQ472,SPN!AQ472,EPN!AQ472,SPD!AQ472,SPMW!AQ472,SSEH!AQ472,SSES!AQ472)</f>
        <v>28.856234930889478</v>
      </c>
    </row>
    <row r="473" spans="2:43" ht="15" customHeight="1">
      <c r="E473" s="156" t="s">
        <v>647</v>
      </c>
      <c r="G473" s="156" t="s">
        <v>657</v>
      </c>
      <c r="AJ473" s="227">
        <f>CHOOSE(m_identity,ENWL!AJ473, NPgN!AJ473, NPgY!AJ473, WMID!AJ473, EMID!AJ473, SWALES!AJ473, SWEST!AJ473, LPN!AJ473,SPN!AJ473,EPN!AJ473,SPD!AJ473,SPMW!AJ473,SSEH!AJ473,SSES!AJ473)</f>
        <v>0.39776758095931602</v>
      </c>
      <c r="AK473" s="227">
        <f>CHOOSE(m_identity,ENWL!AK473, NPgN!AK473, NPgY!AK473, WMID!AK473, EMID!AK473, SWALES!AK473, SWEST!AK473, LPN!AK473,SPN!AK473,EPN!AK473,SPD!AK473,SPMW!AK473,SSEH!AK473,SSES!AK473)</f>
        <v>1.1553327973824956</v>
      </c>
      <c r="AL473" s="227">
        <f>CHOOSE(m_identity,ENWL!AL473, NPgN!AL473, NPgY!AL473, WMID!AL473, EMID!AL473, SWALES!AL473, SWEST!AL473, LPN!AL473,SPN!AL473,EPN!AL473,SPD!AL473,SPMW!AL473,SSEH!AL473,SSES!AL473)</f>
        <v>1.8048489911567855</v>
      </c>
      <c r="AM473" s="227">
        <f>CHOOSE(m_identity,ENWL!AM473, NPgN!AM473, NPgY!AM473, WMID!AM473, EMID!AM473, SWALES!AM473, SWEST!AM473, LPN!AM473,SPN!AM473,EPN!AM473,SPD!AM473,SPMW!AM473,SSEH!AM473,SSES!AM473)</f>
        <v>2.340469196727029</v>
      </c>
      <c r="AN473" s="227">
        <f>CHOOSE(m_identity,ENWL!AN473, NPgN!AN473, NPgY!AN473, WMID!AN473, EMID!AN473, SWALES!AN473, SWEST!AN473, LPN!AN473,SPN!AN473,EPN!AN473,SPD!AN473,SPMW!AN473,SSEH!AN473,SSES!AN473)</f>
        <v>2.6052123583765883</v>
      </c>
      <c r="AO473" s="227">
        <f>CHOOSE(m_identity,ENWL!AO473, NPgN!AO473, NPgY!AO473, WMID!AO473, EMID!AO473, SWALES!AO473, SWEST!AO473, LPN!AO473,SPN!AO473,EPN!AO473,SPD!AO473,SPMW!AO473,SSEH!AO473,SSES!AO473)</f>
        <v>2.5910060378303261</v>
      </c>
      <c r="AP473" s="227">
        <f>CHOOSE(m_identity,ENWL!AP473, NPgN!AP473, NPgY!AP473, WMID!AP473, EMID!AP473, SWALES!AP473, SWEST!AP473, LPN!AP473,SPN!AP473,EPN!AP473,SPD!AP473,SPMW!AP473,SSEH!AP473,SSES!AP473)</f>
        <v>1.9579267340766278</v>
      </c>
      <c r="AQ473" s="227">
        <f>CHOOSE(m_identity,ENWL!AQ473, NPgN!AQ473, NPgY!AQ473, WMID!AQ473, EMID!AQ473, SWALES!AQ473, SWEST!AQ473, LPN!AQ473,SPN!AQ473,EPN!AQ473,SPD!AQ473,SPMW!AQ473,SSEH!AQ473,SSES!AQ473)</f>
        <v>0.67894763262946711</v>
      </c>
    </row>
    <row r="474" spans="2:43" ht="15" customHeight="1">
      <c r="E474" s="156" t="s">
        <v>648</v>
      </c>
      <c r="G474" s="156" t="s">
        <v>657</v>
      </c>
      <c r="AJ474" s="11">
        <f>AJ486</f>
        <v>0</v>
      </c>
      <c r="AK474" s="156">
        <f t="shared" ref="AK474:AQ474" si="131">AK486</f>
        <v>0</v>
      </c>
      <c r="AL474" s="156">
        <f t="shared" si="131"/>
        <v>0</v>
      </c>
      <c r="AM474" s="156">
        <f t="shared" si="131"/>
        <v>0</v>
      </c>
      <c r="AN474" s="156">
        <f t="shared" si="131"/>
        <v>0</v>
      </c>
      <c r="AO474" s="156">
        <f t="shared" si="131"/>
        <v>0</v>
      </c>
      <c r="AP474" s="156">
        <f t="shared" si="131"/>
        <v>0</v>
      </c>
      <c r="AQ474" s="156">
        <f t="shared" si="131"/>
        <v>0</v>
      </c>
    </row>
    <row r="475" spans="2:43" ht="15" customHeight="1"/>
    <row r="476" spans="2:43" ht="15" customHeight="1">
      <c r="E476" s="156" t="s">
        <v>644</v>
      </c>
    </row>
    <row r="477" spans="2:43" ht="15" customHeight="1"/>
    <row r="478" spans="2:43" ht="15" customHeight="1">
      <c r="E478" s="156" t="s">
        <v>849</v>
      </c>
      <c r="AJ478" s="368">
        <f>CHOOSE(m_identity,ENWL!AJ478, NPgN!AJ478, NPgY!AJ478, WMID!AJ478, EMID!AJ478, SWALES!AJ478, SWEST!AJ478, LPN!AJ478,SPN!AJ478,EPN!AJ478,SPD!AJ478,SPMW!AJ478,SSEH!AJ478,SSES!AJ478)</f>
        <v>3.7574999999999997E-2</v>
      </c>
      <c r="AK478" s="368">
        <f>CHOOSE(m_identity,ENWL!AK478, NPgN!AK478, NPgY!AK478, WMID!AK478, EMID!AK478, SWALES!AK478, SWEST!AK478, LPN!AK478,SPN!AK478,EPN!AK478,SPD!AK478,SPMW!AK478,SSEH!AK478,SSES!AK478)</f>
        <v>3.7574999999999997E-2</v>
      </c>
      <c r="AL478" s="368">
        <f>CHOOSE(m_identity,ENWL!AL478, NPgN!AL478, NPgY!AL478, WMID!AL478, EMID!AL478, SWALES!AL478, SWEST!AL478, LPN!AL478,SPN!AL478,EPN!AL478,SPD!AL478,SPMW!AL478,SSEH!AL478,SSES!AL478)</f>
        <v>3.7574999999999997E-2</v>
      </c>
      <c r="AM478" s="368">
        <f>CHOOSE(m_identity,ENWL!AM478, NPgN!AM478, NPgY!AM478, WMID!AM478, EMID!AM478, SWALES!AM478, SWEST!AM478, LPN!AM478,SPN!AM478,EPN!AM478,SPD!AM478,SPMW!AM478,SSEH!AM478,SSES!AM478)</f>
        <v>3.7574999999999997E-2</v>
      </c>
      <c r="AN478" s="368">
        <f>CHOOSE(m_identity,ENWL!AN478, NPgN!AN478, NPgY!AN478, WMID!AN478, EMID!AN478, SWALES!AN478, SWEST!AN478, LPN!AN478,SPN!AN478,EPN!AN478,SPD!AN478,SPMW!AN478,SSEH!AN478,SSES!AN478)</f>
        <v>3.7574999999999997E-2</v>
      </c>
      <c r="AO478" s="368">
        <f>CHOOSE(m_identity,ENWL!AO478, NPgN!AO478, NPgY!AO478, WMID!AO478, EMID!AO478, SWALES!AO478, SWEST!AO478, LPN!AO478,SPN!AO478,EPN!AO478,SPD!AO478,SPMW!AO478,SSEH!AO478,SSES!AO478)</f>
        <v>3.7574999999999997E-2</v>
      </c>
      <c r="AP478" s="368">
        <f>CHOOSE(m_identity,ENWL!AP478, NPgN!AP478, NPgY!AP478, WMID!AP478, EMID!AP478, SWALES!AP478, SWEST!AP478, LPN!AP478,SPN!AP478,EPN!AP478,SPD!AP478,SPMW!AP478,SSEH!AP478,SSES!AP478)</f>
        <v>3.7574999999999997E-2</v>
      </c>
      <c r="AQ478" s="368">
        <f>CHOOSE(m_identity,ENWL!AQ478, NPgN!AQ478, NPgY!AQ478, WMID!AQ478, EMID!AQ478, SWALES!AQ478, SWEST!AQ478, LPN!AQ478,SPN!AQ478,EPN!AQ478,SPD!AQ478,SPMW!AQ478,SSEH!AQ478,SSES!AQ478)</f>
        <v>3.7574999999999997E-2</v>
      </c>
    </row>
    <row r="479" spans="2:43" ht="15" customHeight="1">
      <c r="E479" s="156" t="s">
        <v>645</v>
      </c>
      <c r="AJ479" s="230">
        <f>AJ53</f>
        <v>3.7574999999999997E-2</v>
      </c>
      <c r="AK479" s="230">
        <f t="shared" ref="AK479:AQ479" si="132">AK53</f>
        <v>3.7574999999999997E-2</v>
      </c>
      <c r="AL479" s="230">
        <f t="shared" si="132"/>
        <v>3.7574999999999997E-2</v>
      </c>
      <c r="AM479" s="230">
        <f t="shared" si="132"/>
        <v>3.7574999999999997E-2</v>
      </c>
      <c r="AN479" s="230">
        <f t="shared" si="132"/>
        <v>3.7574999999999997E-2</v>
      </c>
      <c r="AO479" s="230">
        <f t="shared" si="132"/>
        <v>3.7574999999999997E-2</v>
      </c>
      <c r="AP479" s="230">
        <f t="shared" si="132"/>
        <v>3.7574999999999997E-2</v>
      </c>
      <c r="AQ479" s="230">
        <f t="shared" si="132"/>
        <v>3.7574999999999997E-2</v>
      </c>
    </row>
    <row r="480" spans="2:43" ht="15" customHeight="1"/>
    <row r="481" spans="2:43" ht="15" customHeight="1">
      <c r="E481" s="156" t="s">
        <v>646</v>
      </c>
    </row>
    <row r="482" spans="2:43" ht="15" customHeight="1">
      <c r="E482" s="155" t="s">
        <v>638</v>
      </c>
      <c r="AJ482" s="227">
        <f>CHOOSE(m_identity,ENWL!AJ482, NPgN!AJ482, NPgY!AJ482, WMID!AJ482, EMID!AJ482, SWALES!AJ482, SWEST!AJ482, LPN!AJ482,SPN!AJ482,EPN!AJ482,SPD!AJ482,SPMW!AJ482,SSEH!AJ482,SSES!AJ482)</f>
        <v>0</v>
      </c>
      <c r="AK482" s="227">
        <f>CHOOSE(m_identity,ENWL!AK482, NPgN!AK482, NPgY!AK482, WMID!AK482, EMID!AK482, SWALES!AK482, SWEST!AK482, LPN!AK482,SPN!AK482,EPN!AK482,SPD!AK482,SPMW!AK482,SSEH!AK482,SSES!AK482)</f>
        <v>-21.171927130236384</v>
      </c>
      <c r="AL482" s="227">
        <f>CHOOSE(m_identity,ENWL!AL482, NPgN!AL482, NPgY!AL482, WMID!AL482, EMID!AL482, SWALES!AL482, SWEST!AL482, LPN!AL482,SPN!AL482,EPN!AL482,SPD!AL482,SPMW!AL482,SSEH!AL482,SSES!AL482)</f>
        <v>-40.322834361652895</v>
      </c>
      <c r="AM482" s="227">
        <f>CHOOSE(m_identity,ENWL!AM482, NPgN!AM482, NPgY!AM482, WMID!AM482, EMID!AM482, SWALES!AM482, SWEST!AM482, LPN!AM482,SPN!AM482,EPN!AM482,SPD!AM482,SPMW!AM482,SSEH!AM482,SSES!AM482)</f>
        <v>-55.743651585305827</v>
      </c>
      <c r="AN482" s="227">
        <f>CHOOSE(m_identity,ENWL!AN482, NPgN!AN482, NPgY!AN482, WMID!AN482, EMID!AN482, SWALES!AN482, SWEST!AN482, LPN!AN482,SPN!AN482,EPN!AN482,SPD!AN482,SPMW!AN482,SSEH!AN482,SSES!AN482)</f>
        <v>-68.832227862275772</v>
      </c>
      <c r="AO482" s="227">
        <f>CHOOSE(m_identity,ENWL!AO482, NPgN!AO482, NPgY!AO482, WMID!AO482, EMID!AO482, SWALES!AO482, SWEST!AO482, LPN!AO482,SPN!AO482,EPN!AO482,SPD!AO482,SPMW!AO482,SSEH!AO482,SSES!AO482)</f>
        <v>-69.835097716215103</v>
      </c>
      <c r="AP482" s="227">
        <f>CHOOSE(m_identity,ENWL!AP482, NPgN!AP482, NPgY!AP482, WMID!AP482, EMID!AP482, SWALES!AP482, SWEST!AP482, LPN!AP482,SPN!AP482,EPN!AP482,SPD!AP482,SPMW!AP482,SSEH!AP482,SSES!AP482)</f>
        <v>-68.076057034205689</v>
      </c>
      <c r="AQ482" s="227">
        <f>CHOOSE(m_identity,ENWL!AQ482, NPgN!AQ482, NPgY!AQ482, WMID!AQ482, EMID!AQ482, SWALES!AQ482, SWEST!AQ482, LPN!AQ482,SPN!AQ482,EPN!AQ482,SPD!AQ482,SPMW!AQ482,SSEH!AQ482,SSES!AQ482)</f>
        <v>-36.138247217736989</v>
      </c>
    </row>
    <row r="483" spans="2:43" ht="15" customHeight="1">
      <c r="E483" s="155" t="s">
        <v>640</v>
      </c>
      <c r="AJ483" s="227">
        <f>CHOOSE(m_identity,ENWL!AJ483, NPgN!AJ483, NPgY!AJ483, WMID!AJ483, EMID!AJ483, SWALES!AJ483, SWEST!AJ483, LPN!AJ483,SPN!AJ483,EPN!AJ483,SPD!AJ483,SPMW!AJ483,SSEH!AJ483,SSES!AJ483)</f>
        <v>-21.171927130236384</v>
      </c>
      <c r="AK483" s="227">
        <f>CHOOSE(m_identity,ENWL!AK483, NPgN!AK483, NPgY!AK483, WMID!AK483, EMID!AK483, SWALES!AK483, SWEST!AK483, LPN!AK483,SPN!AK483,EPN!AK483,SPD!AK483,SPMW!AK483,SSEH!AK483,SSES!AK483)</f>
        <v>-19.150907231416511</v>
      </c>
      <c r="AL483" s="227">
        <f>CHOOSE(m_identity,ENWL!AL483, NPgN!AL483, NPgY!AL483, WMID!AL483, EMID!AL483, SWALES!AL483, SWEST!AL483, LPN!AL483,SPN!AL483,EPN!AL483,SPD!AL483,SPMW!AL483,SSEH!AL483,SSES!AL483)</f>
        <v>-15.420817223652932</v>
      </c>
      <c r="AM483" s="227">
        <f>CHOOSE(m_identity,ENWL!AM483, NPgN!AM483, NPgY!AM483, WMID!AM483, EMID!AM483, SWALES!AM483, SWEST!AM483, LPN!AM483,SPN!AM483,EPN!AM483,SPD!AM483,SPMW!AM483,SSEH!AM483,SSES!AM483)</f>
        <v>-13.088576276969945</v>
      </c>
      <c r="AN483" s="227">
        <f>CHOOSE(m_identity,ENWL!AN483, NPgN!AN483, NPgY!AN483, WMID!AN483, EMID!AN483, SWALES!AN483, SWEST!AN483, LPN!AN483,SPN!AN483,EPN!AN483,SPD!AN483,SPMW!AN483,SSEH!AN483,SSES!AN483)</f>
        <v>-1.0028698539393304</v>
      </c>
      <c r="AO483" s="227">
        <f>CHOOSE(m_identity,ENWL!AO483, NPgN!AO483, NPgY!AO483, WMID!AO483, EMID!AO483, SWALES!AO483, SWEST!AO483, LPN!AO483,SPN!AO483,EPN!AO483,SPD!AO483,SPMW!AO483,SSEH!AO483,SSES!AO483)</f>
        <v>1.7590406820094131</v>
      </c>
      <c r="AP483" s="227">
        <f>CHOOSE(m_identity,ENWL!AP483, NPgN!AP483, NPgY!AP483, WMID!AP483, EMID!AP483, SWALES!AP483, SWEST!AP483, LPN!AP483,SPN!AP483,EPN!AP483,SPD!AP483,SPMW!AP483,SSEH!AP483,SSES!AP483)</f>
        <v>31.9378098164687</v>
      </c>
      <c r="AQ483" s="227">
        <f>CHOOSE(m_identity,ENWL!AQ483, NPgN!AQ483, NPgY!AQ483, WMID!AQ483, EMID!AQ483, SWALES!AQ483, SWEST!AQ483, LPN!AQ483,SPN!AQ483,EPN!AQ483,SPD!AQ483,SPMW!AQ483,SSEH!AQ483,SSES!AQ483)</f>
        <v>36.138267432916848</v>
      </c>
    </row>
    <row r="484" spans="2:43" ht="15" customHeight="1">
      <c r="E484" s="190" t="s">
        <v>641</v>
      </c>
      <c r="AJ484" s="227">
        <f>CHOOSE(m_identity,ENWL!AJ484, NPgN!AJ484, NPgY!AJ484, WMID!AJ484, EMID!AJ484, SWALES!AJ484, SWEST!AJ484, LPN!AJ484,SPN!AJ484,EPN!AJ484,SPD!AJ484,SPMW!AJ484,SSEH!AJ484,SSES!AJ484)</f>
        <v>-21.171927130236384</v>
      </c>
      <c r="AK484" s="227">
        <f>CHOOSE(m_identity,ENWL!AK484, NPgN!AK484, NPgY!AK484, WMID!AK484, EMID!AK484, SWALES!AK484, SWEST!AK484, LPN!AK484,SPN!AK484,EPN!AK484,SPD!AK484,SPMW!AK484,SSEH!AK484,SSES!AK484)</f>
        <v>-40.322834361652895</v>
      </c>
      <c r="AL484" s="227">
        <f>CHOOSE(m_identity,ENWL!AL484, NPgN!AL484, NPgY!AL484, WMID!AL484, EMID!AL484, SWALES!AL484, SWEST!AL484, LPN!AL484,SPN!AL484,EPN!AL484,SPD!AL484,SPMW!AL484,SSEH!AL484,SSES!AL484)</f>
        <v>-55.743651585305827</v>
      </c>
      <c r="AM484" s="227">
        <f>CHOOSE(m_identity,ENWL!AM484, NPgN!AM484, NPgY!AM484, WMID!AM484, EMID!AM484, SWALES!AM484, SWEST!AM484, LPN!AM484,SPN!AM484,EPN!AM484,SPD!AM484,SPMW!AM484,SSEH!AM484,SSES!AM484)</f>
        <v>-68.832227862275772</v>
      </c>
      <c r="AN484" s="227">
        <f>CHOOSE(m_identity,ENWL!AN484, NPgN!AN484, NPgY!AN484, WMID!AN484, EMID!AN484, SWALES!AN484, SWEST!AN484, LPN!AN484,SPN!AN484,EPN!AN484,SPD!AN484,SPMW!AN484,SSEH!AN484,SSES!AN484)</f>
        <v>-69.835097716215103</v>
      </c>
      <c r="AO484" s="227">
        <f>CHOOSE(m_identity,ENWL!AO484, NPgN!AO484, NPgY!AO484, WMID!AO484, EMID!AO484, SWALES!AO484, SWEST!AO484, LPN!AO484,SPN!AO484,EPN!AO484,SPD!AO484,SPMW!AO484,SSEH!AO484,SSES!AO484)</f>
        <v>-68.076057034205689</v>
      </c>
      <c r="AP484" s="227">
        <f>CHOOSE(m_identity,ENWL!AP484, NPgN!AP484, NPgY!AP484, WMID!AP484, EMID!AP484, SWALES!AP484, SWEST!AP484, LPN!AP484,SPN!AP484,EPN!AP484,SPD!AP484,SPMW!AP484,SSEH!AP484,SSES!AP484)</f>
        <v>-36.138247217736989</v>
      </c>
      <c r="AQ484" s="227">
        <f>CHOOSE(m_identity,ENWL!AQ484, NPgN!AQ484, NPgY!AQ484, WMID!AQ484, EMID!AQ484, SWALES!AQ484, SWEST!AQ484, LPN!AQ484,SPN!AQ484,EPN!AQ484,SPD!AQ484,SPMW!AQ484,SSEH!AQ484,SSES!AQ484)</f>
        <v>2.021517985895116E-5</v>
      </c>
    </row>
    <row r="485" spans="2:43" ht="15" customHeight="1"/>
    <row r="486" spans="2:43" ht="15" customHeight="1">
      <c r="E486" s="156" t="s">
        <v>643</v>
      </c>
      <c r="AJ486" s="11">
        <f>AVERAGE(AJ482,AJ484)*(AJ479-AJ478)</f>
        <v>0</v>
      </c>
      <c r="AK486" s="156">
        <f t="shared" ref="AK486:AQ486" si="133">AVERAGE(AK482,AK484)*(AK479-AK478)</f>
        <v>0</v>
      </c>
      <c r="AL486" s="156">
        <f t="shared" si="133"/>
        <v>0</v>
      </c>
      <c r="AM486" s="156">
        <f t="shared" si="133"/>
        <v>0</v>
      </c>
      <c r="AN486" s="156">
        <f t="shared" si="133"/>
        <v>0</v>
      </c>
      <c r="AO486" s="156">
        <f t="shared" si="133"/>
        <v>0</v>
      </c>
      <c r="AP486" s="156">
        <f t="shared" si="133"/>
        <v>0</v>
      </c>
      <c r="AQ486" s="156">
        <f t="shared" si="133"/>
        <v>0</v>
      </c>
    </row>
    <row r="487" spans="2:43" ht="15" customHeight="1"/>
    <row r="488" spans="2:43" s="156" customFormat="1">
      <c r="B488" s="15"/>
      <c r="C488" s="15"/>
      <c r="D488" s="15" t="s">
        <v>680</v>
      </c>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294"/>
      <c r="AK488" s="294"/>
      <c r="AL488" s="294"/>
      <c r="AM488" s="294"/>
      <c r="AN488" s="294"/>
      <c r="AO488" s="294"/>
      <c r="AP488" s="294"/>
      <c r="AQ488" s="294"/>
    </row>
    <row r="489" spans="2:43" s="152" customFormat="1" ht="15" customHeight="1">
      <c r="AJ489" s="150"/>
      <c r="AK489" s="150"/>
      <c r="AL489" s="150"/>
      <c r="AM489" s="150"/>
      <c r="AN489" s="150"/>
      <c r="AO489" s="150"/>
      <c r="AP489" s="150"/>
      <c r="AQ489" s="150"/>
    </row>
    <row r="490" spans="2:43" ht="15" customHeight="1">
      <c r="E490" s="156" t="s">
        <v>681</v>
      </c>
      <c r="G490" s="378" t="s">
        <v>657</v>
      </c>
      <c r="AJ490" s="227">
        <f>CHOOSE(m_identity,ENWL!AJ490, NPgN!AJ490, NPgY!AJ490, WMID!AJ490, EMID!AJ490, SWALES!AJ490, SWEST!AJ490, LPN!AJ490,SPN!AJ490,EPN!AJ490,SPD!AJ490,SPMW!AJ490,SSEH!AJ490,SSES!AJ490)</f>
        <v>305.91570472904777</v>
      </c>
      <c r="AK490" s="227">
        <f>CHOOSE(m_identity,ENWL!AK490, NPgN!AK490, NPgY!AK490, WMID!AK490, EMID!AK490, SWALES!AK490, SWEST!AK490, LPN!AK490,SPN!AK490,EPN!AK490,SPD!AK490,SPMW!AK490,SSEH!AK490,SSES!AK490)</f>
        <v>311.16790654266606</v>
      </c>
      <c r="AL490" s="227">
        <f>CHOOSE(m_identity,ENWL!AL490, NPgN!AL490, NPgY!AL490, WMID!AL490, EMID!AL490, SWALES!AL490, SWEST!AL490, LPN!AL490,SPN!AL490,EPN!AL490,SPD!AL490,SPMW!AL490,SSEH!AL490,SSES!AL490)</f>
        <v>302.47054690373665</v>
      </c>
      <c r="AM490" s="227">
        <f>CHOOSE(m_identity,ENWL!AM490, NPgN!AM490, NPgY!AM490, WMID!AM490, EMID!AM490, SWALES!AM490, SWEST!AM490, LPN!AM490,SPN!AM490,EPN!AM490,SPD!AM490,SPMW!AM490,SSEH!AM490,SSES!AM490)</f>
        <v>301.26270370960032</v>
      </c>
      <c r="AN490" s="227">
        <f>CHOOSE(m_identity,ENWL!AN490, NPgN!AN490, NPgY!AN490, WMID!AN490, EMID!AN490, SWALES!AN490, SWEST!AN490, LPN!AN490,SPN!AN490,EPN!AN490,SPD!AN490,SPMW!AN490,SSEH!AN490,SSES!AN490)</f>
        <v>270.62628921045308</v>
      </c>
      <c r="AO490" s="227">
        <f>CHOOSE(m_identity,ENWL!AO490, NPgN!AO490, NPgY!AO490, WMID!AO490, EMID!AO490, SWALES!AO490, SWEST!AO490, LPN!AO490,SPN!AO490,EPN!AO490,SPD!AO490,SPMW!AO490,SSEH!AO490,SSES!AO490)</f>
        <v>269.49328349442953</v>
      </c>
      <c r="AP490" s="227">
        <f>CHOOSE(m_identity,ENWL!AP490, NPgN!AP490, NPgY!AP490, WMID!AP490, EMID!AP490, SWALES!AP490, SWEST!AP490, LPN!AP490,SPN!AP490,EPN!AP490,SPD!AP490,SPMW!AP490,SSEH!AP490,SSES!AP490)</f>
        <v>275.6740547607734</v>
      </c>
      <c r="AQ490" s="227">
        <f>CHOOSE(m_identity,ENWL!AQ490, NPgN!AQ490, NPgY!AQ490, WMID!AQ490, EMID!AQ490, SWALES!AQ490, SWEST!AQ490, LPN!AQ490,SPN!AQ490,EPN!AQ490,SPD!AQ490,SPMW!AQ490,SSEH!AQ490,SSES!AQ490)</f>
        <v>267.65989885108968</v>
      </c>
    </row>
    <row r="491" spans="2:43" s="156" customFormat="1" ht="15" customHeight="1">
      <c r="E491" s="156" t="s">
        <v>820</v>
      </c>
      <c r="G491" s="378" t="s">
        <v>657</v>
      </c>
      <c r="I491" s="227">
        <f>CHOOSE(m_identity,ENWL!I491, NPgN!I491, NPgY!I491, WMID!I491, EMID!I491, SWALES!I491, SWEST!I491, LPN!I491,SPN!I491,EPN!I491,SPD!I491,SPMW!I491,SSEH!I491,SSES!I491)</f>
        <v>-4.16</v>
      </c>
    </row>
    <row r="492" spans="2:43" s="156" customFormat="1" ht="15" customHeight="1">
      <c r="E492" s="156" t="s">
        <v>819</v>
      </c>
      <c r="G492" s="378" t="s">
        <v>657</v>
      </c>
      <c r="I492" s="227">
        <f>CHOOSE(m_identity,ENWL!I492, NPgN!I492, NPgY!I492, WMID!I492, EMID!I492, SWALES!I492, SWEST!I492, LPN!I492,SPN!I492,EPN!I492,SPD!I492,SPMW!I492,SSEH!I492,SSES!I492)</f>
        <v>-9.352920000000001</v>
      </c>
    </row>
    <row r="493" spans="2:43" ht="15" customHeight="1"/>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85" priority="1" operator="lessThan">
      <formula>1</formula>
    </cfRule>
    <cfRule type="cellIs" dxfId="84" priority="2" operator="greaterThan">
      <formula>1</formula>
    </cfRule>
  </conditionalFormatting>
  <pageMargins left="0.23622047244094491" right="0.23622047244094491" top="0.74803149606299213" bottom="0.74803149606299213" header="0.31496062992125984" footer="0.31496062992125984"/>
  <pageSetup paperSize="8" scale="41" fitToHeight="0" orientation="landscape" r:id="rId1"/>
  <headerFooter>
    <oddFooter>&amp;LDraft at &amp;D&amp;C&amp;P of &amp;N&amp;R"&amp;A" sheet</oddFooter>
  </headerFooter>
  <rowBreaks count="2" manualBreakCount="2">
    <brk id="151" max="41" man="1"/>
    <brk id="402" max="41" man="1"/>
  </rowBreaks>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Drop Down 1">
              <controlPr defaultSize="0" autoLine="0" autoPict="0">
                <anchor moveWithCells="1">
                  <from>
                    <xdr:col>4</xdr:col>
                    <xdr:colOff>1028700</xdr:colOff>
                    <xdr:row>1</xdr:row>
                    <xdr:rowOff>0</xdr:rowOff>
                  </from>
                  <to>
                    <xdr:col>4</xdr:col>
                    <xdr:colOff>3467100</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59999389629810485"/>
    <pageSetUpPr autoPageBreaks="0" fitToPage="1"/>
  </sheetPr>
  <dimension ref="A1:XEQ671"/>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56" customWidth="1"/>
    <col min="5" max="5" width="50.625" style="156" customWidth="1"/>
    <col min="6" max="6" width="1.625" style="156" customWidth="1"/>
    <col min="7" max="7" width="12.625" style="156" customWidth="1"/>
    <col min="8" max="8" width="1.625" style="156" customWidth="1"/>
    <col min="9" max="9" width="10.625" style="156" customWidth="1"/>
    <col min="10" max="10" width="1.625" style="156" customWidth="1"/>
    <col min="11" max="35" width="10.625" style="156" hidden="1" customWidth="1" outlineLevel="1"/>
    <col min="36" max="36" width="10.625" style="156" customWidth="1" collapsed="1"/>
    <col min="37" max="43" width="10.625" style="156" customWidth="1"/>
    <col min="44" max="44" width="1.625" style="156" customWidth="1"/>
    <col min="45" max="49" width="0" style="156" hidden="1"/>
    <col min="50" max="16371" width="9" style="156" hidden="1"/>
    <col min="16372" max="16384" width="0" style="156" hidden="1"/>
  </cols>
  <sheetData>
    <row r="1" spans="1:44" s="140" customFormat="1" ht="19.5">
      <c r="A1" s="5" t="s">
        <v>67</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M1" s="6"/>
      <c r="AN1" s="6"/>
      <c r="AO1" s="6"/>
      <c r="AP1" s="6"/>
      <c r="AQ1" s="6"/>
    </row>
    <row r="2" spans="1:44" s="140" customFormat="1" ht="15" customHeigh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140" customFormat="1" ht="15" customHeigh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140" customFormat="1" ht="15" customHeigh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ht="15" customHeight="1"/>
    <row r="9" spans="1:44" ht="15" customHeight="1">
      <c r="B9" s="201" t="s">
        <v>67</v>
      </c>
      <c r="C9" s="201"/>
      <c r="D9" s="201"/>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1"/>
      <c r="AI9" s="201"/>
      <c r="AJ9" s="201"/>
      <c r="AK9" s="201"/>
      <c r="AL9" s="201"/>
      <c r="AM9" s="201"/>
      <c r="AN9" s="201"/>
      <c r="AO9" s="201"/>
      <c r="AP9" s="201"/>
      <c r="AQ9" s="201"/>
    </row>
    <row r="10" spans="1:44" ht="15" customHeight="1">
      <c r="AJ10" s="87"/>
      <c r="AK10" s="87"/>
      <c r="AL10" s="87"/>
      <c r="AM10" s="87"/>
      <c r="AN10" s="87"/>
      <c r="AO10" s="87"/>
      <c r="AP10" s="87"/>
      <c r="AQ10" s="87"/>
    </row>
    <row r="11" spans="1:44" ht="15" customHeight="1">
      <c r="C11" s="195" t="s">
        <v>150</v>
      </c>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row>
    <row r="12" spans="1:44" ht="15" customHeight="1">
      <c r="C12" s="192" t="s">
        <v>328</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row>
    <row r="13" spans="1:44" ht="15" customHeight="1">
      <c r="AJ13" s="87"/>
      <c r="AK13" s="87"/>
      <c r="AL13" s="87"/>
      <c r="AM13" s="87"/>
      <c r="AN13" s="87"/>
      <c r="AO13" s="87"/>
      <c r="AP13" s="87"/>
      <c r="AQ13" s="87"/>
    </row>
    <row r="14" spans="1:44" ht="15" customHeight="1">
      <c r="D14" s="193" t="s">
        <v>423</v>
      </c>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row>
    <row r="15" spans="1:44" ht="15" customHeight="1">
      <c r="D15" s="192" t="s">
        <v>277</v>
      </c>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2"/>
      <c r="AH15" s="192"/>
      <c r="AI15" s="192"/>
      <c r="AJ15" s="192"/>
      <c r="AK15" s="192"/>
      <c r="AL15" s="192"/>
      <c r="AM15" s="192"/>
      <c r="AN15" s="192"/>
      <c r="AO15" s="192"/>
      <c r="AP15" s="192"/>
      <c r="AQ15" s="192"/>
    </row>
    <row r="16" spans="1:44" ht="15" customHeight="1">
      <c r="AJ16" s="87"/>
      <c r="AK16" s="87"/>
      <c r="AL16" s="87"/>
      <c r="AM16" s="87"/>
      <c r="AN16" s="87"/>
      <c r="AO16" s="87"/>
      <c r="AP16" s="87"/>
      <c r="AQ16" s="87"/>
    </row>
    <row r="17" spans="4:43" ht="15" customHeight="1">
      <c r="E17" s="147" t="s">
        <v>394</v>
      </c>
      <c r="G17" s="156" t="s">
        <v>657</v>
      </c>
      <c r="AJ17" s="147">
        <f>Input!AJ97</f>
        <v>0</v>
      </c>
      <c r="AK17" s="147">
        <f>Input!AK97</f>
        <v>0</v>
      </c>
      <c r="AL17" s="147">
        <f>Input!AL97</f>
        <v>0</v>
      </c>
      <c r="AM17" s="147">
        <f>Input!AM97</f>
        <v>0</v>
      </c>
      <c r="AN17" s="147">
        <f>Input!AN97</f>
        <v>0</v>
      </c>
      <c r="AO17" s="147">
        <f>Input!AO97</f>
        <v>0</v>
      </c>
      <c r="AP17" s="147">
        <f>Input!AP97</f>
        <v>0</v>
      </c>
      <c r="AQ17" s="147">
        <f>Input!AQ97</f>
        <v>0</v>
      </c>
    </row>
    <row r="18" spans="4:43" ht="15" customHeight="1">
      <c r="E18" s="147" t="s">
        <v>543</v>
      </c>
      <c r="G18" s="156" t="s">
        <v>657</v>
      </c>
      <c r="AJ18" s="147">
        <f>Input!AJ98</f>
        <v>98.544285533684103</v>
      </c>
      <c r="AK18" s="147">
        <f>Input!AK98</f>
        <v>98.101321463569775</v>
      </c>
      <c r="AL18" s="147">
        <f>Input!AL98</f>
        <v>94.127846133068672</v>
      </c>
      <c r="AM18" s="147">
        <f>Input!AM98</f>
        <v>90.328260662393177</v>
      </c>
      <c r="AN18" s="147">
        <f>Input!AN98</f>
        <v>85.802977841768524</v>
      </c>
      <c r="AO18" s="147">
        <f>Input!AO98</f>
        <v>80.784021747478221</v>
      </c>
      <c r="AP18" s="147">
        <f>Input!AP98</f>
        <v>79.465281145138448</v>
      </c>
      <c r="AQ18" s="147">
        <f>Input!AQ98</f>
        <v>81.212985445714878</v>
      </c>
    </row>
    <row r="19" spans="4:43" ht="15" customHeight="1">
      <c r="E19" s="147" t="s">
        <v>395</v>
      </c>
      <c r="G19" s="156" t="s">
        <v>657</v>
      </c>
      <c r="AJ19" s="147">
        <f>Input!AJ99</f>
        <v>18.283812963111675</v>
      </c>
      <c r="AK19" s="147">
        <f>Input!AK99</f>
        <v>18.882044749337773</v>
      </c>
      <c r="AL19" s="147">
        <f>Input!AL99</f>
        <v>15.912014727851897</v>
      </c>
      <c r="AM19" s="147">
        <f>Input!AM99</f>
        <v>16.848923953317147</v>
      </c>
      <c r="AN19" s="147">
        <f>Input!AN99</f>
        <v>12.386327025206619</v>
      </c>
      <c r="AO19" s="147">
        <f>Input!AO99</f>
        <v>11.81186201810984</v>
      </c>
      <c r="AP19" s="147">
        <f>Input!AP99</f>
        <v>11.486702004360975</v>
      </c>
      <c r="AQ19" s="147">
        <f>Input!AQ99</f>
        <v>10.926316773819124</v>
      </c>
    </row>
    <row r="20" spans="4:43" ht="15" customHeight="1">
      <c r="E20" s="147" t="s">
        <v>571</v>
      </c>
      <c r="G20" s="156" t="s">
        <v>657</v>
      </c>
      <c r="AJ20" s="147">
        <f>Input!AJ100</f>
        <v>33.075472950866427</v>
      </c>
      <c r="AK20" s="147">
        <f>Input!AK100</f>
        <v>32.647566650312378</v>
      </c>
      <c r="AL20" s="147">
        <f>Input!AL100</f>
        <v>32.409723916290844</v>
      </c>
      <c r="AM20" s="147">
        <f>Input!AM100</f>
        <v>31.959557488822796</v>
      </c>
      <c r="AN20" s="147">
        <f>Input!AN100</f>
        <v>31.728500492700274</v>
      </c>
      <c r="AO20" s="147">
        <f>Input!AO100</f>
        <v>31.337508334745625</v>
      </c>
      <c r="AP20" s="147">
        <f>Input!AP100</f>
        <v>32.269075565111294</v>
      </c>
      <c r="AQ20" s="147">
        <f>Input!AQ100</f>
        <v>30.716348122946656</v>
      </c>
    </row>
    <row r="21" spans="4:43" ht="15" customHeight="1">
      <c r="E21" s="378" t="s">
        <v>720</v>
      </c>
      <c r="G21" s="156" t="s">
        <v>657</v>
      </c>
      <c r="AJ21" s="378">
        <f>Input!AJ101</f>
        <v>14.464667097377436</v>
      </c>
      <c r="AK21" s="378">
        <f>Input!AK101</f>
        <v>13.781760263106239</v>
      </c>
      <c r="AL21" s="378">
        <f>Input!AL101</f>
        <v>13.291261586067108</v>
      </c>
      <c r="AM21" s="378">
        <f>Input!AM101</f>
        <v>12.016137592784872</v>
      </c>
      <c r="AN21" s="378">
        <f>Input!AN101</f>
        <v>11.838555095112556</v>
      </c>
      <c r="AO21" s="378">
        <f>Input!AO101</f>
        <v>11.764027339866416</v>
      </c>
      <c r="AP21" s="378">
        <f>Input!AP101</f>
        <v>11.583421337604523</v>
      </c>
      <c r="AQ21" s="378">
        <f>Input!AQ101</f>
        <v>11.406190361918512</v>
      </c>
    </row>
    <row r="22" spans="4:43" ht="15" customHeight="1">
      <c r="E22" s="378" t="s">
        <v>702</v>
      </c>
      <c r="G22" s="156" t="s">
        <v>657</v>
      </c>
      <c r="AJ22" s="147">
        <f>Input!AJ102</f>
        <v>10.656092713963259</v>
      </c>
      <c r="AK22" s="147">
        <f>Input!AK102</f>
        <v>10.577261674693908</v>
      </c>
      <c r="AL22" s="147">
        <f>Input!AL102</f>
        <v>10.363768179334746</v>
      </c>
      <c r="AM22" s="147">
        <f>Input!AM102</f>
        <v>10.187083821464032</v>
      </c>
      <c r="AN22" s="147">
        <f>Input!AN102</f>
        <v>9.8642972963823095</v>
      </c>
      <c r="AO22" s="147">
        <f>Input!AO102</f>
        <v>9.5846003543413563</v>
      </c>
      <c r="AP22" s="147">
        <f>Input!AP102</f>
        <v>9.545373434068317</v>
      </c>
      <c r="AQ22" s="147">
        <f>Input!AQ102</f>
        <v>9.4232282233687279</v>
      </c>
    </row>
    <row r="23" spans="4:43" ht="15" customHeight="1">
      <c r="E23" s="147" t="s">
        <v>396</v>
      </c>
      <c r="G23" s="156" t="s">
        <v>657</v>
      </c>
      <c r="AJ23" s="147">
        <f>Input!AJ103</f>
        <v>99.602264307741052</v>
      </c>
      <c r="AK23" s="147">
        <f>Input!AK103</f>
        <v>98.870466734464515</v>
      </c>
      <c r="AL23" s="147">
        <f>Input!AL103</f>
        <v>99.824358512903871</v>
      </c>
      <c r="AM23" s="147">
        <f>Input!AM103</f>
        <v>100.1266087505071</v>
      </c>
      <c r="AN23" s="147">
        <f>Input!AN103</f>
        <v>99.885502213893915</v>
      </c>
      <c r="AO23" s="147">
        <f>Input!AO103</f>
        <v>98.460511555059497</v>
      </c>
      <c r="AP23" s="147">
        <f>Input!AP103</f>
        <v>98.614025048714595</v>
      </c>
      <c r="AQ23" s="147">
        <f>Input!AQ103</f>
        <v>96.989532647618674</v>
      </c>
    </row>
    <row r="24" spans="4:43" ht="15" customHeight="1">
      <c r="E24" s="147"/>
      <c r="AJ24" s="147"/>
      <c r="AK24" s="147"/>
      <c r="AL24" s="147"/>
      <c r="AM24" s="147"/>
      <c r="AN24" s="147"/>
      <c r="AO24" s="147"/>
      <c r="AP24" s="147"/>
      <c r="AQ24" s="147"/>
    </row>
    <row r="25" spans="4:43" ht="15" customHeight="1">
      <c r="D25" s="193" t="s">
        <v>400</v>
      </c>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388"/>
      <c r="AK25" s="388"/>
      <c r="AL25" s="388"/>
      <c r="AM25" s="388"/>
      <c r="AN25" s="388"/>
      <c r="AO25" s="388"/>
      <c r="AP25" s="388"/>
      <c r="AQ25" s="388"/>
    </row>
    <row r="26" spans="4:43" ht="15" customHeight="1">
      <c r="D26" s="192" t="s">
        <v>329</v>
      </c>
      <c r="E26" s="192"/>
      <c r="F26" s="192"/>
      <c r="G26" s="192"/>
      <c r="H26" s="192"/>
      <c r="I26" s="192"/>
      <c r="J26" s="192"/>
      <c r="K26" s="192"/>
      <c r="L26" s="192"/>
      <c r="M26" s="192"/>
      <c r="N26" s="192"/>
      <c r="O26" s="192"/>
      <c r="P26" s="192"/>
      <c r="Q26" s="192"/>
      <c r="R26" s="192"/>
      <c r="S26" s="192"/>
      <c r="T26" s="192"/>
      <c r="U26" s="192"/>
      <c r="V26" s="192"/>
      <c r="W26" s="192"/>
      <c r="X26" s="192"/>
      <c r="Y26" s="192"/>
      <c r="Z26" s="192"/>
      <c r="AA26" s="192"/>
      <c r="AB26" s="192"/>
      <c r="AC26" s="192"/>
      <c r="AD26" s="192"/>
      <c r="AE26" s="192"/>
      <c r="AF26" s="192"/>
      <c r="AG26" s="192"/>
      <c r="AH26" s="192"/>
      <c r="AI26" s="192"/>
      <c r="AJ26" s="192"/>
      <c r="AK26" s="192"/>
      <c r="AL26" s="192"/>
      <c r="AM26" s="192"/>
      <c r="AN26" s="192"/>
      <c r="AO26" s="192"/>
      <c r="AP26" s="192"/>
      <c r="AQ26" s="192"/>
    </row>
    <row r="27" spans="4:43" ht="15" customHeight="1">
      <c r="E27" s="147"/>
      <c r="AJ27" s="147"/>
      <c r="AK27" s="147"/>
      <c r="AL27" s="147"/>
      <c r="AM27" s="147"/>
      <c r="AN27" s="147"/>
      <c r="AO27" s="147"/>
      <c r="AP27" s="147"/>
      <c r="AQ27" s="147"/>
    </row>
    <row r="28" spans="4:43" ht="15" customHeight="1">
      <c r="E28" s="161" t="s">
        <v>397</v>
      </c>
      <c r="G28" s="161" t="str">
        <f>Input!G242</f>
        <v>£m 12/13 prices</v>
      </c>
      <c r="AJ28" s="147">
        <f>Input!AJ242</f>
        <v>29.998509159439635</v>
      </c>
      <c r="AK28" s="147">
        <f>Input!AK242</f>
        <v>36.863495450317984</v>
      </c>
      <c r="AL28" s="147">
        <f>Input!AL242</f>
        <v>34.780362338389125</v>
      </c>
      <c r="AM28" s="147">
        <f>Input!AM242</f>
        <v>38.395806644473808</v>
      </c>
      <c r="AN28" s="147">
        <f>Input!AN242</f>
        <v>18.057968689533375</v>
      </c>
      <c r="AO28" s="147">
        <f>Input!AO242</f>
        <v>27.165661312650784</v>
      </c>
      <c r="AP28" s="147">
        <f>Input!AP242</f>
        <v>38.328084023450032</v>
      </c>
      <c r="AQ28" s="147">
        <f>Input!AQ242</f>
        <v>33.445837567223187</v>
      </c>
    </row>
    <row r="29" spans="4:43" ht="15" customHeight="1">
      <c r="E29" s="161" t="s">
        <v>545</v>
      </c>
      <c r="G29" s="161" t="str">
        <f>Input!G243</f>
        <v>£m 12/13 prices</v>
      </c>
      <c r="AJ29" s="147">
        <f>Input!AJ243</f>
        <v>0</v>
      </c>
      <c r="AK29" s="147">
        <f>Input!AK243</f>
        <v>0</v>
      </c>
      <c r="AL29" s="147">
        <f>Input!AL243</f>
        <v>0</v>
      </c>
      <c r="AM29" s="147">
        <f>Input!AM243</f>
        <v>0</v>
      </c>
      <c r="AN29" s="147">
        <f>Input!AN243</f>
        <v>0</v>
      </c>
      <c r="AO29" s="147">
        <f>Input!AO243</f>
        <v>0</v>
      </c>
      <c r="AP29" s="147">
        <f>Input!AP243</f>
        <v>0</v>
      </c>
      <c r="AQ29" s="147">
        <f>Input!AQ243</f>
        <v>0</v>
      </c>
    </row>
    <row r="30" spans="4:43" ht="15" customHeight="1">
      <c r="E30" s="161" t="s">
        <v>398</v>
      </c>
      <c r="G30" s="161" t="str">
        <f>Input!G244</f>
        <v>£m 12/13 prices</v>
      </c>
      <c r="AJ30" s="147">
        <f>Input!AJ244</f>
        <v>0</v>
      </c>
      <c r="AK30" s="147">
        <f>Input!AK244</f>
        <v>0</v>
      </c>
      <c r="AL30" s="147">
        <f>Input!AL244</f>
        <v>0</v>
      </c>
      <c r="AM30" s="147">
        <f>Input!AM244</f>
        <v>0</v>
      </c>
      <c r="AN30" s="147">
        <f>Input!AN244</f>
        <v>0</v>
      </c>
      <c r="AO30" s="147">
        <f>Input!AO244</f>
        <v>0</v>
      </c>
      <c r="AP30" s="147">
        <f>Input!AP244</f>
        <v>0</v>
      </c>
      <c r="AQ30" s="147">
        <f>Input!AQ244</f>
        <v>0</v>
      </c>
    </row>
    <row r="31" spans="4:43" ht="15" customHeight="1">
      <c r="E31" s="161" t="s">
        <v>573</v>
      </c>
      <c r="G31" s="161" t="str">
        <f>Input!G245</f>
        <v>£m 12/13 prices</v>
      </c>
      <c r="AJ31" s="147">
        <f>Input!AJ245</f>
        <v>0</v>
      </c>
      <c r="AK31" s="147">
        <f>Input!AK245</f>
        <v>0</v>
      </c>
      <c r="AL31" s="147">
        <f>Input!AL245</f>
        <v>0</v>
      </c>
      <c r="AM31" s="147">
        <f>Input!AM245</f>
        <v>0</v>
      </c>
      <c r="AN31" s="147">
        <f>Input!AN245</f>
        <v>0</v>
      </c>
      <c r="AO31" s="147">
        <f>Input!AO245</f>
        <v>0</v>
      </c>
      <c r="AP31" s="147">
        <f>Input!AP245</f>
        <v>0</v>
      </c>
      <c r="AQ31" s="147">
        <f>Input!AQ245</f>
        <v>0</v>
      </c>
    </row>
    <row r="32" spans="4:43" ht="15" customHeight="1">
      <c r="E32" s="378" t="s">
        <v>722</v>
      </c>
      <c r="G32" s="161" t="str">
        <f>Input!G246</f>
        <v>£m 12/13 prices</v>
      </c>
      <c r="AJ32" s="378">
        <f>Input!AJ246</f>
        <v>0</v>
      </c>
      <c r="AK32" s="378">
        <f>Input!AK246</f>
        <v>0</v>
      </c>
      <c r="AL32" s="378">
        <f>Input!AL246</f>
        <v>0</v>
      </c>
      <c r="AM32" s="378">
        <f>Input!AM246</f>
        <v>0</v>
      </c>
      <c r="AN32" s="378">
        <f>Input!AN246</f>
        <v>0</v>
      </c>
      <c r="AO32" s="378">
        <f>Input!AO246</f>
        <v>0</v>
      </c>
      <c r="AP32" s="378">
        <f>Input!AP246</f>
        <v>0</v>
      </c>
      <c r="AQ32" s="378">
        <f>Input!AQ246</f>
        <v>0</v>
      </c>
    </row>
    <row r="33" spans="3:43" ht="15" customHeight="1">
      <c r="E33" s="161" t="s">
        <v>704</v>
      </c>
      <c r="G33" s="161" t="str">
        <f>Input!G247</f>
        <v>£m 12/13 prices</v>
      </c>
      <c r="AJ33" s="147">
        <f>Input!AJ247</f>
        <v>0.31627891376680822</v>
      </c>
      <c r="AK33" s="147">
        <f>Input!AK247</f>
        <v>0.47789882411187673</v>
      </c>
      <c r="AL33" s="147">
        <f>Input!AL247</f>
        <v>0.41353688895298796</v>
      </c>
      <c r="AM33" s="147">
        <f>Input!AM247</f>
        <v>0.46630039570498383</v>
      </c>
      <c r="AN33" s="147">
        <f>Input!AN247</f>
        <v>0.353746727087066</v>
      </c>
      <c r="AO33" s="147">
        <f>Input!AO247</f>
        <v>0.42537000302186329</v>
      </c>
      <c r="AP33" s="147">
        <f>Input!AP247</f>
        <v>0.41234491070006635</v>
      </c>
      <c r="AQ33" s="147">
        <f>Input!AQ247</f>
        <v>0.36349701908194176</v>
      </c>
    </row>
    <row r="34" spans="3:43" ht="15" customHeight="1">
      <c r="E34" s="161" t="s">
        <v>399</v>
      </c>
      <c r="G34" s="161" t="str">
        <f>Input!G248</f>
        <v>£m 12/13 prices</v>
      </c>
      <c r="AJ34" s="147">
        <f>Input!AJ248</f>
        <v>1.2055240297138416</v>
      </c>
      <c r="AK34" s="147">
        <f>Input!AK248</f>
        <v>2.2975944448781873</v>
      </c>
      <c r="AL34" s="147">
        <f>Input!AL248</f>
        <v>3.2764945319999708</v>
      </c>
      <c r="AM34" s="147">
        <f>Input!AM248</f>
        <v>3.6370116670252708</v>
      </c>
      <c r="AN34" s="147">
        <f>Input!AN248</f>
        <v>3.445166659007044</v>
      </c>
      <c r="AO34" s="147">
        <f>Input!AO248</f>
        <v>2.4060349304739139</v>
      </c>
      <c r="AP34" s="147">
        <f>Input!AP248</f>
        <v>0</v>
      </c>
      <c r="AQ34" s="147">
        <f>Input!AQ248</f>
        <v>0</v>
      </c>
    </row>
    <row r="35" spans="3:43" ht="15" customHeight="1">
      <c r="E35" s="161"/>
      <c r="AJ35" s="147"/>
      <c r="AK35" s="147"/>
      <c r="AL35" s="147"/>
      <c r="AM35" s="147"/>
      <c r="AN35" s="147"/>
      <c r="AO35" s="147"/>
      <c r="AP35" s="147"/>
      <c r="AQ35" s="147"/>
    </row>
    <row r="36" spans="3:43" ht="15" customHeight="1">
      <c r="D36" s="193" t="s">
        <v>36</v>
      </c>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202"/>
      <c r="AK36" s="202"/>
      <c r="AL36" s="202"/>
      <c r="AM36" s="202"/>
      <c r="AN36" s="202"/>
      <c r="AO36" s="202"/>
      <c r="AP36" s="202"/>
      <c r="AQ36" s="202"/>
    </row>
    <row r="37" spans="3:43" ht="15" customHeight="1">
      <c r="D37" s="194" t="s">
        <v>337</v>
      </c>
      <c r="E37" s="194"/>
      <c r="F37" s="194"/>
      <c r="G37" s="194"/>
      <c r="H37" s="194"/>
      <c r="I37" s="194"/>
      <c r="J37" s="194"/>
      <c r="K37" s="194"/>
      <c r="L37" s="194"/>
      <c r="M37" s="194"/>
      <c r="N37" s="194"/>
      <c r="O37" s="194"/>
      <c r="P37" s="194"/>
      <c r="Q37" s="194"/>
      <c r="R37" s="194"/>
      <c r="S37" s="194"/>
      <c r="T37" s="194"/>
      <c r="U37" s="194"/>
      <c r="V37" s="194"/>
      <c r="W37" s="194"/>
      <c r="X37" s="194"/>
      <c r="Y37" s="194"/>
      <c r="Z37" s="194"/>
      <c r="AA37" s="194"/>
      <c r="AB37" s="194"/>
      <c r="AC37" s="194"/>
      <c r="AD37" s="194"/>
      <c r="AE37" s="194"/>
      <c r="AF37" s="194"/>
      <c r="AG37" s="194"/>
      <c r="AH37" s="194"/>
      <c r="AI37" s="194"/>
      <c r="AJ37" s="203"/>
      <c r="AK37" s="203"/>
      <c r="AL37" s="203"/>
      <c r="AM37" s="203"/>
      <c r="AN37" s="203"/>
      <c r="AO37" s="203"/>
      <c r="AP37" s="203"/>
      <c r="AQ37" s="203"/>
    </row>
    <row r="38" spans="3:43" ht="15" customHeight="1">
      <c r="AJ38" s="147"/>
      <c r="AK38" s="147"/>
      <c r="AL38" s="147"/>
      <c r="AM38" s="147"/>
      <c r="AN38" s="147"/>
      <c r="AO38" s="147"/>
      <c r="AP38" s="147"/>
      <c r="AQ38" s="147"/>
    </row>
    <row r="39" spans="3:43" ht="15" customHeight="1">
      <c r="E39" s="161" t="s">
        <v>199</v>
      </c>
      <c r="G39" s="156" t="s">
        <v>657</v>
      </c>
      <c r="AJ39" s="147">
        <f t="shared" ref="AJ39:AQ45" si="0">AJ17 + AJ28</f>
        <v>29.998509159439635</v>
      </c>
      <c r="AK39" s="147">
        <f t="shared" si="0"/>
        <v>36.863495450317984</v>
      </c>
      <c r="AL39" s="147">
        <f t="shared" si="0"/>
        <v>34.780362338389125</v>
      </c>
      <c r="AM39" s="147">
        <f t="shared" si="0"/>
        <v>38.395806644473808</v>
      </c>
      <c r="AN39" s="147">
        <f t="shared" si="0"/>
        <v>18.057968689533375</v>
      </c>
      <c r="AO39" s="147">
        <f t="shared" si="0"/>
        <v>27.165661312650784</v>
      </c>
      <c r="AP39" s="147">
        <f t="shared" si="0"/>
        <v>38.328084023450032</v>
      </c>
      <c r="AQ39" s="147">
        <f t="shared" si="0"/>
        <v>33.445837567223187</v>
      </c>
    </row>
    <row r="40" spans="3:43" ht="15" customHeight="1">
      <c r="E40" s="161" t="s">
        <v>547</v>
      </c>
      <c r="G40" s="156" t="s">
        <v>657</v>
      </c>
      <c r="AJ40" s="147">
        <f t="shared" si="0"/>
        <v>98.544285533684103</v>
      </c>
      <c r="AK40" s="147">
        <f t="shared" si="0"/>
        <v>98.101321463569775</v>
      </c>
      <c r="AL40" s="147">
        <f t="shared" si="0"/>
        <v>94.127846133068672</v>
      </c>
      <c r="AM40" s="147">
        <f t="shared" si="0"/>
        <v>90.328260662393177</v>
      </c>
      <c r="AN40" s="147">
        <f t="shared" si="0"/>
        <v>85.802977841768524</v>
      </c>
      <c r="AO40" s="147">
        <f t="shared" si="0"/>
        <v>80.784021747478221</v>
      </c>
      <c r="AP40" s="147">
        <f t="shared" si="0"/>
        <v>79.465281145138448</v>
      </c>
      <c r="AQ40" s="147">
        <f t="shared" si="0"/>
        <v>81.212985445714878</v>
      </c>
    </row>
    <row r="41" spans="3:43" ht="15" customHeight="1">
      <c r="E41" s="161" t="s">
        <v>200</v>
      </c>
      <c r="G41" s="156" t="s">
        <v>657</v>
      </c>
      <c r="AJ41" s="147">
        <f t="shared" si="0"/>
        <v>18.283812963111675</v>
      </c>
      <c r="AK41" s="147">
        <f t="shared" si="0"/>
        <v>18.882044749337773</v>
      </c>
      <c r="AL41" s="147">
        <f t="shared" si="0"/>
        <v>15.912014727851897</v>
      </c>
      <c r="AM41" s="147">
        <f t="shared" si="0"/>
        <v>16.848923953317147</v>
      </c>
      <c r="AN41" s="147">
        <f t="shared" si="0"/>
        <v>12.386327025206619</v>
      </c>
      <c r="AO41" s="147">
        <f t="shared" si="0"/>
        <v>11.81186201810984</v>
      </c>
      <c r="AP41" s="147">
        <f t="shared" si="0"/>
        <v>11.486702004360975</v>
      </c>
      <c r="AQ41" s="147">
        <f t="shared" si="0"/>
        <v>10.926316773819124</v>
      </c>
    </row>
    <row r="42" spans="3:43" ht="15" customHeight="1">
      <c r="E42" s="161" t="s">
        <v>575</v>
      </c>
      <c r="G42" s="156" t="s">
        <v>657</v>
      </c>
      <c r="AJ42" s="147">
        <f t="shared" si="0"/>
        <v>33.075472950866427</v>
      </c>
      <c r="AK42" s="147">
        <f t="shared" si="0"/>
        <v>32.647566650312378</v>
      </c>
      <c r="AL42" s="147">
        <f t="shared" si="0"/>
        <v>32.409723916290844</v>
      </c>
      <c r="AM42" s="147">
        <f t="shared" si="0"/>
        <v>31.959557488822796</v>
      </c>
      <c r="AN42" s="147">
        <f t="shared" si="0"/>
        <v>31.728500492700274</v>
      </c>
      <c r="AO42" s="147">
        <f t="shared" si="0"/>
        <v>31.337508334745625</v>
      </c>
      <c r="AP42" s="147">
        <f t="shared" si="0"/>
        <v>32.269075565111294</v>
      </c>
      <c r="AQ42" s="147">
        <f t="shared" si="0"/>
        <v>30.716348122946656</v>
      </c>
    </row>
    <row r="43" spans="3:43" ht="15" customHeight="1">
      <c r="E43" s="378" t="s">
        <v>724</v>
      </c>
      <c r="G43" s="156" t="s">
        <v>657</v>
      </c>
      <c r="AJ43" s="378">
        <f t="shared" si="0"/>
        <v>14.464667097377436</v>
      </c>
      <c r="AK43" s="378">
        <f t="shared" si="0"/>
        <v>13.781760263106239</v>
      </c>
      <c r="AL43" s="378">
        <f t="shared" si="0"/>
        <v>13.291261586067108</v>
      </c>
      <c r="AM43" s="378">
        <f t="shared" si="0"/>
        <v>12.016137592784872</v>
      </c>
      <c r="AN43" s="378">
        <f t="shared" si="0"/>
        <v>11.838555095112556</v>
      </c>
      <c r="AO43" s="378">
        <f t="shared" si="0"/>
        <v>11.764027339866416</v>
      </c>
      <c r="AP43" s="378">
        <f t="shared" si="0"/>
        <v>11.583421337604523</v>
      </c>
      <c r="AQ43" s="378">
        <f t="shared" si="0"/>
        <v>11.406190361918512</v>
      </c>
    </row>
    <row r="44" spans="3:43" ht="15" customHeight="1">
      <c r="E44" s="161" t="s">
        <v>706</v>
      </c>
      <c r="G44" s="156" t="s">
        <v>657</v>
      </c>
      <c r="AJ44" s="147">
        <f t="shared" si="0"/>
        <v>10.972371627730068</v>
      </c>
      <c r="AK44" s="147">
        <f t="shared" si="0"/>
        <v>11.055160498805785</v>
      </c>
      <c r="AL44" s="147">
        <f t="shared" si="0"/>
        <v>10.777305068287735</v>
      </c>
      <c r="AM44" s="147">
        <f t="shared" si="0"/>
        <v>10.653384217169016</v>
      </c>
      <c r="AN44" s="147">
        <f t="shared" si="0"/>
        <v>10.218044023469375</v>
      </c>
      <c r="AO44" s="147">
        <f t="shared" si="0"/>
        <v>10.009970357363219</v>
      </c>
      <c r="AP44" s="147">
        <f t="shared" si="0"/>
        <v>9.9577183447683826</v>
      </c>
      <c r="AQ44" s="147">
        <f t="shared" si="0"/>
        <v>9.7867252424506699</v>
      </c>
    </row>
    <row r="45" spans="3:43" ht="15" customHeight="1">
      <c r="E45" s="161" t="s">
        <v>201</v>
      </c>
      <c r="G45" s="156" t="s">
        <v>657</v>
      </c>
      <c r="AJ45" s="147">
        <f t="shared" si="0"/>
        <v>100.80778833745489</v>
      </c>
      <c r="AK45" s="147">
        <f t="shared" si="0"/>
        <v>101.1680611793427</v>
      </c>
      <c r="AL45" s="147">
        <f t="shared" si="0"/>
        <v>103.10085304490384</v>
      </c>
      <c r="AM45" s="147">
        <f t="shared" si="0"/>
        <v>103.76362041753238</v>
      </c>
      <c r="AN45" s="147">
        <f t="shared" si="0"/>
        <v>103.33066887290096</v>
      </c>
      <c r="AO45" s="147">
        <f t="shared" si="0"/>
        <v>100.86654648553341</v>
      </c>
      <c r="AP45" s="147">
        <f t="shared" si="0"/>
        <v>98.614025048714595</v>
      </c>
      <c r="AQ45" s="147">
        <f t="shared" si="0"/>
        <v>96.989532647618674</v>
      </c>
    </row>
    <row r="46" spans="3:43" ht="15" customHeight="1">
      <c r="E46" s="156" t="s">
        <v>146</v>
      </c>
      <c r="G46" s="156" t="s">
        <v>657</v>
      </c>
      <c r="AJ46" s="166">
        <f t="shared" ref="AJ46:AQ46" si="1">SUM(AJ39:AJ45)</f>
        <v>306.14690766966419</v>
      </c>
      <c r="AK46" s="166">
        <f t="shared" si="1"/>
        <v>312.49941025479262</v>
      </c>
      <c r="AL46" s="166">
        <f t="shared" si="1"/>
        <v>304.39936681485921</v>
      </c>
      <c r="AM46" s="166">
        <f t="shared" si="1"/>
        <v>303.96569097649319</v>
      </c>
      <c r="AN46" s="166">
        <f t="shared" si="1"/>
        <v>273.36304204069165</v>
      </c>
      <c r="AO46" s="166">
        <f t="shared" si="1"/>
        <v>273.73959759574745</v>
      </c>
      <c r="AP46" s="166">
        <f t="shared" si="1"/>
        <v>281.70430746914826</v>
      </c>
      <c r="AQ46" s="166">
        <f t="shared" si="1"/>
        <v>274.4839361616917</v>
      </c>
    </row>
    <row r="47" spans="3:43" ht="15" customHeight="1">
      <c r="AJ47" s="147"/>
      <c r="AK47" s="147"/>
      <c r="AL47" s="147"/>
      <c r="AM47" s="147"/>
      <c r="AN47" s="147"/>
      <c r="AO47" s="147"/>
      <c r="AP47" s="147"/>
      <c r="AQ47" s="147"/>
    </row>
    <row r="48" spans="3:43" ht="15" customHeight="1">
      <c r="C48" s="195" t="s">
        <v>148</v>
      </c>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c r="AE48" s="195"/>
      <c r="AF48" s="195"/>
      <c r="AG48" s="195"/>
      <c r="AH48" s="195"/>
      <c r="AI48" s="195"/>
      <c r="AJ48" s="297"/>
      <c r="AK48" s="297"/>
      <c r="AL48" s="297"/>
      <c r="AM48" s="297"/>
      <c r="AN48" s="297"/>
      <c r="AO48" s="297"/>
      <c r="AP48" s="297"/>
      <c r="AQ48" s="297"/>
    </row>
    <row r="49" spans="4:43" ht="15" customHeight="1">
      <c r="AJ49" s="147"/>
      <c r="AK49" s="147"/>
      <c r="AL49" s="147"/>
      <c r="AM49" s="147"/>
      <c r="AN49" s="147"/>
      <c r="AO49" s="147"/>
      <c r="AP49" s="147"/>
      <c r="AQ49" s="147"/>
    </row>
    <row r="50" spans="4:43" ht="15" customHeight="1">
      <c r="D50" s="193" t="s">
        <v>274</v>
      </c>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202"/>
      <c r="AK50" s="202"/>
      <c r="AL50" s="202"/>
      <c r="AM50" s="202"/>
      <c r="AN50" s="202"/>
      <c r="AO50" s="202"/>
      <c r="AP50" s="202"/>
      <c r="AQ50" s="202"/>
    </row>
    <row r="51" spans="4:43" ht="15" customHeight="1">
      <c r="D51" s="194" t="s">
        <v>330</v>
      </c>
      <c r="E51" s="194"/>
      <c r="F51" s="194"/>
      <c r="G51" s="194"/>
      <c r="H51" s="194"/>
      <c r="I51" s="194"/>
      <c r="J51" s="194"/>
      <c r="K51" s="194"/>
      <c r="L51" s="194"/>
      <c r="M51" s="194"/>
      <c r="N51" s="194"/>
      <c r="O51" s="194"/>
      <c r="P51" s="194"/>
      <c r="Q51" s="194"/>
      <c r="R51" s="194"/>
      <c r="S51" s="194"/>
      <c r="T51" s="194"/>
      <c r="U51" s="194"/>
      <c r="V51" s="194"/>
      <c r="W51" s="194"/>
      <c r="X51" s="194"/>
      <c r="Y51" s="194"/>
      <c r="Z51" s="194"/>
      <c r="AA51" s="194"/>
      <c r="AB51" s="194"/>
      <c r="AC51" s="194"/>
      <c r="AD51" s="194"/>
      <c r="AE51" s="194"/>
      <c r="AF51" s="194"/>
      <c r="AG51" s="194"/>
      <c r="AH51" s="194"/>
      <c r="AI51" s="194"/>
      <c r="AJ51" s="203"/>
      <c r="AK51" s="203"/>
      <c r="AL51" s="203"/>
      <c r="AM51" s="203"/>
      <c r="AN51" s="203"/>
      <c r="AO51" s="203"/>
      <c r="AP51" s="203"/>
      <c r="AQ51" s="203"/>
    </row>
    <row r="52" spans="4:43" ht="15" customHeight="1">
      <c r="D52" s="194" t="s">
        <v>278</v>
      </c>
      <c r="E52" s="194"/>
      <c r="F52" s="194"/>
      <c r="G52" s="194"/>
      <c r="H52" s="194"/>
      <c r="I52" s="194"/>
      <c r="J52" s="194"/>
      <c r="K52" s="194"/>
      <c r="L52" s="194"/>
      <c r="M52" s="194"/>
      <c r="N52" s="194"/>
      <c r="O52" s="194"/>
      <c r="P52" s="194"/>
      <c r="Q52" s="194"/>
      <c r="R52" s="194"/>
      <c r="S52" s="194"/>
      <c r="T52" s="194"/>
      <c r="U52" s="194"/>
      <c r="V52" s="194"/>
      <c r="W52" s="194"/>
      <c r="X52" s="194"/>
      <c r="Y52" s="194"/>
      <c r="Z52" s="194"/>
      <c r="AA52" s="194"/>
      <c r="AB52" s="194"/>
      <c r="AC52" s="194"/>
      <c r="AD52" s="194"/>
      <c r="AE52" s="194"/>
      <c r="AF52" s="194"/>
      <c r="AG52" s="194"/>
      <c r="AH52" s="194"/>
      <c r="AI52" s="194"/>
      <c r="AJ52" s="203"/>
      <c r="AK52" s="203"/>
      <c r="AL52" s="203"/>
      <c r="AM52" s="203"/>
      <c r="AN52" s="203"/>
      <c r="AO52" s="203"/>
      <c r="AP52" s="203"/>
      <c r="AQ52" s="203"/>
    </row>
    <row r="53" spans="4:43" ht="15" customHeight="1">
      <c r="D53" s="194" t="s">
        <v>331</v>
      </c>
      <c r="E53" s="194"/>
      <c r="F53" s="194"/>
      <c r="G53" s="194"/>
      <c r="H53" s="194"/>
      <c r="I53" s="194"/>
      <c r="J53" s="194"/>
      <c r="K53" s="194"/>
      <c r="L53" s="194"/>
      <c r="M53" s="194"/>
      <c r="N53" s="194"/>
      <c r="O53" s="194"/>
      <c r="P53" s="194"/>
      <c r="Q53" s="194"/>
      <c r="R53" s="194"/>
      <c r="S53" s="194"/>
      <c r="T53" s="194"/>
      <c r="U53" s="194"/>
      <c r="V53" s="194"/>
      <c r="W53" s="194"/>
      <c r="X53" s="194"/>
      <c r="Y53" s="194"/>
      <c r="Z53" s="194"/>
      <c r="AA53" s="194"/>
      <c r="AB53" s="194"/>
      <c r="AC53" s="194"/>
      <c r="AD53" s="194"/>
      <c r="AE53" s="194"/>
      <c r="AF53" s="194"/>
      <c r="AG53" s="194"/>
      <c r="AH53" s="194"/>
      <c r="AI53" s="194"/>
      <c r="AJ53" s="203"/>
      <c r="AK53" s="203"/>
      <c r="AL53" s="203"/>
      <c r="AM53" s="203"/>
      <c r="AN53" s="203"/>
      <c r="AO53" s="203"/>
      <c r="AP53" s="203"/>
      <c r="AQ53" s="203"/>
    </row>
    <row r="54" spans="4:43" ht="15" customHeight="1">
      <c r="AJ54" s="147"/>
      <c r="AK54" s="147"/>
      <c r="AL54" s="147"/>
      <c r="AM54" s="147"/>
      <c r="AN54" s="147"/>
      <c r="AO54" s="147"/>
      <c r="AP54" s="147"/>
      <c r="AQ54" s="147"/>
    </row>
    <row r="55" spans="4:43" ht="15" customHeight="1">
      <c r="E55" s="156" t="s">
        <v>193</v>
      </c>
      <c r="G55" s="156" t="s">
        <v>49</v>
      </c>
      <c r="I55" s="174">
        <f>Input!I64</f>
        <v>2</v>
      </c>
      <c r="AJ55" s="147"/>
      <c r="AK55" s="147"/>
      <c r="AL55" s="147"/>
      <c r="AM55" s="147"/>
      <c r="AN55" s="147"/>
      <c r="AO55" s="147"/>
      <c r="AP55" s="147"/>
      <c r="AQ55" s="147"/>
    </row>
    <row r="56" spans="4:43" ht="15" customHeight="1">
      <c r="E56" s="156" t="s">
        <v>275</v>
      </c>
      <c r="G56" s="156" t="s">
        <v>59</v>
      </c>
      <c r="AJ56" s="145" t="b">
        <f t="shared" ref="AJ56:AQ56" si="2">YEAR($I$7) &gt;= YEAR(AJ$7) + $I55</f>
        <v>0</v>
      </c>
      <c r="AK56" s="145" t="b">
        <f t="shared" si="2"/>
        <v>0</v>
      </c>
      <c r="AL56" s="145" t="b">
        <f t="shared" si="2"/>
        <v>0</v>
      </c>
      <c r="AM56" s="145" t="b">
        <f t="shared" si="2"/>
        <v>0</v>
      </c>
      <c r="AN56" s="145" t="b">
        <f t="shared" si="2"/>
        <v>0</v>
      </c>
      <c r="AO56" s="145" t="b">
        <f t="shared" si="2"/>
        <v>0</v>
      </c>
      <c r="AP56" s="145" t="b">
        <f t="shared" si="2"/>
        <v>0</v>
      </c>
      <c r="AQ56" s="145" t="b">
        <f t="shared" si="2"/>
        <v>0</v>
      </c>
    </row>
    <row r="57" spans="4:43" ht="15" customHeight="1">
      <c r="E57" s="156" t="s">
        <v>276</v>
      </c>
      <c r="G57" s="156" t="s">
        <v>59</v>
      </c>
      <c r="AJ57" s="145" t="b">
        <f t="shared" ref="AJ57:AQ57" si="3">YEAR($I$7) &lt; YEAR(AJ$7) + $I55</f>
        <v>1</v>
      </c>
      <c r="AK57" s="145" t="b">
        <f t="shared" si="3"/>
        <v>1</v>
      </c>
      <c r="AL57" s="145" t="b">
        <f t="shared" si="3"/>
        <v>1</v>
      </c>
      <c r="AM57" s="145" t="b">
        <f t="shared" si="3"/>
        <v>1</v>
      </c>
      <c r="AN57" s="145" t="b">
        <f t="shared" si="3"/>
        <v>1</v>
      </c>
      <c r="AO57" s="145" t="b">
        <f t="shared" si="3"/>
        <v>1</v>
      </c>
      <c r="AP57" s="145" t="b">
        <f t="shared" si="3"/>
        <v>1</v>
      </c>
      <c r="AQ57" s="145" t="b">
        <f t="shared" si="3"/>
        <v>1</v>
      </c>
    </row>
    <row r="58" spans="4:43" ht="15" customHeight="1">
      <c r="AJ58" s="147"/>
      <c r="AK58" s="147"/>
      <c r="AL58" s="147"/>
      <c r="AM58" s="147"/>
      <c r="AN58" s="147"/>
      <c r="AO58" s="147"/>
      <c r="AP58" s="147"/>
      <c r="AQ58" s="147"/>
    </row>
    <row r="59" spans="4:43" ht="15" customHeight="1">
      <c r="D59" s="193" t="s">
        <v>189</v>
      </c>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202"/>
      <c r="AK59" s="202"/>
      <c r="AL59" s="202"/>
      <c r="AM59" s="202"/>
      <c r="AN59" s="202"/>
      <c r="AO59" s="202"/>
      <c r="AP59" s="202"/>
      <c r="AQ59" s="202"/>
    </row>
    <row r="60" spans="4:43" ht="15" customHeight="1">
      <c r="AJ60" s="147"/>
      <c r="AK60" s="147"/>
      <c r="AL60" s="147"/>
      <c r="AM60" s="147"/>
      <c r="AN60" s="147"/>
      <c r="AO60" s="147"/>
      <c r="AP60" s="147"/>
      <c r="AQ60" s="147"/>
    </row>
    <row r="61" spans="4:43" ht="15" customHeight="1">
      <c r="E61" s="161" t="s">
        <v>147</v>
      </c>
      <c r="G61" s="156" t="s">
        <v>657</v>
      </c>
      <c r="AJ61" s="147">
        <f>IF(AJ$56, Input!AJ252, 0)</f>
        <v>0</v>
      </c>
      <c r="AK61" s="147">
        <f>IF(AK$56, Input!AK252, 0)</f>
        <v>0</v>
      </c>
      <c r="AL61" s="147">
        <f>IF(AL$56, Input!AL252, 0)</f>
        <v>0</v>
      </c>
      <c r="AM61" s="147">
        <f>IF(AM$56, Input!AM252, 0)</f>
        <v>0</v>
      </c>
      <c r="AN61" s="147">
        <f>IF(AN$56, Input!AN252, 0)</f>
        <v>0</v>
      </c>
      <c r="AO61" s="147">
        <f>IF(AO$56, Input!AO252, 0)</f>
        <v>0</v>
      </c>
      <c r="AP61" s="147">
        <f>IF(AP$56, Input!AP252, 0)</f>
        <v>0</v>
      </c>
      <c r="AQ61" s="147">
        <f>IF(AQ$56, Input!AQ252, 0)</f>
        <v>0</v>
      </c>
    </row>
    <row r="62" spans="4:43" ht="15" customHeight="1">
      <c r="E62" s="161" t="s">
        <v>542</v>
      </c>
      <c r="G62" s="156" t="s">
        <v>657</v>
      </c>
      <c r="AJ62" s="147">
        <f>IF(AJ$56, Input!AJ253, 0)</f>
        <v>0</v>
      </c>
      <c r="AK62" s="147">
        <f>IF(AK$56, Input!AK253, 0)</f>
        <v>0</v>
      </c>
      <c r="AL62" s="147">
        <f>IF(AL$56, Input!AL253, 0)</f>
        <v>0</v>
      </c>
      <c r="AM62" s="147">
        <f>IF(AM$56, Input!AM253, 0)</f>
        <v>0</v>
      </c>
      <c r="AN62" s="147">
        <f>IF(AN$56, Input!AN253, 0)</f>
        <v>0</v>
      </c>
      <c r="AO62" s="147">
        <f>IF(AO$56, Input!AO253, 0)</f>
        <v>0</v>
      </c>
      <c r="AP62" s="147">
        <f>IF(AP$56, Input!AP253, 0)</f>
        <v>0</v>
      </c>
      <c r="AQ62" s="147">
        <f>IF(AQ$56, Input!AQ253, 0)</f>
        <v>0</v>
      </c>
    </row>
    <row r="63" spans="4:43" ht="15" customHeight="1">
      <c r="E63" s="161" t="s">
        <v>154</v>
      </c>
      <c r="G63" s="156" t="s">
        <v>657</v>
      </c>
      <c r="AJ63" s="147">
        <f>IF(AJ$56, Input!AJ254, 0)</f>
        <v>0</v>
      </c>
      <c r="AK63" s="147">
        <f>IF(AK$56, Input!AK254, 0)</f>
        <v>0</v>
      </c>
      <c r="AL63" s="147">
        <f>IF(AL$56, Input!AL254, 0)</f>
        <v>0</v>
      </c>
      <c r="AM63" s="147">
        <f>IF(AM$56, Input!AM254, 0)</f>
        <v>0</v>
      </c>
      <c r="AN63" s="147">
        <f>IF(AN$56, Input!AN254, 0)</f>
        <v>0</v>
      </c>
      <c r="AO63" s="147">
        <f>IF(AO$56, Input!AO254, 0)</f>
        <v>0</v>
      </c>
      <c r="AP63" s="147">
        <f>IF(AP$56, Input!AP254, 0)</f>
        <v>0</v>
      </c>
      <c r="AQ63" s="147">
        <f>IF(AQ$56, Input!AQ254, 0)</f>
        <v>0</v>
      </c>
    </row>
    <row r="64" spans="4:43" ht="15" customHeight="1">
      <c r="E64" s="161" t="s">
        <v>570</v>
      </c>
      <c r="G64" s="156" t="s">
        <v>657</v>
      </c>
      <c r="AJ64" s="147">
        <f>IF(AJ$56, Input!AJ255, 0)</f>
        <v>0</v>
      </c>
      <c r="AK64" s="147">
        <f>IF(AK$56, Input!AK255, 0)</f>
        <v>0</v>
      </c>
      <c r="AL64" s="147">
        <f>IF(AL$56, Input!AL255, 0)</f>
        <v>0</v>
      </c>
      <c r="AM64" s="147">
        <f>IF(AM$56, Input!AM255, 0)</f>
        <v>0</v>
      </c>
      <c r="AN64" s="147">
        <f>IF(AN$56, Input!AN255, 0)</f>
        <v>0</v>
      </c>
      <c r="AO64" s="147">
        <f>IF(AO$56, Input!AO255, 0)</f>
        <v>0</v>
      </c>
      <c r="AP64" s="147">
        <f>IF(AP$56, Input!AP255, 0)</f>
        <v>0</v>
      </c>
      <c r="AQ64" s="147">
        <f>IF(AQ$56, Input!AQ255, 0)</f>
        <v>0</v>
      </c>
    </row>
    <row r="65" spans="4:43" ht="15" customHeight="1">
      <c r="E65" s="378" t="s">
        <v>723</v>
      </c>
      <c r="G65" s="156" t="s">
        <v>657</v>
      </c>
      <c r="AJ65" s="378">
        <f>IF(AJ$56, Input!AJ256, 0)</f>
        <v>0</v>
      </c>
      <c r="AK65" s="378">
        <f>IF(AK$56, Input!AK256, 0)</f>
        <v>0</v>
      </c>
      <c r="AL65" s="378">
        <f>IF(AL$56, Input!AL256, 0)</f>
        <v>0</v>
      </c>
      <c r="AM65" s="378">
        <f>IF(AM$56, Input!AM256, 0)</f>
        <v>0</v>
      </c>
      <c r="AN65" s="378">
        <f>IF(AN$56, Input!AN256, 0)</f>
        <v>0</v>
      </c>
      <c r="AO65" s="378">
        <f>IF(AO$56, Input!AO256, 0)</f>
        <v>0</v>
      </c>
      <c r="AP65" s="378">
        <f>IF(AP$56, Input!AP256, 0)</f>
        <v>0</v>
      </c>
      <c r="AQ65" s="378">
        <f>IF(AQ$56, Input!AQ256, 0)</f>
        <v>0</v>
      </c>
    </row>
    <row r="66" spans="4:43" ht="15" customHeight="1">
      <c r="E66" s="161" t="s">
        <v>701</v>
      </c>
      <c r="G66" s="156" t="s">
        <v>657</v>
      </c>
      <c r="AJ66" s="147">
        <f>IF(AJ$56, Input!AJ257, 0)</f>
        <v>0</v>
      </c>
      <c r="AK66" s="147">
        <f>IF(AK$56, Input!AK257, 0)</f>
        <v>0</v>
      </c>
      <c r="AL66" s="147">
        <f>IF(AL$56, Input!AL257, 0)</f>
        <v>0</v>
      </c>
      <c r="AM66" s="147">
        <f>IF(AM$56, Input!AM257, 0)</f>
        <v>0</v>
      </c>
      <c r="AN66" s="147">
        <f>IF(AN$56, Input!AN257, 0)</f>
        <v>0</v>
      </c>
      <c r="AO66" s="147">
        <f>IF(AO$56, Input!AO257, 0)</f>
        <v>0</v>
      </c>
      <c r="AP66" s="147">
        <f>IF(AP$56, Input!AP257, 0)</f>
        <v>0</v>
      </c>
      <c r="AQ66" s="147">
        <f>IF(AQ$56, Input!AQ257, 0)</f>
        <v>0</v>
      </c>
    </row>
    <row r="67" spans="4:43" ht="15" customHeight="1">
      <c r="E67" s="161" t="s">
        <v>155</v>
      </c>
      <c r="G67" s="156" t="s">
        <v>657</v>
      </c>
      <c r="AJ67" s="147">
        <f>IF(AJ$56, Input!AJ258, 0)</f>
        <v>0</v>
      </c>
      <c r="AK67" s="147">
        <f>IF(AK$56, Input!AK258, 0)</f>
        <v>0</v>
      </c>
      <c r="AL67" s="147">
        <f>IF(AL$56, Input!AL258, 0)</f>
        <v>0</v>
      </c>
      <c r="AM67" s="147">
        <f>IF(AM$56, Input!AM258, 0)</f>
        <v>0</v>
      </c>
      <c r="AN67" s="147">
        <f>IF(AN$56, Input!AN258, 0)</f>
        <v>0</v>
      </c>
      <c r="AO67" s="147">
        <f>IF(AO$56, Input!AO258, 0)</f>
        <v>0</v>
      </c>
      <c r="AP67" s="147">
        <f>IF(AP$56, Input!AP258, 0)</f>
        <v>0</v>
      </c>
      <c r="AQ67" s="147">
        <f>IF(AQ$56, Input!AQ258, 0)</f>
        <v>0</v>
      </c>
    </row>
    <row r="68" spans="4:43" ht="15" customHeight="1">
      <c r="AJ68" s="147"/>
      <c r="AK68" s="147"/>
      <c r="AL68" s="147"/>
      <c r="AM68" s="147"/>
      <c r="AN68" s="147"/>
      <c r="AO68" s="147"/>
      <c r="AP68" s="147"/>
      <c r="AQ68" s="147"/>
    </row>
    <row r="69" spans="4:43" ht="15" customHeight="1">
      <c r="AJ69" s="147"/>
      <c r="AK69" s="147"/>
      <c r="AL69" s="147"/>
      <c r="AM69" s="147"/>
      <c r="AN69" s="147"/>
      <c r="AO69" s="147"/>
      <c r="AP69" s="147"/>
      <c r="AQ69" s="147"/>
    </row>
    <row r="70" spans="4:43" ht="15" customHeight="1">
      <c r="D70" s="193" t="s">
        <v>188</v>
      </c>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202"/>
      <c r="AK70" s="202"/>
      <c r="AL70" s="202"/>
      <c r="AM70" s="202"/>
      <c r="AN70" s="202"/>
      <c r="AO70" s="202"/>
      <c r="AP70" s="202"/>
      <c r="AQ70" s="202"/>
    </row>
    <row r="71" spans="4:43" ht="15" customHeight="1">
      <c r="AJ71" s="147"/>
      <c r="AK71" s="147"/>
      <c r="AL71" s="147"/>
      <c r="AM71" s="147"/>
      <c r="AN71" s="147"/>
      <c r="AO71" s="147"/>
      <c r="AP71" s="147"/>
      <c r="AQ71" s="147"/>
    </row>
    <row r="72" spans="4:43" ht="15" customHeight="1">
      <c r="E72" s="161" t="s">
        <v>270</v>
      </c>
      <c r="G72" s="156" t="s">
        <v>657</v>
      </c>
      <c r="AJ72" s="147">
        <f t="shared" ref="AJ72:AQ75" si="4">IF(AJ$57, AJ39, 0)</f>
        <v>29.998509159439635</v>
      </c>
      <c r="AK72" s="147">
        <f t="shared" si="4"/>
        <v>36.863495450317984</v>
      </c>
      <c r="AL72" s="147">
        <f t="shared" si="4"/>
        <v>34.780362338389125</v>
      </c>
      <c r="AM72" s="147">
        <f t="shared" si="4"/>
        <v>38.395806644473808</v>
      </c>
      <c r="AN72" s="147">
        <f t="shared" si="4"/>
        <v>18.057968689533375</v>
      </c>
      <c r="AO72" s="147">
        <f t="shared" si="4"/>
        <v>27.165661312650784</v>
      </c>
      <c r="AP72" s="147">
        <f t="shared" si="4"/>
        <v>38.328084023450032</v>
      </c>
      <c r="AQ72" s="147">
        <f t="shared" si="4"/>
        <v>33.445837567223187</v>
      </c>
    </row>
    <row r="73" spans="4:43" ht="15" customHeight="1">
      <c r="E73" s="161" t="s">
        <v>548</v>
      </c>
      <c r="G73" s="156" t="s">
        <v>657</v>
      </c>
      <c r="AJ73" s="147">
        <f t="shared" si="4"/>
        <v>98.544285533684103</v>
      </c>
      <c r="AK73" s="147">
        <f t="shared" si="4"/>
        <v>98.101321463569775</v>
      </c>
      <c r="AL73" s="147">
        <f t="shared" si="4"/>
        <v>94.127846133068672</v>
      </c>
      <c r="AM73" s="147">
        <f t="shared" si="4"/>
        <v>90.328260662393177</v>
      </c>
      <c r="AN73" s="147">
        <f t="shared" si="4"/>
        <v>85.802977841768524</v>
      </c>
      <c r="AO73" s="147">
        <f t="shared" si="4"/>
        <v>80.784021747478221</v>
      </c>
      <c r="AP73" s="147">
        <f t="shared" si="4"/>
        <v>79.465281145138448</v>
      </c>
      <c r="AQ73" s="147">
        <f t="shared" si="4"/>
        <v>81.212985445714878</v>
      </c>
    </row>
    <row r="74" spans="4:43" ht="15" customHeight="1">
      <c r="E74" s="161" t="s">
        <v>271</v>
      </c>
      <c r="G74" s="156" t="s">
        <v>657</v>
      </c>
      <c r="AJ74" s="147">
        <f t="shared" si="4"/>
        <v>18.283812963111675</v>
      </c>
      <c r="AK74" s="147">
        <f t="shared" si="4"/>
        <v>18.882044749337773</v>
      </c>
      <c r="AL74" s="147">
        <f t="shared" si="4"/>
        <v>15.912014727851897</v>
      </c>
      <c r="AM74" s="147">
        <f t="shared" si="4"/>
        <v>16.848923953317147</v>
      </c>
      <c r="AN74" s="147">
        <f t="shared" si="4"/>
        <v>12.386327025206619</v>
      </c>
      <c r="AO74" s="147">
        <f t="shared" si="4"/>
        <v>11.81186201810984</v>
      </c>
      <c r="AP74" s="147">
        <f t="shared" si="4"/>
        <v>11.486702004360975</v>
      </c>
      <c r="AQ74" s="147">
        <f t="shared" si="4"/>
        <v>10.926316773819124</v>
      </c>
    </row>
    <row r="75" spans="4:43" ht="15" customHeight="1">
      <c r="E75" s="161" t="s">
        <v>576</v>
      </c>
      <c r="G75" s="156" t="s">
        <v>657</v>
      </c>
      <c r="AJ75" s="147">
        <f t="shared" si="4"/>
        <v>33.075472950866427</v>
      </c>
      <c r="AK75" s="147">
        <f t="shared" si="4"/>
        <v>32.647566650312378</v>
      </c>
      <c r="AL75" s="147">
        <f t="shared" si="4"/>
        <v>32.409723916290844</v>
      </c>
      <c r="AM75" s="147">
        <f t="shared" si="4"/>
        <v>31.959557488822796</v>
      </c>
      <c r="AN75" s="147">
        <f t="shared" si="4"/>
        <v>31.728500492700274</v>
      </c>
      <c r="AO75" s="147">
        <f t="shared" si="4"/>
        <v>31.337508334745625</v>
      </c>
      <c r="AP75" s="147">
        <f t="shared" si="4"/>
        <v>32.269075565111294</v>
      </c>
      <c r="AQ75" s="147">
        <f t="shared" si="4"/>
        <v>30.716348122946656</v>
      </c>
    </row>
    <row r="76" spans="4:43" ht="15" customHeight="1">
      <c r="E76" s="378" t="s">
        <v>725</v>
      </c>
      <c r="G76" s="156" t="s">
        <v>657</v>
      </c>
      <c r="AJ76" s="378">
        <f>IF(AJ$57, AJ43, 0)</f>
        <v>14.464667097377436</v>
      </c>
      <c r="AK76" s="378">
        <f t="shared" ref="AK76:AQ76" si="5">IF(AK$57, AK43, 0)</f>
        <v>13.781760263106239</v>
      </c>
      <c r="AL76" s="378">
        <f t="shared" si="5"/>
        <v>13.291261586067108</v>
      </c>
      <c r="AM76" s="378">
        <f t="shared" si="5"/>
        <v>12.016137592784872</v>
      </c>
      <c r="AN76" s="378">
        <f t="shared" si="5"/>
        <v>11.838555095112556</v>
      </c>
      <c r="AO76" s="378">
        <f t="shared" si="5"/>
        <v>11.764027339866416</v>
      </c>
      <c r="AP76" s="378">
        <f t="shared" si="5"/>
        <v>11.583421337604523</v>
      </c>
      <c r="AQ76" s="378">
        <f t="shared" si="5"/>
        <v>11.406190361918512</v>
      </c>
    </row>
    <row r="77" spans="4:43" ht="15" customHeight="1">
      <c r="E77" s="161" t="s">
        <v>707</v>
      </c>
      <c r="G77" s="156" t="s">
        <v>657</v>
      </c>
      <c r="AJ77" s="147">
        <f>IF(AJ$57, AJ44, 0)</f>
        <v>10.972371627730068</v>
      </c>
      <c r="AK77" s="147">
        <f t="shared" ref="AK77:AQ78" si="6">IF(AK$57, AK44, 0)</f>
        <v>11.055160498805785</v>
      </c>
      <c r="AL77" s="147">
        <f t="shared" si="6"/>
        <v>10.777305068287735</v>
      </c>
      <c r="AM77" s="147">
        <f t="shared" si="6"/>
        <v>10.653384217169016</v>
      </c>
      <c r="AN77" s="147">
        <f t="shared" si="6"/>
        <v>10.218044023469375</v>
      </c>
      <c r="AO77" s="147">
        <f t="shared" si="6"/>
        <v>10.009970357363219</v>
      </c>
      <c r="AP77" s="147">
        <f t="shared" si="6"/>
        <v>9.9577183447683826</v>
      </c>
      <c r="AQ77" s="147">
        <f t="shared" si="6"/>
        <v>9.7867252424506699</v>
      </c>
    </row>
    <row r="78" spans="4:43" ht="15" customHeight="1">
      <c r="E78" s="161" t="s">
        <v>272</v>
      </c>
      <c r="G78" s="156" t="s">
        <v>657</v>
      </c>
      <c r="AJ78" s="147">
        <f>IF(AJ$57, AJ45, 0)</f>
        <v>100.80778833745489</v>
      </c>
      <c r="AK78" s="147">
        <f t="shared" si="6"/>
        <v>101.1680611793427</v>
      </c>
      <c r="AL78" s="147">
        <f t="shared" si="6"/>
        <v>103.10085304490384</v>
      </c>
      <c r="AM78" s="147">
        <f t="shared" si="6"/>
        <v>103.76362041753238</v>
      </c>
      <c r="AN78" s="147">
        <f t="shared" si="6"/>
        <v>103.33066887290096</v>
      </c>
      <c r="AO78" s="147">
        <f t="shared" si="6"/>
        <v>100.86654648553341</v>
      </c>
      <c r="AP78" s="147">
        <f t="shared" si="6"/>
        <v>98.614025048714595</v>
      </c>
      <c r="AQ78" s="147">
        <f t="shared" si="6"/>
        <v>96.989532647618674</v>
      </c>
    </row>
    <row r="79" spans="4:43" ht="15" customHeight="1">
      <c r="AJ79" s="147"/>
      <c r="AK79" s="147"/>
      <c r="AL79" s="147"/>
      <c r="AM79" s="147"/>
      <c r="AN79" s="147"/>
      <c r="AO79" s="147"/>
      <c r="AP79" s="147"/>
      <c r="AQ79" s="147"/>
    </row>
    <row r="80" spans="4:43" ht="15" customHeight="1">
      <c r="D80" s="193" t="s">
        <v>422</v>
      </c>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202"/>
      <c r="AK80" s="202"/>
      <c r="AL80" s="202"/>
      <c r="AM80" s="202"/>
      <c r="AN80" s="202"/>
      <c r="AO80" s="202"/>
      <c r="AP80" s="202"/>
      <c r="AQ80" s="202"/>
    </row>
    <row r="81" spans="2:43" ht="15" customHeight="1">
      <c r="D81" s="194" t="s">
        <v>273</v>
      </c>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03"/>
      <c r="AK81" s="203"/>
      <c r="AL81" s="203"/>
      <c r="AM81" s="203"/>
      <c r="AN81" s="203"/>
      <c r="AO81" s="203"/>
      <c r="AP81" s="203"/>
      <c r="AQ81" s="203"/>
    </row>
    <row r="82" spans="2:43" ht="15" customHeight="1">
      <c r="AJ82" s="147"/>
      <c r="AK82" s="147"/>
      <c r="AL82" s="147"/>
      <c r="AM82" s="147"/>
      <c r="AN82" s="147"/>
      <c r="AO82" s="147"/>
      <c r="AP82" s="147"/>
      <c r="AQ82" s="147"/>
    </row>
    <row r="83" spans="2:43" ht="15" customHeight="1">
      <c r="E83" s="161" t="s">
        <v>147</v>
      </c>
      <c r="G83" s="156" t="s">
        <v>657</v>
      </c>
      <c r="AJ83" s="147">
        <f t="shared" ref="AJ83:AQ89" si="7">AJ61 + AJ72</f>
        <v>29.998509159439635</v>
      </c>
      <c r="AK83" s="147">
        <f t="shared" si="7"/>
        <v>36.863495450317984</v>
      </c>
      <c r="AL83" s="147">
        <f t="shared" si="7"/>
        <v>34.780362338389125</v>
      </c>
      <c r="AM83" s="147">
        <f t="shared" si="7"/>
        <v>38.395806644473808</v>
      </c>
      <c r="AN83" s="147">
        <f t="shared" si="7"/>
        <v>18.057968689533375</v>
      </c>
      <c r="AO83" s="147">
        <f t="shared" si="7"/>
        <v>27.165661312650784</v>
      </c>
      <c r="AP83" s="147">
        <f t="shared" si="7"/>
        <v>38.328084023450032</v>
      </c>
      <c r="AQ83" s="147">
        <f t="shared" si="7"/>
        <v>33.445837567223187</v>
      </c>
    </row>
    <row r="84" spans="2:43" ht="15" customHeight="1">
      <c r="E84" s="161" t="s">
        <v>542</v>
      </c>
      <c r="G84" s="156" t="s">
        <v>657</v>
      </c>
      <c r="AJ84" s="147">
        <f t="shared" si="7"/>
        <v>98.544285533684103</v>
      </c>
      <c r="AK84" s="147">
        <f t="shared" si="7"/>
        <v>98.101321463569775</v>
      </c>
      <c r="AL84" s="147">
        <f t="shared" si="7"/>
        <v>94.127846133068672</v>
      </c>
      <c r="AM84" s="147">
        <f t="shared" si="7"/>
        <v>90.328260662393177</v>
      </c>
      <c r="AN84" s="147">
        <f t="shared" si="7"/>
        <v>85.802977841768524</v>
      </c>
      <c r="AO84" s="147">
        <f t="shared" si="7"/>
        <v>80.784021747478221</v>
      </c>
      <c r="AP84" s="147">
        <f t="shared" si="7"/>
        <v>79.465281145138448</v>
      </c>
      <c r="AQ84" s="147">
        <f t="shared" si="7"/>
        <v>81.212985445714878</v>
      </c>
    </row>
    <row r="85" spans="2:43" ht="15" customHeight="1">
      <c r="E85" s="161" t="s">
        <v>154</v>
      </c>
      <c r="G85" s="156" t="s">
        <v>657</v>
      </c>
      <c r="AJ85" s="147">
        <f t="shared" si="7"/>
        <v>18.283812963111675</v>
      </c>
      <c r="AK85" s="147">
        <f t="shared" si="7"/>
        <v>18.882044749337773</v>
      </c>
      <c r="AL85" s="147">
        <f t="shared" si="7"/>
        <v>15.912014727851897</v>
      </c>
      <c r="AM85" s="147">
        <f t="shared" si="7"/>
        <v>16.848923953317147</v>
      </c>
      <c r="AN85" s="147">
        <f t="shared" si="7"/>
        <v>12.386327025206619</v>
      </c>
      <c r="AO85" s="147">
        <f t="shared" si="7"/>
        <v>11.81186201810984</v>
      </c>
      <c r="AP85" s="147">
        <f t="shared" si="7"/>
        <v>11.486702004360975</v>
      </c>
      <c r="AQ85" s="147">
        <f t="shared" si="7"/>
        <v>10.926316773819124</v>
      </c>
    </row>
    <row r="86" spans="2:43" ht="15" customHeight="1">
      <c r="E86" s="161" t="s">
        <v>570</v>
      </c>
      <c r="G86" s="156" t="s">
        <v>657</v>
      </c>
      <c r="AJ86" s="147">
        <f t="shared" si="7"/>
        <v>33.075472950866427</v>
      </c>
      <c r="AK86" s="147">
        <f t="shared" si="7"/>
        <v>32.647566650312378</v>
      </c>
      <c r="AL86" s="147">
        <f t="shared" si="7"/>
        <v>32.409723916290844</v>
      </c>
      <c r="AM86" s="147">
        <f t="shared" si="7"/>
        <v>31.959557488822796</v>
      </c>
      <c r="AN86" s="147">
        <f t="shared" si="7"/>
        <v>31.728500492700274</v>
      </c>
      <c r="AO86" s="147">
        <f t="shared" si="7"/>
        <v>31.337508334745625</v>
      </c>
      <c r="AP86" s="147">
        <f t="shared" si="7"/>
        <v>32.269075565111294</v>
      </c>
      <c r="AQ86" s="147">
        <f t="shared" si="7"/>
        <v>30.716348122946656</v>
      </c>
    </row>
    <row r="87" spans="2:43" ht="15" customHeight="1">
      <c r="E87" s="378" t="s">
        <v>723</v>
      </c>
      <c r="G87" s="156" t="s">
        <v>657</v>
      </c>
      <c r="AJ87" s="378">
        <f t="shared" si="7"/>
        <v>14.464667097377436</v>
      </c>
      <c r="AK87" s="378">
        <f t="shared" si="7"/>
        <v>13.781760263106239</v>
      </c>
      <c r="AL87" s="378">
        <f t="shared" si="7"/>
        <v>13.291261586067108</v>
      </c>
      <c r="AM87" s="378">
        <f t="shared" si="7"/>
        <v>12.016137592784872</v>
      </c>
      <c r="AN87" s="378">
        <f t="shared" si="7"/>
        <v>11.838555095112556</v>
      </c>
      <c r="AO87" s="378">
        <f t="shared" si="7"/>
        <v>11.764027339866416</v>
      </c>
      <c r="AP87" s="378">
        <f t="shared" si="7"/>
        <v>11.583421337604523</v>
      </c>
      <c r="AQ87" s="378">
        <f t="shared" si="7"/>
        <v>11.406190361918512</v>
      </c>
    </row>
    <row r="88" spans="2:43" ht="15" customHeight="1">
      <c r="E88" s="161" t="s">
        <v>701</v>
      </c>
      <c r="G88" s="156" t="s">
        <v>657</v>
      </c>
      <c r="AJ88" s="147">
        <f t="shared" si="7"/>
        <v>10.972371627730068</v>
      </c>
      <c r="AK88" s="147">
        <f t="shared" si="7"/>
        <v>11.055160498805785</v>
      </c>
      <c r="AL88" s="147">
        <f t="shared" si="7"/>
        <v>10.777305068287735</v>
      </c>
      <c r="AM88" s="147">
        <f t="shared" si="7"/>
        <v>10.653384217169016</v>
      </c>
      <c r="AN88" s="147">
        <f t="shared" si="7"/>
        <v>10.218044023469375</v>
      </c>
      <c r="AO88" s="147">
        <f t="shared" si="7"/>
        <v>10.009970357363219</v>
      </c>
      <c r="AP88" s="147">
        <f t="shared" si="7"/>
        <v>9.9577183447683826</v>
      </c>
      <c r="AQ88" s="147">
        <f t="shared" si="7"/>
        <v>9.7867252424506699</v>
      </c>
    </row>
    <row r="89" spans="2:43" ht="15" customHeight="1">
      <c r="E89" s="161" t="s">
        <v>155</v>
      </c>
      <c r="G89" s="156" t="s">
        <v>657</v>
      </c>
      <c r="AJ89" s="147">
        <f t="shared" si="7"/>
        <v>100.80778833745489</v>
      </c>
      <c r="AK89" s="147">
        <f t="shared" si="7"/>
        <v>101.1680611793427</v>
      </c>
      <c r="AL89" s="147">
        <f t="shared" si="7"/>
        <v>103.10085304490384</v>
      </c>
      <c r="AM89" s="147">
        <f t="shared" si="7"/>
        <v>103.76362041753238</v>
      </c>
      <c r="AN89" s="147">
        <f t="shared" si="7"/>
        <v>103.33066887290096</v>
      </c>
      <c r="AO89" s="147">
        <f t="shared" si="7"/>
        <v>100.86654648553341</v>
      </c>
      <c r="AP89" s="147">
        <f t="shared" si="7"/>
        <v>98.614025048714595</v>
      </c>
      <c r="AQ89" s="147">
        <f t="shared" si="7"/>
        <v>96.989532647618674</v>
      </c>
    </row>
    <row r="90" spans="2:43" ht="15" customHeight="1">
      <c r="E90" s="156" t="s">
        <v>148</v>
      </c>
      <c r="G90" s="156" t="s">
        <v>657</v>
      </c>
      <c r="AJ90" s="166">
        <f t="shared" ref="AJ90:AQ90" si="8">SUM(AJ83:AJ89)</f>
        <v>306.14690766966419</v>
      </c>
      <c r="AK90" s="166">
        <f t="shared" si="8"/>
        <v>312.49941025479262</v>
      </c>
      <c r="AL90" s="166">
        <f t="shared" si="8"/>
        <v>304.39936681485921</v>
      </c>
      <c r="AM90" s="166">
        <f t="shared" si="8"/>
        <v>303.96569097649319</v>
      </c>
      <c r="AN90" s="166">
        <f t="shared" si="8"/>
        <v>273.36304204069165</v>
      </c>
      <c r="AO90" s="166">
        <f t="shared" si="8"/>
        <v>273.73959759574745</v>
      </c>
      <c r="AP90" s="166">
        <f t="shared" si="8"/>
        <v>281.70430746914826</v>
      </c>
      <c r="AQ90" s="166">
        <f t="shared" si="8"/>
        <v>274.4839361616917</v>
      </c>
    </row>
    <row r="91" spans="2:43" ht="15" customHeight="1"/>
    <row r="92" spans="2:43" ht="15" customHeight="1">
      <c r="B92" s="84" t="s">
        <v>51</v>
      </c>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row>
    <row r="93" spans="2:43" ht="15" customHeight="1"/>
    <row r="94" spans="2:43" ht="15" hidden="1" customHeight="1"/>
    <row r="95" spans="2:43" ht="15" hidden="1" customHeight="1"/>
    <row r="96" spans="2:43"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sheetData>
  <conditionalFormatting sqref="AJ56:AQ57">
    <cfRule type="cellIs" dxfId="83" priority="4" operator="equal">
      <formula>FALSE()</formula>
    </cfRule>
  </conditionalFormatting>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01" r:id="rId4" name="Drop Down 1">
              <controlPr defaultSize="0" autoLine="0" autoPict="0">
                <anchor moveWithCells="1">
                  <from>
                    <xdr:col>4</xdr:col>
                    <xdr:colOff>981075</xdr:colOff>
                    <xdr:row>1</xdr:row>
                    <xdr:rowOff>47625</xdr:rowOff>
                  </from>
                  <to>
                    <xdr:col>4</xdr:col>
                    <xdr:colOff>3419475</xdr:colOff>
                    <xdr:row>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tint="0.59999389629810485"/>
    <pageSetUpPr autoPageBreaks="0" fitToPage="1"/>
  </sheetPr>
  <dimension ref="A1:AR158"/>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zeroHeight="1" outlineLevelCol="1"/>
  <cols>
    <col min="1" max="4" width="1.625" style="16" customWidth="1"/>
    <col min="5" max="5" width="50.625" style="16" customWidth="1"/>
    <col min="6" max="6" width="1.625" style="16" customWidth="1"/>
    <col min="7" max="7" width="12.625" style="16" bestFit="1" customWidth="1"/>
    <col min="8" max="8" width="1.625" style="16" customWidth="1"/>
    <col min="9" max="9" width="10.625" style="16" customWidth="1"/>
    <col min="10" max="10" width="1.625" style="16" customWidth="1"/>
    <col min="11" max="30" width="10.625" style="16" hidden="1" customWidth="1" outlineLevel="1"/>
    <col min="31" max="32" width="10.625" style="190" hidden="1" customWidth="1" outlineLevel="1"/>
    <col min="33" max="35" width="10.625" style="16" hidden="1" customWidth="1" outlineLevel="1"/>
    <col min="36" max="36" width="10.625" style="16" customWidth="1" collapsed="1"/>
    <col min="37" max="43" width="10.625" style="16" customWidth="1"/>
    <col min="44" max="44" width="1.625" style="16" customWidth="1"/>
    <col min="45" max="16384" width="9" style="16" hidden="1"/>
  </cols>
  <sheetData>
    <row r="1" spans="1:44" s="7" customFormat="1" ht="19.5">
      <c r="A1" s="5" t="s">
        <v>243</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K1" s="6"/>
      <c r="AL1" s="6"/>
      <c r="AM1" s="6"/>
      <c r="AN1" s="6"/>
      <c r="AO1" s="6"/>
      <c r="AP1" s="6"/>
      <c r="AQ1" s="6"/>
      <c r="AR1" s="47"/>
    </row>
    <row r="2" spans="1:44" s="7" customForma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7" customForma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7" customForma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7" customForma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7" customForma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7" customForma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s="156" customFormat="1"/>
    <row r="9" spans="1:44" s="156" customFormat="1">
      <c r="B9" s="15" t="s">
        <v>86</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s="156" customFormat="1"/>
    <row r="11" spans="1:44" s="156" customFormat="1">
      <c r="C11" s="17" t="s">
        <v>416</v>
      </c>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row>
    <row r="12" spans="1:44" s="156" customFormat="1"/>
    <row r="13" spans="1:44" s="156" customFormat="1">
      <c r="E13" s="156" t="s">
        <v>416</v>
      </c>
      <c r="G13" s="156" t="s">
        <v>47</v>
      </c>
      <c r="I13" s="246">
        <f>Input!I70</f>
        <v>0.56471375271214463</v>
      </c>
    </row>
    <row r="14" spans="1:44" s="156" customFormat="1">
      <c r="G14" s="99"/>
      <c r="I14" s="147"/>
    </row>
    <row r="15" spans="1:44" s="156" customFormat="1">
      <c r="C15" s="17" t="s">
        <v>22</v>
      </c>
      <c r="D15" s="17"/>
      <c r="E15" s="17"/>
      <c r="F15" s="17"/>
      <c r="G15" s="17"/>
      <c r="H15" s="17"/>
      <c r="I15" s="292"/>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row>
    <row r="16" spans="1:44" s="156" customFormat="1">
      <c r="E16" s="99"/>
      <c r="F16" s="99"/>
      <c r="G16" s="99"/>
      <c r="H16" s="99"/>
      <c r="I16" s="300"/>
    </row>
    <row r="17" spans="2:43" s="156" customFormat="1">
      <c r="E17" s="53" t="s">
        <v>21</v>
      </c>
      <c r="F17" s="99"/>
      <c r="G17" s="99" t="s">
        <v>47</v>
      </c>
      <c r="H17" s="99"/>
      <c r="I17" s="290">
        <f>Input!I72</f>
        <v>0.75</v>
      </c>
    </row>
    <row r="18" spans="2:43" s="156" customFormat="1">
      <c r="E18" s="53" t="s">
        <v>34</v>
      </c>
      <c r="F18" s="99"/>
      <c r="G18" s="99" t="s">
        <v>47</v>
      </c>
      <c r="H18" s="99"/>
      <c r="I18" s="290">
        <f>Input!I73</f>
        <v>0.25</v>
      </c>
    </row>
    <row r="19" spans="2:43" s="156" customFormat="1">
      <c r="E19" s="53"/>
      <c r="F19" s="99"/>
      <c r="G19" s="99"/>
      <c r="H19" s="99"/>
      <c r="I19" s="301"/>
    </row>
    <row r="20" spans="2:43" s="156" customFormat="1">
      <c r="E20" s="156" t="s">
        <v>458</v>
      </c>
      <c r="F20" s="99"/>
      <c r="G20" s="190" t="s">
        <v>657</v>
      </c>
      <c r="H20" s="99"/>
      <c r="I20" s="298">
        <f>Input!I78</f>
        <v>3395.8059074568127</v>
      </c>
    </row>
    <row r="21" spans="2:43" s="156" customFormat="1">
      <c r="E21" s="156" t="s">
        <v>819</v>
      </c>
      <c r="F21" s="99"/>
      <c r="G21" s="190" t="s">
        <v>657</v>
      </c>
      <c r="H21" s="99"/>
      <c r="I21" s="298">
        <f>Input!$I$492</f>
        <v>-9.352920000000001</v>
      </c>
    </row>
    <row r="22" spans="2:43" s="156" customFormat="1">
      <c r="E22" s="156" t="s">
        <v>818</v>
      </c>
      <c r="F22" s="99"/>
      <c r="G22" s="190" t="s">
        <v>657</v>
      </c>
      <c r="H22" s="99"/>
      <c r="I22" s="433">
        <f>SUM(I20:I21)</f>
        <v>3386.4529874568129</v>
      </c>
    </row>
    <row r="23" spans="2:43" s="156" customFormat="1">
      <c r="I23" s="147"/>
    </row>
    <row r="24" spans="2:43" s="156" customFormat="1">
      <c r="E24" s="99" t="s">
        <v>596</v>
      </c>
      <c r="F24" s="99"/>
      <c r="G24" s="99" t="s">
        <v>47</v>
      </c>
      <c r="H24" s="99"/>
      <c r="I24" s="246">
        <f>Input!I68</f>
        <v>1.2012274398135502E-3</v>
      </c>
    </row>
    <row r="25" spans="2:43" s="156" customFormat="1">
      <c r="E25" s="99"/>
      <c r="F25" s="99"/>
      <c r="G25" s="99"/>
      <c r="H25" s="99"/>
      <c r="I25" s="53"/>
    </row>
    <row r="26" spans="2:43" s="156" customFormat="1">
      <c r="E26" s="156" t="s">
        <v>20</v>
      </c>
      <c r="G26" s="190" t="s">
        <v>657</v>
      </c>
      <c r="I26" s="32">
        <f>I22*I24</f>
        <v>4.0679002521716958</v>
      </c>
      <c r="AK26" s="438"/>
    </row>
    <row r="27" spans="2:43" s="156" customFormat="1">
      <c r="G27" s="190"/>
      <c r="I27" s="147"/>
    </row>
    <row r="28" spans="2:43" s="156" customFormat="1">
      <c r="E28" s="156" t="s">
        <v>459</v>
      </c>
      <c r="G28" s="190" t="s">
        <v>657</v>
      </c>
      <c r="I28" s="298">
        <f>Input!I75*Input!$I$72+Input!I76*Input!$I$73</f>
        <v>2334.4622589830878</v>
      </c>
    </row>
    <row r="29" spans="2:43" s="156" customFormat="1">
      <c r="E29" s="156" t="s">
        <v>456</v>
      </c>
      <c r="G29" s="190" t="s">
        <v>657</v>
      </c>
      <c r="I29" s="298">
        <f>Input!I78*I17 + Input!I79*I18</f>
        <v>3455.7178721843911</v>
      </c>
    </row>
    <row r="30" spans="2:43" s="156" customFormat="1">
      <c r="E30" s="156" t="s">
        <v>457</v>
      </c>
      <c r="G30" s="190" t="s">
        <v>47</v>
      </c>
      <c r="I30" s="299">
        <f>I28 / I29</f>
        <v>0.67553612457010348</v>
      </c>
    </row>
    <row r="31" spans="2:43" s="156" customFormat="1"/>
    <row r="32" spans="2:43" s="11" customFormat="1" ht="15" customHeight="1">
      <c r="B32" s="15" t="s">
        <v>86</v>
      </c>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row>
    <row r="33" spans="3:44" s="11" customFormat="1" ht="15" customHeight="1">
      <c r="AE33" s="156"/>
      <c r="AF33" s="156"/>
    </row>
    <row r="34" spans="3:44" s="11" customFormat="1" ht="15" customHeight="1">
      <c r="C34" s="17" t="s">
        <v>149</v>
      </c>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row>
    <row r="35" spans="3:44" s="11" customFormat="1" ht="15" customHeight="1">
      <c r="C35" s="169" t="s">
        <v>658</v>
      </c>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9"/>
      <c r="AM35" s="169"/>
      <c r="AN35" s="169"/>
      <c r="AO35" s="169"/>
      <c r="AP35" s="169"/>
      <c r="AQ35" s="169"/>
    </row>
    <row r="36" spans="3:44" s="156" customFormat="1" ht="15" customHeight="1"/>
    <row r="37" spans="3:44" s="156" customFormat="1" ht="15" customHeight="1">
      <c r="D37" s="193" t="s">
        <v>659</v>
      </c>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202"/>
      <c r="AK37" s="202"/>
      <c r="AL37" s="202"/>
      <c r="AM37" s="202"/>
      <c r="AN37" s="202"/>
      <c r="AO37" s="202"/>
      <c r="AP37" s="202"/>
      <c r="AQ37" s="202"/>
    </row>
    <row r="38" spans="3:44" s="156" customFormat="1" ht="15" customHeight="1"/>
    <row r="39" spans="3:44" s="11" customFormat="1" ht="15" customHeight="1">
      <c r="E39" s="156" t="s">
        <v>660</v>
      </c>
      <c r="G39" s="156" t="s">
        <v>657</v>
      </c>
      <c r="AE39" s="156"/>
      <c r="AF39" s="156"/>
      <c r="AJ39" s="147">
        <f>Totex!AJ90</f>
        <v>306.14690766966419</v>
      </c>
      <c r="AK39" s="147">
        <f>Totex!AK90</f>
        <v>312.49941025479262</v>
      </c>
      <c r="AL39" s="147">
        <f>Totex!AL90</f>
        <v>304.39936681485921</v>
      </c>
      <c r="AM39" s="147">
        <f>Totex!AM90</f>
        <v>303.96569097649319</v>
      </c>
      <c r="AN39" s="147">
        <f>Totex!AN90</f>
        <v>273.36304204069165</v>
      </c>
      <c r="AO39" s="147">
        <f>Totex!AO90</f>
        <v>273.73959759574745</v>
      </c>
      <c r="AP39" s="147">
        <f>Totex!AP90</f>
        <v>281.70430746914826</v>
      </c>
      <c r="AQ39" s="147">
        <f>Totex!AQ90</f>
        <v>274.4839361616917</v>
      </c>
    </row>
    <row r="40" spans="3:44" s="11" customFormat="1" ht="15" customHeight="1">
      <c r="E40" s="156" t="s">
        <v>661</v>
      </c>
      <c r="G40" s="156" t="s">
        <v>657</v>
      </c>
      <c r="AE40" s="156"/>
      <c r="AF40" s="156"/>
      <c r="AJ40" s="147">
        <f>-Totex!AJ46</f>
        <v>-306.14690766966419</v>
      </c>
      <c r="AK40" s="147">
        <f>-Totex!AK46</f>
        <v>-312.49941025479262</v>
      </c>
      <c r="AL40" s="147">
        <f>-Totex!AL46</f>
        <v>-304.39936681485921</v>
      </c>
      <c r="AM40" s="147">
        <f>-Totex!AM46</f>
        <v>-303.96569097649319</v>
      </c>
      <c r="AN40" s="147">
        <f>-Totex!AN46</f>
        <v>-273.36304204069165</v>
      </c>
      <c r="AO40" s="147">
        <f>-Totex!AO46</f>
        <v>-273.73959759574745</v>
      </c>
      <c r="AP40" s="147">
        <f>-Totex!AP46</f>
        <v>-281.70430746914826</v>
      </c>
      <c r="AQ40" s="147">
        <f>-Totex!AQ46</f>
        <v>-274.4839361616917</v>
      </c>
    </row>
    <row r="41" spans="3:44" s="11" customFormat="1" ht="15" customHeight="1">
      <c r="E41" s="156" t="s">
        <v>662</v>
      </c>
      <c r="G41" s="156" t="s">
        <v>657</v>
      </c>
      <c r="AE41" s="156"/>
      <c r="AF41" s="156"/>
      <c r="AJ41" s="166">
        <f t="shared" ref="AJ41:AQ41" si="0">SUM(AJ39:AJ40)</f>
        <v>0</v>
      </c>
      <c r="AK41" s="166">
        <f t="shared" si="0"/>
        <v>0</v>
      </c>
      <c r="AL41" s="166">
        <f t="shared" si="0"/>
        <v>0</v>
      </c>
      <c r="AM41" s="166">
        <f t="shared" si="0"/>
        <v>0</v>
      </c>
      <c r="AN41" s="166">
        <f t="shared" si="0"/>
        <v>0</v>
      </c>
      <c r="AO41" s="166">
        <f t="shared" si="0"/>
        <v>0</v>
      </c>
      <c r="AP41" s="166">
        <f t="shared" si="0"/>
        <v>0</v>
      </c>
      <c r="AQ41" s="166">
        <f t="shared" si="0"/>
        <v>0</v>
      </c>
    </row>
    <row r="42" spans="3:44" s="11" customFormat="1" ht="15" customHeight="1">
      <c r="AE42" s="156"/>
      <c r="AF42" s="156"/>
      <c r="AJ42" s="145"/>
      <c r="AK42" s="145"/>
      <c r="AL42" s="145"/>
      <c r="AM42" s="145"/>
      <c r="AN42" s="145"/>
      <c r="AO42" s="145"/>
      <c r="AP42" s="145"/>
      <c r="AQ42" s="145"/>
      <c r="AR42" s="12"/>
    </row>
    <row r="43" spans="3:44" s="11" customFormat="1" ht="15" customHeight="1">
      <c r="E43" s="156" t="s">
        <v>486</v>
      </c>
      <c r="G43" s="11" t="s">
        <v>47</v>
      </c>
      <c r="AE43" s="156"/>
      <c r="AF43" s="156"/>
      <c r="AJ43" s="234">
        <f>(1 - $I$13)</f>
        <v>0.43528624728785537</v>
      </c>
      <c r="AK43" s="234">
        <f t="shared" ref="AK43:AQ43" si="1">(1 - $I$13)</f>
        <v>0.43528624728785537</v>
      </c>
      <c r="AL43" s="234">
        <f t="shared" si="1"/>
        <v>0.43528624728785537</v>
      </c>
      <c r="AM43" s="234">
        <f t="shared" si="1"/>
        <v>0.43528624728785537</v>
      </c>
      <c r="AN43" s="234">
        <f t="shared" si="1"/>
        <v>0.43528624728785537</v>
      </c>
      <c r="AO43" s="234">
        <f t="shared" si="1"/>
        <v>0.43528624728785537</v>
      </c>
      <c r="AP43" s="234">
        <f t="shared" si="1"/>
        <v>0.43528624728785537</v>
      </c>
      <c r="AQ43" s="234">
        <f t="shared" si="1"/>
        <v>0.43528624728785537</v>
      </c>
    </row>
    <row r="44" spans="3:44" s="11" customFormat="1" ht="15" customHeight="1">
      <c r="AE44" s="156"/>
      <c r="AF44" s="156"/>
      <c r="AJ44" s="147"/>
      <c r="AK44" s="147"/>
      <c r="AL44" s="147"/>
      <c r="AM44" s="147"/>
      <c r="AN44" s="147"/>
      <c r="AO44" s="147"/>
      <c r="AP44" s="147"/>
      <c r="AQ44" s="147"/>
    </row>
    <row r="45" spans="3:44" s="11" customFormat="1" ht="15" customHeight="1">
      <c r="E45" s="156" t="s">
        <v>667</v>
      </c>
      <c r="G45" s="156" t="s">
        <v>657</v>
      </c>
      <c r="AE45" s="156"/>
      <c r="AF45" s="156"/>
      <c r="AJ45" s="32">
        <f>AJ$43 * AJ41</f>
        <v>0</v>
      </c>
      <c r="AK45" s="32">
        <f>AK$43 * AK41</f>
        <v>0</v>
      </c>
      <c r="AL45" s="32">
        <f t="shared" ref="AL45:AQ45" si="2">AL$43 * AL41</f>
        <v>0</v>
      </c>
      <c r="AM45" s="32">
        <f t="shared" si="2"/>
        <v>0</v>
      </c>
      <c r="AN45" s="32">
        <f t="shared" si="2"/>
        <v>0</v>
      </c>
      <c r="AO45" s="32">
        <f t="shared" si="2"/>
        <v>0</v>
      </c>
      <c r="AP45" s="32">
        <f t="shared" si="2"/>
        <v>0</v>
      </c>
      <c r="AQ45" s="32">
        <f t="shared" si="2"/>
        <v>0</v>
      </c>
    </row>
    <row r="46" spans="3:44" s="11" customFormat="1" ht="15" customHeight="1">
      <c r="AE46" s="156"/>
      <c r="AF46" s="156"/>
      <c r="AJ46" s="147"/>
      <c r="AK46" s="147"/>
      <c r="AL46" s="147"/>
      <c r="AM46" s="147"/>
      <c r="AN46" s="147"/>
      <c r="AO46" s="147"/>
      <c r="AP46" s="147"/>
      <c r="AQ46" s="147"/>
    </row>
    <row r="47" spans="3:44" s="11" customFormat="1" ht="15" customHeight="1">
      <c r="C47" s="17" t="s">
        <v>95</v>
      </c>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292"/>
      <c r="AK47" s="292"/>
      <c r="AL47" s="292"/>
      <c r="AM47" s="292"/>
      <c r="AN47" s="292"/>
      <c r="AO47" s="292"/>
      <c r="AP47" s="292"/>
      <c r="AQ47" s="292"/>
    </row>
    <row r="48" spans="3:44" s="11" customFormat="1" ht="15" customHeight="1">
      <c r="C48" s="169" t="s">
        <v>194</v>
      </c>
      <c r="D48" s="169"/>
      <c r="E48" s="169"/>
      <c r="F48" s="169"/>
      <c r="G48" s="169"/>
      <c r="H48" s="169"/>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94"/>
      <c r="AK48" s="194"/>
      <c r="AL48" s="194"/>
      <c r="AM48" s="194"/>
      <c r="AN48" s="194"/>
      <c r="AO48" s="194"/>
      <c r="AP48" s="194"/>
      <c r="AQ48" s="194"/>
    </row>
    <row r="49" spans="2:43" s="156" customFormat="1" ht="15" customHeight="1">
      <c r="AJ49" s="147"/>
      <c r="AK49" s="147"/>
      <c r="AL49" s="147"/>
      <c r="AM49" s="147"/>
      <c r="AN49" s="147"/>
      <c r="AO49" s="147"/>
      <c r="AP49" s="147"/>
      <c r="AQ49" s="147"/>
    </row>
    <row r="50" spans="2:43" s="156" customFormat="1" ht="15" customHeight="1">
      <c r="D50" s="193" t="s">
        <v>549</v>
      </c>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202"/>
      <c r="AK50" s="202"/>
      <c r="AL50" s="202"/>
      <c r="AM50" s="202"/>
      <c r="AN50" s="202"/>
      <c r="AO50" s="202"/>
      <c r="AP50" s="202"/>
      <c r="AQ50" s="202"/>
    </row>
    <row r="51" spans="2:43" s="156" customFormat="1" ht="15" customHeight="1">
      <c r="AJ51" s="147"/>
      <c r="AK51" s="147"/>
      <c r="AL51" s="147"/>
      <c r="AM51" s="147"/>
      <c r="AN51" s="147"/>
      <c r="AO51" s="147"/>
      <c r="AP51" s="147"/>
      <c r="AQ51" s="147"/>
    </row>
    <row r="52" spans="2:43" s="11" customFormat="1" ht="15" customHeight="1">
      <c r="E52" s="156" t="s">
        <v>146</v>
      </c>
      <c r="G52" s="156" t="s">
        <v>657</v>
      </c>
      <c r="AE52" s="156"/>
      <c r="AF52" s="156"/>
      <c r="AJ52" s="147">
        <f>-AJ40</f>
        <v>306.14690766966419</v>
      </c>
      <c r="AK52" s="147">
        <f t="shared" ref="AK52:AQ52" si="3">-AK40</f>
        <v>312.49941025479262</v>
      </c>
      <c r="AL52" s="147">
        <f t="shared" si="3"/>
        <v>304.39936681485921</v>
      </c>
      <c r="AM52" s="147">
        <f t="shared" si="3"/>
        <v>303.96569097649319</v>
      </c>
      <c r="AN52" s="147">
        <f t="shared" si="3"/>
        <v>273.36304204069165</v>
      </c>
      <c r="AO52" s="147">
        <f t="shared" si="3"/>
        <v>273.73959759574745</v>
      </c>
      <c r="AP52" s="147">
        <f t="shared" si="3"/>
        <v>281.70430746914826</v>
      </c>
      <c r="AQ52" s="147">
        <f t="shared" si="3"/>
        <v>274.4839361616917</v>
      </c>
    </row>
    <row r="53" spans="2:43" s="11" customFormat="1" ht="15" customHeight="1">
      <c r="E53" s="156" t="s">
        <v>667</v>
      </c>
      <c r="G53" s="156" t="s">
        <v>657</v>
      </c>
      <c r="AE53" s="156"/>
      <c r="AF53" s="156"/>
      <c r="AJ53" s="147">
        <f t="shared" ref="AJ53:AQ53" si="4">AJ45</f>
        <v>0</v>
      </c>
      <c r="AK53" s="147">
        <f t="shared" si="4"/>
        <v>0</v>
      </c>
      <c r="AL53" s="147">
        <f t="shared" si="4"/>
        <v>0</v>
      </c>
      <c r="AM53" s="147">
        <f t="shared" si="4"/>
        <v>0</v>
      </c>
      <c r="AN53" s="147">
        <f t="shared" si="4"/>
        <v>0</v>
      </c>
      <c r="AO53" s="147">
        <f t="shared" si="4"/>
        <v>0</v>
      </c>
      <c r="AP53" s="147">
        <f t="shared" si="4"/>
        <v>0</v>
      </c>
      <c r="AQ53" s="147">
        <f t="shared" si="4"/>
        <v>0</v>
      </c>
    </row>
    <row r="54" spans="2:43" s="11" customFormat="1" ht="15" customHeight="1">
      <c r="E54" s="156" t="s">
        <v>95</v>
      </c>
      <c r="G54" s="156" t="s">
        <v>657</v>
      </c>
      <c r="AE54" s="156"/>
      <c r="AF54" s="156"/>
      <c r="AJ54" s="166">
        <f t="shared" ref="AJ54:AQ54" si="5">SUM(AJ52:AJ53)</f>
        <v>306.14690766966419</v>
      </c>
      <c r="AK54" s="166">
        <f t="shared" si="5"/>
        <v>312.49941025479262</v>
      </c>
      <c r="AL54" s="166">
        <f t="shared" si="5"/>
        <v>304.39936681485921</v>
      </c>
      <c r="AM54" s="166">
        <f t="shared" si="5"/>
        <v>303.96569097649319</v>
      </c>
      <c r="AN54" s="166">
        <f t="shared" si="5"/>
        <v>273.36304204069165</v>
      </c>
      <c r="AO54" s="166">
        <f t="shared" si="5"/>
        <v>273.73959759574745</v>
      </c>
      <c r="AP54" s="166">
        <f t="shared" si="5"/>
        <v>281.70430746914826</v>
      </c>
      <c r="AQ54" s="166">
        <f t="shared" si="5"/>
        <v>274.4839361616917</v>
      </c>
    </row>
    <row r="55" spans="2:43" s="11" customFormat="1" ht="15" customHeight="1">
      <c r="AE55" s="156"/>
      <c r="AF55" s="156"/>
      <c r="AJ55" s="161"/>
      <c r="AK55" s="161"/>
      <c r="AL55" s="161"/>
      <c r="AM55" s="161"/>
      <c r="AN55" s="161"/>
      <c r="AO55" s="161"/>
      <c r="AP55" s="161"/>
      <c r="AQ55" s="161"/>
    </row>
    <row r="56" spans="2:43" s="11" customFormat="1" ht="15" customHeight="1">
      <c r="B56" s="15" t="s">
        <v>85</v>
      </c>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294"/>
      <c r="AK56" s="294"/>
      <c r="AL56" s="294"/>
      <c r="AM56" s="294"/>
      <c r="AN56" s="294"/>
      <c r="AO56" s="294"/>
      <c r="AP56" s="294"/>
      <c r="AQ56" s="294"/>
    </row>
    <row r="57" spans="2:43" s="156" customFormat="1" ht="15" customHeight="1">
      <c r="B57" s="169" t="s">
        <v>666</v>
      </c>
      <c r="C57" s="169"/>
      <c r="D57" s="169"/>
      <c r="E57" s="169"/>
      <c r="F57" s="169"/>
      <c r="G57" s="169"/>
      <c r="H57" s="169"/>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94"/>
      <c r="AK57" s="194"/>
      <c r="AL57" s="194"/>
      <c r="AM57" s="194"/>
      <c r="AN57" s="194"/>
      <c r="AO57" s="194"/>
      <c r="AP57" s="194"/>
      <c r="AQ57" s="194"/>
    </row>
    <row r="58" spans="2:43" s="156" customFormat="1" ht="15" customHeight="1">
      <c r="B58" s="170" t="s">
        <v>190</v>
      </c>
      <c r="C58" s="169"/>
      <c r="D58" s="169"/>
      <c r="E58" s="169"/>
      <c r="F58" s="169"/>
      <c r="G58" s="169"/>
      <c r="H58" s="169"/>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94"/>
      <c r="AK58" s="194"/>
      <c r="AL58" s="194"/>
      <c r="AM58" s="194"/>
      <c r="AN58" s="194"/>
      <c r="AO58" s="194"/>
      <c r="AP58" s="194"/>
      <c r="AQ58" s="194"/>
    </row>
    <row r="59" spans="2:43" s="156" customFormat="1" ht="15" customHeight="1">
      <c r="B59" s="170" t="s">
        <v>192</v>
      </c>
      <c r="C59" s="169"/>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94"/>
      <c r="AK59" s="194"/>
      <c r="AL59" s="194"/>
      <c r="AM59" s="194"/>
      <c r="AN59" s="194"/>
      <c r="AO59" s="194"/>
      <c r="AP59" s="194"/>
      <c r="AQ59" s="194"/>
    </row>
    <row r="60" spans="2:43" s="156" customFormat="1" ht="15" customHeight="1">
      <c r="AJ60" s="161"/>
      <c r="AK60" s="161"/>
      <c r="AL60" s="161"/>
      <c r="AM60" s="161"/>
      <c r="AN60" s="161"/>
      <c r="AO60" s="161"/>
      <c r="AP60" s="161"/>
      <c r="AQ60" s="161"/>
    </row>
    <row r="61" spans="2:43" s="156" customFormat="1" ht="15" customHeight="1">
      <c r="C61" s="17" t="s">
        <v>487</v>
      </c>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292"/>
      <c r="AK61" s="292"/>
      <c r="AL61" s="292"/>
      <c r="AM61" s="292"/>
      <c r="AN61" s="292"/>
      <c r="AO61" s="292"/>
      <c r="AP61" s="292"/>
      <c r="AQ61" s="292"/>
    </row>
    <row r="62" spans="2:43" s="156" customFormat="1" ht="15" customHeight="1">
      <c r="AJ62" s="161"/>
      <c r="AK62" s="161"/>
      <c r="AL62" s="161"/>
      <c r="AM62" s="161"/>
      <c r="AN62" s="161"/>
      <c r="AO62" s="161"/>
      <c r="AP62" s="161"/>
      <c r="AQ62" s="161"/>
    </row>
    <row r="63" spans="2:43" s="156" customFormat="1" ht="15" customHeight="1">
      <c r="D63" s="193" t="s">
        <v>549</v>
      </c>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202"/>
      <c r="AK63" s="202"/>
      <c r="AL63" s="202"/>
      <c r="AM63" s="202"/>
      <c r="AN63" s="202"/>
      <c r="AO63" s="202"/>
      <c r="AP63" s="202"/>
      <c r="AQ63" s="202"/>
    </row>
    <row r="64" spans="2:43" s="156" customFormat="1" ht="15" customHeight="1">
      <c r="AJ64" s="386"/>
      <c r="AK64" s="386"/>
      <c r="AL64" s="386"/>
      <c r="AM64" s="386"/>
      <c r="AN64" s="386"/>
      <c r="AO64" s="386"/>
      <c r="AP64" s="386"/>
      <c r="AQ64" s="386"/>
    </row>
    <row r="65" spans="2:44" s="11" customFormat="1" ht="15" customHeight="1">
      <c r="E65" s="156" t="s">
        <v>95</v>
      </c>
      <c r="G65" s="156" t="s">
        <v>657</v>
      </c>
      <c r="AE65" s="156"/>
      <c r="AF65" s="156"/>
      <c r="AJ65" s="147">
        <f t="shared" ref="AJ65:AQ65" si="6">AJ54</f>
        <v>306.14690766966419</v>
      </c>
      <c r="AK65" s="147">
        <f t="shared" si="6"/>
        <v>312.49941025479262</v>
      </c>
      <c r="AL65" s="147">
        <f t="shared" si="6"/>
        <v>304.39936681485921</v>
      </c>
      <c r="AM65" s="147">
        <f t="shared" si="6"/>
        <v>303.96569097649319</v>
      </c>
      <c r="AN65" s="147">
        <f t="shared" si="6"/>
        <v>273.36304204069165</v>
      </c>
      <c r="AO65" s="147">
        <f t="shared" si="6"/>
        <v>273.73959759574745</v>
      </c>
      <c r="AP65" s="147">
        <f t="shared" si="6"/>
        <v>281.70430746914826</v>
      </c>
      <c r="AQ65" s="147">
        <f t="shared" si="6"/>
        <v>274.4839361616917</v>
      </c>
    </row>
    <row r="66" spans="2:44" s="11" customFormat="1" ht="15" customHeight="1">
      <c r="E66" s="156" t="s">
        <v>663</v>
      </c>
      <c r="G66" s="11" t="s">
        <v>47</v>
      </c>
      <c r="AE66" s="156"/>
      <c r="AF66" s="156"/>
      <c r="AJ66" s="234">
        <f>Input!AJ66</f>
        <v>0.7</v>
      </c>
      <c r="AK66" s="234">
        <f>Input!AK66</f>
        <v>0.7</v>
      </c>
      <c r="AL66" s="234">
        <f>Input!AL66</f>
        <v>0.7</v>
      </c>
      <c r="AM66" s="234">
        <f>Input!AM66</f>
        <v>0.7</v>
      </c>
      <c r="AN66" s="234">
        <f>Input!AN66</f>
        <v>0.7</v>
      </c>
      <c r="AO66" s="234">
        <f>Input!AO66</f>
        <v>0.7</v>
      </c>
      <c r="AP66" s="234">
        <f>Input!AP66</f>
        <v>0.7</v>
      </c>
      <c r="AQ66" s="234">
        <f>Input!AQ66</f>
        <v>0.7</v>
      </c>
    </row>
    <row r="67" spans="2:44" s="156" customFormat="1" ht="15" customHeight="1">
      <c r="E67" s="156" t="s">
        <v>664</v>
      </c>
      <c r="G67" s="156" t="s">
        <v>657</v>
      </c>
      <c r="AJ67" s="166">
        <f t="shared" ref="AJ67:AQ67" si="7">AJ65-AJ68</f>
        <v>91.844072300899256</v>
      </c>
      <c r="AK67" s="166">
        <f t="shared" si="7"/>
        <v>93.749823076437792</v>
      </c>
      <c r="AL67" s="166">
        <f t="shared" si="7"/>
        <v>91.319810044457768</v>
      </c>
      <c r="AM67" s="166">
        <f t="shared" si="7"/>
        <v>91.189707292947958</v>
      </c>
      <c r="AN67" s="166">
        <f t="shared" si="7"/>
        <v>82.008912612207496</v>
      </c>
      <c r="AO67" s="166">
        <f t="shared" si="7"/>
        <v>82.121879278724236</v>
      </c>
      <c r="AP67" s="166">
        <f t="shared" si="7"/>
        <v>84.511292240744496</v>
      </c>
      <c r="AQ67" s="166">
        <f t="shared" si="7"/>
        <v>82.345180848507511</v>
      </c>
    </row>
    <row r="68" spans="2:44" s="156" customFormat="1" ht="15" customHeight="1">
      <c r="E68" s="156" t="s">
        <v>665</v>
      </c>
      <c r="G68" s="156" t="s">
        <v>657</v>
      </c>
      <c r="AJ68" s="147">
        <f>AJ65 * AJ66</f>
        <v>214.30283536876493</v>
      </c>
      <c r="AK68" s="147">
        <f t="shared" ref="AK68:AQ68" si="8">AK65 * AK66</f>
        <v>218.74958717835483</v>
      </c>
      <c r="AL68" s="147">
        <f t="shared" si="8"/>
        <v>213.07955677040144</v>
      </c>
      <c r="AM68" s="147">
        <f t="shared" si="8"/>
        <v>212.77598368354523</v>
      </c>
      <c r="AN68" s="147">
        <f t="shared" si="8"/>
        <v>191.35412942848416</v>
      </c>
      <c r="AO68" s="147">
        <f t="shared" si="8"/>
        <v>191.61771831702322</v>
      </c>
      <c r="AP68" s="147">
        <f t="shared" si="8"/>
        <v>197.19301522840377</v>
      </c>
      <c r="AQ68" s="147">
        <f t="shared" si="8"/>
        <v>192.13875531318419</v>
      </c>
    </row>
    <row r="69" spans="2:44" s="11" customFormat="1" ht="15" customHeight="1">
      <c r="AE69" s="156"/>
      <c r="AF69" s="156"/>
      <c r="AJ69" s="161"/>
      <c r="AK69" s="161"/>
      <c r="AL69" s="161"/>
      <c r="AM69" s="161"/>
      <c r="AN69" s="161"/>
      <c r="AO69" s="161"/>
      <c r="AP69" s="161"/>
      <c r="AQ69" s="161"/>
    </row>
    <row r="70" spans="2:44" s="156" customFormat="1" ht="15" customHeight="1">
      <c r="C70" s="17" t="s">
        <v>67</v>
      </c>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292"/>
      <c r="AK70" s="292"/>
      <c r="AL70" s="292"/>
      <c r="AM70" s="292"/>
      <c r="AN70" s="292"/>
      <c r="AO70" s="292"/>
      <c r="AP70" s="292"/>
      <c r="AQ70" s="292"/>
    </row>
    <row r="71" spans="2:44" s="156" customFormat="1" ht="15" customHeight="1">
      <c r="AJ71" s="161"/>
      <c r="AK71" s="161"/>
      <c r="AL71" s="161"/>
      <c r="AM71" s="161"/>
      <c r="AN71" s="161"/>
      <c r="AO71" s="161"/>
      <c r="AP71" s="161"/>
      <c r="AQ71" s="161"/>
    </row>
    <row r="72" spans="2:44" s="11" customFormat="1" ht="15" customHeight="1">
      <c r="E72" s="156" t="s">
        <v>97</v>
      </c>
      <c r="G72" s="156" t="s">
        <v>657</v>
      </c>
      <c r="AE72" s="156"/>
      <c r="AF72" s="156"/>
      <c r="AJ72" s="32">
        <f>AJ67</f>
        <v>91.844072300899256</v>
      </c>
      <c r="AK72" s="32">
        <f t="shared" ref="AK72:AQ72" si="9">AK67</f>
        <v>93.749823076437792</v>
      </c>
      <c r="AL72" s="32">
        <f t="shared" si="9"/>
        <v>91.319810044457768</v>
      </c>
      <c r="AM72" s="32">
        <f t="shared" si="9"/>
        <v>91.189707292947958</v>
      </c>
      <c r="AN72" s="32">
        <f t="shared" si="9"/>
        <v>82.008912612207496</v>
      </c>
      <c r="AO72" s="32">
        <f t="shared" si="9"/>
        <v>82.121879278724236</v>
      </c>
      <c r="AP72" s="32">
        <f t="shared" si="9"/>
        <v>84.511292240744496</v>
      </c>
      <c r="AQ72" s="32">
        <f t="shared" si="9"/>
        <v>82.345180848507511</v>
      </c>
    </row>
    <row r="73" spans="2:44" s="11" customFormat="1" ht="15" customHeight="1">
      <c r="AE73" s="156"/>
      <c r="AF73" s="156"/>
      <c r="AJ73" s="161"/>
      <c r="AK73" s="161"/>
      <c r="AL73" s="161"/>
      <c r="AM73" s="161"/>
      <c r="AN73" s="161"/>
      <c r="AO73" s="161"/>
      <c r="AP73" s="161"/>
      <c r="AQ73" s="161"/>
    </row>
    <row r="74" spans="2:44" s="11" customFormat="1" ht="15" customHeight="1">
      <c r="E74" s="156" t="s">
        <v>424</v>
      </c>
      <c r="G74" s="156" t="s">
        <v>657</v>
      </c>
      <c r="AE74" s="156"/>
      <c r="AF74" s="156"/>
      <c r="AJ74" s="32">
        <f>AJ68</f>
        <v>214.30283536876493</v>
      </c>
      <c r="AK74" s="32">
        <f t="shared" ref="AK74:AQ74" si="10">AK68</f>
        <v>218.74958717835483</v>
      </c>
      <c r="AL74" s="32">
        <f t="shared" si="10"/>
        <v>213.07955677040144</v>
      </c>
      <c r="AM74" s="32">
        <f t="shared" si="10"/>
        <v>212.77598368354523</v>
      </c>
      <c r="AN74" s="32">
        <f t="shared" si="10"/>
        <v>191.35412942848416</v>
      </c>
      <c r="AO74" s="32">
        <f t="shared" si="10"/>
        <v>191.61771831702322</v>
      </c>
      <c r="AP74" s="32">
        <f t="shared" si="10"/>
        <v>197.19301522840377</v>
      </c>
      <c r="AQ74" s="32">
        <f t="shared" si="10"/>
        <v>192.13875531318419</v>
      </c>
    </row>
    <row r="75" spans="2:44" s="3" customFormat="1">
      <c r="AE75" s="155"/>
      <c r="AF75" s="155"/>
      <c r="AJ75" s="209"/>
      <c r="AK75" s="209"/>
      <c r="AL75" s="209"/>
      <c r="AM75" s="209"/>
      <c r="AN75" s="209"/>
      <c r="AO75" s="209"/>
      <c r="AP75" s="209"/>
      <c r="AQ75" s="209"/>
    </row>
    <row r="76" spans="2:44" s="3" customFormat="1" ht="15" customHeight="1">
      <c r="B76" s="159" t="s">
        <v>22</v>
      </c>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302"/>
      <c r="AK76" s="302"/>
      <c r="AL76" s="302"/>
      <c r="AM76" s="302"/>
      <c r="AN76" s="302"/>
      <c r="AO76" s="302"/>
      <c r="AP76" s="302"/>
      <c r="AQ76" s="302"/>
    </row>
    <row r="77" spans="2:44" s="3" customFormat="1" ht="15" customHeight="1">
      <c r="B77" s="164" t="s">
        <v>411</v>
      </c>
      <c r="C77" s="164"/>
      <c r="D77" s="164"/>
      <c r="E77" s="164"/>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H77" s="164"/>
      <c r="AI77" s="164"/>
      <c r="AJ77" s="192"/>
      <c r="AK77" s="192"/>
      <c r="AL77" s="192"/>
      <c r="AM77" s="192"/>
      <c r="AN77" s="192"/>
      <c r="AO77" s="192"/>
      <c r="AP77" s="192"/>
      <c r="AQ77" s="192"/>
    </row>
    <row r="78" spans="2:44" s="11" customFormat="1" ht="15" customHeight="1">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155"/>
      <c r="AF78" s="155"/>
      <c r="AG78" s="3"/>
      <c r="AH78" s="3"/>
      <c r="AI78" s="3"/>
      <c r="AJ78" s="155"/>
      <c r="AK78" s="155"/>
      <c r="AL78" s="155"/>
      <c r="AM78" s="155"/>
      <c r="AN78" s="155"/>
      <c r="AO78" s="155"/>
      <c r="AP78" s="155"/>
      <c r="AQ78" s="155"/>
      <c r="AR78" s="3"/>
    </row>
    <row r="79" spans="2:44" s="19" customFormat="1" ht="15" customHeight="1">
      <c r="E79" s="19" t="s">
        <v>22</v>
      </c>
      <c r="G79" s="190" t="s">
        <v>657</v>
      </c>
      <c r="I79" s="19">
        <f>I26*I30</f>
        <v>2.748013571489814</v>
      </c>
      <c r="J79" s="88"/>
      <c r="K79" s="88"/>
      <c r="L79" s="88"/>
      <c r="M79" s="88"/>
      <c r="N79" s="88"/>
      <c r="O79" s="88"/>
      <c r="P79" s="88"/>
      <c r="Q79" s="88"/>
      <c r="R79" s="88"/>
      <c r="S79" s="88"/>
      <c r="T79" s="88"/>
      <c r="U79" s="88"/>
      <c r="V79" s="88"/>
      <c r="W79" s="88"/>
      <c r="X79" s="88"/>
      <c r="AJ79" s="155"/>
      <c r="AK79" s="155"/>
      <c r="AL79" s="155"/>
      <c r="AM79" s="155"/>
      <c r="AN79" s="155"/>
      <c r="AO79" s="155"/>
      <c r="AP79" s="155"/>
      <c r="AQ79" s="155"/>
    </row>
    <row r="80" spans="2:44" s="156" customFormat="1" ht="15" customHeight="1">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155"/>
      <c r="AF80" s="155"/>
      <c r="AG80" s="3"/>
      <c r="AH80" s="3"/>
      <c r="AI80" s="3"/>
      <c r="AJ80" s="155"/>
      <c r="AK80" s="155"/>
      <c r="AL80" s="155"/>
      <c r="AM80" s="155"/>
      <c r="AN80" s="155"/>
      <c r="AO80" s="155"/>
      <c r="AP80" s="155"/>
      <c r="AQ80" s="155"/>
      <c r="AR80" s="3"/>
    </row>
    <row r="81" spans="2:43" s="19" customFormat="1" ht="15" customHeight="1">
      <c r="E81" s="19" t="s">
        <v>341</v>
      </c>
      <c r="G81" s="190" t="s">
        <v>657</v>
      </c>
      <c r="I81" s="90"/>
      <c r="J81" s="88"/>
      <c r="K81" s="88"/>
      <c r="L81" s="88"/>
      <c r="M81" s="88"/>
      <c r="N81" s="88"/>
      <c r="O81" s="88"/>
      <c r="P81" s="88"/>
      <c r="Q81" s="88"/>
      <c r="R81" s="88"/>
      <c r="S81" s="88"/>
      <c r="T81" s="88"/>
      <c r="U81" s="88"/>
      <c r="V81" s="88"/>
      <c r="W81" s="88"/>
      <c r="X81" s="88"/>
      <c r="AJ81" s="155">
        <f>Input!AJ490</f>
        <v>305.91570472904777</v>
      </c>
      <c r="AK81" s="155">
        <f>Input!AK490</f>
        <v>311.16790654266606</v>
      </c>
      <c r="AL81" s="155">
        <f>Input!AL490</f>
        <v>302.47054690373665</v>
      </c>
      <c r="AM81" s="155">
        <f>Input!AM490</f>
        <v>301.26270370960032</v>
      </c>
      <c r="AN81" s="155">
        <f>Input!AN490</f>
        <v>270.62628921045308</v>
      </c>
      <c r="AO81" s="155">
        <f>Input!AO490</f>
        <v>269.49328349442953</v>
      </c>
      <c r="AP81" s="155">
        <f>Input!AP490</f>
        <v>275.6740547607734</v>
      </c>
      <c r="AQ81" s="155">
        <f>Input!AQ490</f>
        <v>267.65989885108968</v>
      </c>
    </row>
    <row r="82" spans="2:43" s="19" customFormat="1" ht="15" customHeight="1">
      <c r="E82" s="19" t="s">
        <v>151</v>
      </c>
      <c r="G82" s="190" t="s">
        <v>657</v>
      </c>
      <c r="I82" s="3">
        <f>SUM($AJ81:$AQ81)</f>
        <v>2304.2703882017963</v>
      </c>
      <c r="J82" s="88"/>
      <c r="K82" s="88"/>
      <c r="L82" s="88"/>
      <c r="M82" s="88"/>
      <c r="N82" s="88"/>
      <c r="O82" s="88"/>
      <c r="P82" s="88"/>
      <c r="Q82" s="88"/>
      <c r="R82" s="88"/>
      <c r="S82" s="88"/>
      <c r="T82" s="88"/>
      <c r="U82" s="88"/>
      <c r="V82" s="88"/>
      <c r="W82" s="88"/>
      <c r="X82" s="88"/>
      <c r="AJ82" s="155"/>
      <c r="AK82" s="155"/>
      <c r="AL82" s="155"/>
      <c r="AM82" s="155"/>
      <c r="AN82" s="155"/>
      <c r="AO82" s="155"/>
      <c r="AP82" s="155"/>
      <c r="AQ82" s="155"/>
    </row>
    <row r="83" spans="2:43" s="19" customFormat="1" ht="15" customHeight="1">
      <c r="I83" s="90"/>
      <c r="J83" s="88"/>
      <c r="K83" s="88"/>
      <c r="L83" s="88"/>
      <c r="M83" s="88"/>
      <c r="N83" s="88"/>
      <c r="O83" s="88"/>
      <c r="P83" s="88"/>
      <c r="Q83" s="88"/>
      <c r="R83" s="88"/>
      <c r="S83" s="88"/>
      <c r="T83" s="88"/>
      <c r="U83" s="88"/>
      <c r="V83" s="88"/>
      <c r="W83" s="88"/>
      <c r="X83" s="88"/>
      <c r="AJ83" s="155"/>
      <c r="AK83" s="155"/>
      <c r="AL83" s="155"/>
      <c r="AM83" s="155"/>
      <c r="AN83" s="155"/>
      <c r="AO83" s="155"/>
      <c r="AP83" s="155"/>
      <c r="AQ83" s="155"/>
    </row>
    <row r="84" spans="2:43" s="11" customFormat="1" ht="15" customHeight="1">
      <c r="E84" s="156" t="s">
        <v>419</v>
      </c>
      <c r="G84" s="11" t="s">
        <v>47</v>
      </c>
      <c r="AE84" s="156"/>
      <c r="AF84" s="156"/>
      <c r="AJ84" s="235">
        <f t="shared" ref="AJ84:AQ84" si="11">AJ81 / $I82</f>
        <v>0.13276033329047721</v>
      </c>
      <c r="AK84" s="235">
        <f t="shared" si="11"/>
        <v>0.13503966727858482</v>
      </c>
      <c r="AL84" s="235">
        <f t="shared" si="11"/>
        <v>0.13126521455660342</v>
      </c>
      <c r="AM84" s="235">
        <f t="shared" si="11"/>
        <v>0.13074103857433994</v>
      </c>
      <c r="AN84" s="235">
        <f t="shared" si="11"/>
        <v>0.11744554397613211</v>
      </c>
      <c r="AO84" s="235">
        <f t="shared" si="11"/>
        <v>0.11695384572673191</v>
      </c>
      <c r="AP84" s="235">
        <f t="shared" si="11"/>
        <v>0.1196361573590778</v>
      </c>
      <c r="AQ84" s="235">
        <f t="shared" si="11"/>
        <v>0.11615819923805286</v>
      </c>
    </row>
    <row r="85" spans="2:43" s="11" customFormat="1" ht="15" customHeight="1">
      <c r="AE85" s="156"/>
      <c r="AF85" s="156"/>
      <c r="AJ85" s="147"/>
      <c r="AK85" s="147"/>
      <c r="AL85" s="147"/>
      <c r="AM85" s="147"/>
      <c r="AN85" s="147"/>
      <c r="AO85" s="147"/>
      <c r="AP85" s="147"/>
      <c r="AQ85" s="147"/>
    </row>
    <row r="86" spans="2:43" s="11" customFormat="1" ht="15" customHeight="1">
      <c r="E86" s="11" t="s">
        <v>22</v>
      </c>
      <c r="G86" s="190" t="s">
        <v>657</v>
      </c>
      <c r="AE86" s="156"/>
      <c r="AF86" s="156"/>
      <c r="AJ86" s="32">
        <f>($I79 * AJ84)</f>
        <v>0.3648271976377423</v>
      </c>
      <c r="AK86" s="32">
        <f t="shared" ref="AK86:AQ86" si="12">($I79 * AK84)</f>
        <v>0.37109083837102003</v>
      </c>
      <c r="AL86" s="32">
        <f t="shared" si="12"/>
        <v>0.36071859106606846</v>
      </c>
      <c r="AM86" s="32">
        <f t="shared" si="12"/>
        <v>0.35927814835295946</v>
      </c>
      <c r="AN86" s="32">
        <f t="shared" si="12"/>
        <v>0.3227419487574148</v>
      </c>
      <c r="AO86" s="32">
        <f t="shared" si="12"/>
        <v>0.32139075529498529</v>
      </c>
      <c r="AP86" s="32">
        <f t="shared" si="12"/>
        <v>0.32876178406363676</v>
      </c>
      <c r="AQ86" s="32">
        <f t="shared" si="12"/>
        <v>0.31920430794598703</v>
      </c>
    </row>
    <row r="87" spans="2:43" s="11" customFormat="1" ht="15" customHeight="1">
      <c r="AE87" s="156"/>
      <c r="AF87" s="156"/>
    </row>
    <row r="88" spans="2:43">
      <c r="B88" s="15" t="s">
        <v>51</v>
      </c>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row>
    <row r="89" spans="2:43">
      <c r="AJ89" s="437"/>
      <c r="AK89" s="437"/>
      <c r="AL89" s="437"/>
      <c r="AM89" s="437"/>
      <c r="AN89" s="437"/>
      <c r="AO89" s="437"/>
      <c r="AP89" s="437"/>
      <c r="AQ89" s="437"/>
    </row>
    <row r="90" spans="2:43" hidden="1">
      <c r="AJ90" s="437"/>
      <c r="AK90" s="437"/>
      <c r="AL90" s="437"/>
      <c r="AM90" s="437"/>
      <c r="AN90" s="437"/>
      <c r="AO90" s="437"/>
      <c r="AP90" s="437"/>
      <c r="AQ90" s="437"/>
    </row>
    <row r="91" spans="2:43" hidden="1"/>
    <row r="92" spans="2:43" hidden="1">
      <c r="I92" s="420"/>
    </row>
    <row r="93" spans="2:43" hidden="1"/>
    <row r="94" spans="2:43" hidden="1"/>
    <row r="95" spans="2:43" hidden="1"/>
    <row r="96" spans="2:43"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Drop Down 1">
              <controlPr defaultSize="0" autoLine="0" autoPict="0">
                <anchor moveWithCells="1">
                  <from>
                    <xdr:col>4</xdr:col>
                    <xdr:colOff>1028700</xdr:colOff>
                    <xdr:row>1</xdr:row>
                    <xdr:rowOff>0</xdr:rowOff>
                  </from>
                  <to>
                    <xdr:col>4</xdr:col>
                    <xdr:colOff>3467100</xdr:colOff>
                    <xdr:row>2</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59999389629810485"/>
    <pageSetUpPr autoPageBreaks="0" fitToPage="1"/>
  </sheetPr>
  <dimension ref="A1:XDD118"/>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1" customWidth="1"/>
    <col min="5" max="5" width="50.625" style="11" customWidth="1"/>
    <col min="6" max="6" width="1.625" style="11" customWidth="1"/>
    <col min="7" max="7" width="12.625" style="11" customWidth="1"/>
    <col min="8" max="8" width="1.625" style="11" customWidth="1"/>
    <col min="9" max="9" width="10.625" style="11" customWidth="1"/>
    <col min="10" max="10" width="1.625" style="11" customWidth="1"/>
    <col min="11" max="25" width="10.625" style="11" hidden="1" customWidth="1" outlineLevel="1"/>
    <col min="26" max="27" width="10.625" style="156" hidden="1" customWidth="1" outlineLevel="1"/>
    <col min="28" max="35" width="10.625" style="11" hidden="1" customWidth="1" outlineLevel="1"/>
    <col min="36" max="36" width="10.625" style="11" customWidth="1" collapsed="1"/>
    <col min="37" max="42" width="10.625" style="11" customWidth="1"/>
    <col min="43" max="43" width="10.75" style="11" customWidth="1"/>
    <col min="44" max="44" width="1.625" style="11" customWidth="1"/>
    <col min="45" max="88" width="0" style="11" hidden="1"/>
    <col min="89" max="16332" width="9" style="11" hidden="1"/>
    <col min="16333" max="16384" width="0" style="11" hidden="1"/>
  </cols>
  <sheetData>
    <row r="1" spans="1:44" s="47" customFormat="1" ht="19.5">
      <c r="A1" s="5" t="s">
        <v>224</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M1" s="6"/>
      <c r="AN1" s="6"/>
      <c r="AO1" s="6"/>
      <c r="AP1" s="6"/>
      <c r="AQ1" s="6"/>
    </row>
    <row r="2" spans="1:44" s="47" customFormat="1" ht="15" customHeigh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47" customFormat="1" ht="15" customHeigh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47" customFormat="1" ht="15" customHeigh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s="156" customFormat="1" ht="15" customHeight="1"/>
    <row r="9" spans="1:44" ht="15" customHeight="1">
      <c r="B9" s="15" t="s">
        <v>220</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s="156" customFormat="1" ht="15" customHeight="1">
      <c r="B10" s="164" t="s">
        <v>335</v>
      </c>
      <c r="C10" s="16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64"/>
      <c r="AB10" s="164"/>
      <c r="AC10" s="164"/>
      <c r="AD10" s="164"/>
      <c r="AE10" s="164"/>
      <c r="AF10" s="164"/>
      <c r="AG10" s="164"/>
      <c r="AH10" s="164"/>
      <c r="AI10" s="164"/>
      <c r="AJ10" s="164"/>
      <c r="AK10" s="164"/>
      <c r="AL10" s="164"/>
      <c r="AM10" s="164"/>
      <c r="AN10" s="164"/>
      <c r="AO10" s="164"/>
      <c r="AP10" s="164"/>
      <c r="AQ10" s="164"/>
    </row>
    <row r="11" spans="1:44" s="156" customFormat="1" ht="15" customHeight="1">
      <c r="B11" s="164" t="s">
        <v>336</v>
      </c>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row>
    <row r="12" spans="1:44" s="156" customFormat="1" ht="15" customHeight="1">
      <c r="B12" s="164" t="s">
        <v>334</v>
      </c>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row>
    <row r="13" spans="1:44" s="156" customFormat="1" ht="15" customHeight="1">
      <c r="B13" s="164" t="s">
        <v>499</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row>
    <row r="14" spans="1:44" s="156" customFormat="1" ht="15" customHeight="1"/>
    <row r="15" spans="1:44" s="156" customFormat="1" ht="15" customHeight="1">
      <c r="C15" s="158" t="s">
        <v>35</v>
      </c>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58"/>
      <c r="AG15" s="158"/>
      <c r="AH15" s="158"/>
      <c r="AI15" s="158"/>
      <c r="AJ15" s="158"/>
      <c r="AK15" s="158"/>
      <c r="AL15" s="158"/>
      <c r="AM15" s="158"/>
      <c r="AN15" s="158"/>
      <c r="AO15" s="158"/>
      <c r="AP15" s="158"/>
      <c r="AQ15" s="158"/>
    </row>
    <row r="16" spans="1:44" s="156" customFormat="1" ht="15" customHeight="1"/>
    <row r="17" spans="1:46" s="156" customFormat="1" ht="15" customHeight="1">
      <c r="D17" s="160" t="s">
        <v>636</v>
      </c>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0"/>
      <c r="AC17" s="160"/>
      <c r="AD17" s="160"/>
      <c r="AE17" s="160"/>
      <c r="AF17" s="160"/>
      <c r="AG17" s="160"/>
      <c r="AH17" s="160"/>
      <c r="AI17" s="160"/>
      <c r="AJ17" s="193"/>
      <c r="AK17" s="193"/>
      <c r="AL17" s="193"/>
      <c r="AM17" s="193"/>
      <c r="AN17" s="193"/>
      <c r="AO17" s="193"/>
      <c r="AP17" s="193"/>
      <c r="AQ17" s="193"/>
    </row>
    <row r="18" spans="1:46" s="156" customFormat="1" ht="15" customHeight="1">
      <c r="AJ18" s="147"/>
      <c r="AK18" s="378"/>
      <c r="AL18" s="378"/>
      <c r="AM18" s="378"/>
      <c r="AN18" s="378"/>
      <c r="AO18" s="378"/>
      <c r="AP18" s="378"/>
      <c r="AQ18" s="378"/>
      <c r="AR18" s="378"/>
    </row>
    <row r="19" spans="1:46" s="156" customFormat="1" ht="15" customHeight="1">
      <c r="E19" s="155" t="s">
        <v>405</v>
      </c>
      <c r="F19" s="147"/>
      <c r="G19" s="161" t="s">
        <v>657</v>
      </c>
      <c r="AJ19" s="150">
        <f>Input!AJ268</f>
        <v>32.225321017886749</v>
      </c>
      <c r="AK19" s="150">
        <f>Input!AK268</f>
        <v>32.225321017886749</v>
      </c>
      <c r="AL19" s="150">
        <f>Input!AL268</f>
        <v>32.225321017886749</v>
      </c>
      <c r="AM19" s="150">
        <f>Input!AM268</f>
        <v>32.225321017886749</v>
      </c>
      <c r="AN19" s="150">
        <f>Input!AN268</f>
        <v>32.225321017886749</v>
      </c>
      <c r="AO19" s="150">
        <f>Input!AO268</f>
        <v>32.225321017886749</v>
      </c>
      <c r="AP19" s="150">
        <f>Input!AP268</f>
        <v>32.225321017886749</v>
      </c>
      <c r="AQ19" s="150">
        <f>Input!AQ268</f>
        <v>32.225321017886749</v>
      </c>
    </row>
    <row r="20" spans="1:46" ht="15" customHeight="1">
      <c r="A20" s="156"/>
      <c r="E20" s="19" t="s">
        <v>406</v>
      </c>
      <c r="F20" s="147"/>
      <c r="G20" s="161" t="s">
        <v>657</v>
      </c>
      <c r="AJ20" s="166">
        <f t="shared" ref="AJ20:AQ20" si="0">SUM(AJ19:AJ19)</f>
        <v>32.225321017886749</v>
      </c>
      <c r="AK20" s="166">
        <f t="shared" si="0"/>
        <v>32.225321017886749</v>
      </c>
      <c r="AL20" s="166">
        <f t="shared" si="0"/>
        <v>32.225321017886749</v>
      </c>
      <c r="AM20" s="166">
        <f t="shared" si="0"/>
        <v>32.225321017886749</v>
      </c>
      <c r="AN20" s="166">
        <f t="shared" si="0"/>
        <v>32.225321017886749</v>
      </c>
      <c r="AO20" s="166">
        <f t="shared" si="0"/>
        <v>32.225321017886749</v>
      </c>
      <c r="AP20" s="166">
        <f t="shared" si="0"/>
        <v>32.225321017886749</v>
      </c>
      <c r="AQ20" s="166">
        <f t="shared" si="0"/>
        <v>32.225321017886749</v>
      </c>
    </row>
    <row r="21" spans="1:46" s="19" customFormat="1" ht="15" customHeight="1">
      <c r="J21" s="88"/>
      <c r="K21" s="88"/>
      <c r="L21" s="88"/>
      <c r="M21" s="88"/>
      <c r="N21" s="88"/>
      <c r="O21" s="88"/>
      <c r="P21" s="88"/>
      <c r="Q21" s="88"/>
      <c r="R21" s="88"/>
      <c r="S21" s="88"/>
      <c r="T21" s="88"/>
      <c r="U21" s="88"/>
      <c r="V21" s="88"/>
      <c r="W21" s="88"/>
      <c r="X21" s="88"/>
      <c r="AJ21" s="155"/>
      <c r="AK21" s="155"/>
      <c r="AL21" s="155"/>
      <c r="AM21" s="155"/>
      <c r="AN21" s="155"/>
      <c r="AO21" s="155"/>
      <c r="AP21" s="155"/>
      <c r="AQ21" s="155"/>
    </row>
    <row r="22" spans="1:46" s="156" customFormat="1" ht="15" customHeight="1">
      <c r="D22" s="160" t="s">
        <v>633</v>
      </c>
      <c r="E22" s="193"/>
      <c r="F22" s="193"/>
      <c r="G22" s="193"/>
      <c r="H22" s="160"/>
      <c r="I22" s="160"/>
      <c r="J22" s="160"/>
      <c r="K22" s="160"/>
      <c r="L22" s="160"/>
      <c r="M22" s="160"/>
      <c r="N22" s="160"/>
      <c r="O22" s="160"/>
      <c r="P22" s="160"/>
      <c r="Q22" s="160"/>
      <c r="R22" s="160"/>
      <c r="S22" s="160"/>
      <c r="T22" s="160"/>
      <c r="U22" s="160"/>
      <c r="V22" s="160"/>
      <c r="W22" s="160"/>
      <c r="X22" s="160"/>
      <c r="Y22" s="160"/>
      <c r="Z22" s="160"/>
      <c r="AA22" s="160"/>
      <c r="AB22" s="160"/>
      <c r="AC22" s="160"/>
      <c r="AD22" s="160"/>
      <c r="AE22" s="160"/>
      <c r="AF22" s="160"/>
      <c r="AG22" s="160"/>
      <c r="AH22" s="160"/>
      <c r="AI22" s="160"/>
      <c r="AJ22" s="193"/>
      <c r="AK22" s="193"/>
      <c r="AL22" s="193"/>
      <c r="AM22" s="193"/>
      <c r="AN22" s="193"/>
      <c r="AO22" s="193"/>
      <c r="AP22" s="193"/>
      <c r="AQ22" s="193"/>
    </row>
    <row r="23" spans="1:46" s="156" customFormat="1" ht="15" customHeight="1">
      <c r="E23" s="147"/>
      <c r="F23" s="147"/>
      <c r="G23" s="147"/>
      <c r="AJ23" s="147"/>
      <c r="AK23" s="378"/>
      <c r="AL23" s="378"/>
      <c r="AM23" s="378"/>
      <c r="AN23" s="378"/>
      <c r="AO23" s="378"/>
      <c r="AP23" s="378"/>
      <c r="AQ23" s="378"/>
    </row>
    <row r="24" spans="1:46" ht="15" customHeight="1">
      <c r="B24" s="3"/>
      <c r="C24" s="3"/>
      <c r="D24" s="3"/>
      <c r="E24" s="155" t="s">
        <v>591</v>
      </c>
      <c r="F24" s="190"/>
      <c r="G24" s="190" t="s">
        <v>657</v>
      </c>
      <c r="H24" s="3"/>
      <c r="I24" s="3"/>
      <c r="J24" s="3"/>
      <c r="K24" s="3"/>
      <c r="L24" s="3"/>
      <c r="M24" s="3"/>
      <c r="N24" s="3"/>
      <c r="O24" s="3"/>
      <c r="P24" s="3"/>
      <c r="Q24" s="3"/>
      <c r="R24" s="3"/>
      <c r="S24" s="3"/>
      <c r="T24" s="3"/>
      <c r="U24" s="3"/>
      <c r="V24" s="3"/>
      <c r="W24" s="3"/>
      <c r="X24" s="3"/>
      <c r="Y24" s="3"/>
      <c r="Z24" s="155"/>
      <c r="AA24" s="155"/>
      <c r="AB24" s="3"/>
      <c r="AC24" s="3"/>
      <c r="AD24" s="3"/>
      <c r="AE24" s="3"/>
      <c r="AF24" s="3"/>
      <c r="AG24" s="3"/>
      <c r="AH24" s="3"/>
      <c r="AI24" s="3"/>
      <c r="AJ24" s="155">
        <f>Input!AJ272+Input!AJ276</f>
        <v>4.6407537743969138</v>
      </c>
      <c r="AK24" s="155">
        <f>Input!AK272+Input!AK276</f>
        <v>4.8151300974698774</v>
      </c>
      <c r="AL24" s="155">
        <f>Input!AL272+Input!AL276</f>
        <v>4.996058610882308</v>
      </c>
      <c r="AM24" s="155">
        <f>Input!AM272+Input!AM276</f>
        <v>5.1837855131862103</v>
      </c>
      <c r="AN24" s="155">
        <f>Input!AN272+Input!AN276</f>
        <v>5.3785662538441814</v>
      </c>
      <c r="AO24" s="155">
        <f>Input!AO272+Input!AO276</f>
        <v>5.5806658808323757</v>
      </c>
      <c r="AP24" s="155">
        <f>Input!AP272+Input!AP276</f>
        <v>5.7903594013046513</v>
      </c>
      <c r="AQ24" s="155">
        <f>Input!AQ272+Input!AQ276</f>
        <v>6.0079321558086738</v>
      </c>
      <c r="AR24" s="3"/>
    </row>
    <row r="25" spans="1:46" s="156" customFormat="1" ht="15" customHeight="1">
      <c r="B25" s="155"/>
      <c r="C25" s="155"/>
      <c r="D25" s="155"/>
      <c r="E25" s="155" t="s">
        <v>774</v>
      </c>
      <c r="F25" s="190"/>
      <c r="G25" s="190" t="s">
        <v>657</v>
      </c>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f>Input!AJ278</f>
        <v>0</v>
      </c>
      <c r="AK25" s="155">
        <f>Input!AK278</f>
        <v>0</v>
      </c>
      <c r="AL25" s="155">
        <f>Input!AL278</f>
        <v>0</v>
      </c>
      <c r="AM25" s="155">
        <f>Input!AM278</f>
        <v>0</v>
      </c>
      <c r="AN25" s="155">
        <f>Input!AN278</f>
        <v>0</v>
      </c>
      <c r="AO25" s="155">
        <f>Input!AO278</f>
        <v>0</v>
      </c>
      <c r="AP25" s="155">
        <f>Input!AP278</f>
        <v>0</v>
      </c>
      <c r="AQ25" s="155">
        <f>Input!AQ278</f>
        <v>0</v>
      </c>
      <c r="AR25" s="155"/>
    </row>
    <row r="26" spans="1:46" ht="15" customHeight="1">
      <c r="E26" s="19" t="s">
        <v>408</v>
      </c>
      <c r="F26" s="147"/>
      <c r="G26" s="190" t="s">
        <v>657</v>
      </c>
      <c r="AJ26" s="166">
        <f>SUM(AJ24:AJ25)</f>
        <v>4.6407537743969138</v>
      </c>
      <c r="AK26" s="166">
        <f t="shared" ref="AK26:AQ26" si="1">SUM(AK24:AK25)</f>
        <v>4.8151300974698774</v>
      </c>
      <c r="AL26" s="166">
        <f t="shared" si="1"/>
        <v>4.996058610882308</v>
      </c>
      <c r="AM26" s="166">
        <f t="shared" si="1"/>
        <v>5.1837855131862103</v>
      </c>
      <c r="AN26" s="166">
        <f t="shared" si="1"/>
        <v>5.3785662538441814</v>
      </c>
      <c r="AO26" s="166">
        <f t="shared" si="1"/>
        <v>5.5806658808323757</v>
      </c>
      <c r="AP26" s="166">
        <f t="shared" si="1"/>
        <v>5.7903594013046513</v>
      </c>
      <c r="AQ26" s="166">
        <f t="shared" si="1"/>
        <v>6.0079321558086738</v>
      </c>
      <c r="AT26" s="156"/>
    </row>
    <row r="27" spans="1:46" s="156" customFormat="1" ht="15" customHeight="1">
      <c r="E27" s="19"/>
      <c r="F27" s="147"/>
      <c r="G27" s="190"/>
      <c r="AJ27" s="145"/>
      <c r="AK27" s="145"/>
      <c r="AL27" s="145"/>
      <c r="AM27" s="145"/>
      <c r="AN27" s="145"/>
      <c r="AO27" s="145"/>
      <c r="AP27" s="145"/>
      <c r="AQ27" s="145"/>
    </row>
    <row r="28" spans="1:46" s="19" customFormat="1" ht="15" customHeight="1">
      <c r="D28" s="160" t="s">
        <v>635</v>
      </c>
      <c r="E28" s="193"/>
      <c r="F28" s="193"/>
      <c r="G28" s="193"/>
      <c r="H28" s="160"/>
      <c r="I28" s="160"/>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c r="AG28" s="160"/>
      <c r="AH28" s="160"/>
      <c r="AI28" s="160"/>
      <c r="AJ28" s="193"/>
      <c r="AK28" s="193"/>
      <c r="AL28" s="193"/>
      <c r="AM28" s="193"/>
      <c r="AN28" s="193"/>
      <c r="AO28" s="193"/>
      <c r="AP28" s="193"/>
      <c r="AQ28" s="193"/>
    </row>
    <row r="29" spans="1:46" s="19" customFormat="1" ht="15" customHeight="1">
      <c r="J29" s="88"/>
      <c r="K29" s="88"/>
      <c r="L29" s="88"/>
      <c r="M29" s="88"/>
      <c r="N29" s="88"/>
      <c r="O29" s="88"/>
      <c r="P29" s="88"/>
      <c r="Q29" s="88"/>
      <c r="R29" s="88"/>
      <c r="S29" s="88"/>
      <c r="T29" s="88"/>
      <c r="U29" s="88"/>
      <c r="V29" s="88"/>
      <c r="W29" s="88"/>
      <c r="X29" s="88"/>
      <c r="AJ29" s="155"/>
      <c r="AK29" s="155"/>
      <c r="AL29" s="155"/>
      <c r="AM29" s="155"/>
      <c r="AN29" s="155"/>
      <c r="AO29" s="155"/>
      <c r="AP29" s="155"/>
      <c r="AQ29" s="155"/>
    </row>
    <row r="30" spans="1:46" s="156" customFormat="1" ht="15" customHeight="1">
      <c r="B30" s="155"/>
      <c r="C30" s="155"/>
      <c r="D30" s="155"/>
      <c r="E30" s="155" t="s">
        <v>642</v>
      </c>
      <c r="F30" s="190"/>
      <c r="G30" s="190" t="s">
        <v>657</v>
      </c>
      <c r="H30" s="155"/>
      <c r="I30" s="155"/>
      <c r="J30" s="155"/>
      <c r="K30" s="155"/>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55"/>
      <c r="AJ30" s="155">
        <f>Input!AJ472</f>
        <v>-16.922422342166954</v>
      </c>
      <c r="AK30" s="155">
        <f>Input!AK472</f>
        <v>-15.281952671227749</v>
      </c>
      <c r="AL30" s="155">
        <f>Input!AL472</f>
        <v>-12.282382349445506</v>
      </c>
      <c r="AM30" s="155">
        <f>Input!AM472</f>
        <v>-10.408685093159399</v>
      </c>
      <c r="AN30" s="155">
        <f>Input!AN472</f>
        <v>-0.74534648002296677</v>
      </c>
      <c r="AO30" s="155">
        <f>Input!AO472</f>
        <v>1.4482592984731113</v>
      </c>
      <c r="AP30" s="155">
        <f>Input!AP472</f>
        <v>25.552114174602103</v>
      </c>
      <c r="AQ30" s="155">
        <f>Input!AQ472</f>
        <v>28.856234930889478</v>
      </c>
      <c r="AR30" s="155"/>
    </row>
    <row r="31" spans="1:46" s="156" customFormat="1" ht="15" customHeight="1">
      <c r="B31" s="155"/>
      <c r="C31" s="155"/>
      <c r="D31" s="155"/>
      <c r="E31" s="155" t="s">
        <v>647</v>
      </c>
      <c r="F31" s="147"/>
      <c r="G31" s="161" t="s">
        <v>657</v>
      </c>
      <c r="H31" s="155"/>
      <c r="I31" s="155"/>
      <c r="J31" s="155"/>
      <c r="K31" s="155"/>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f>Input!AJ473</f>
        <v>0.39776758095931602</v>
      </c>
      <c r="AK31" s="155">
        <f>Input!AK473</f>
        <v>1.1553327973824956</v>
      </c>
      <c r="AL31" s="155">
        <f>Input!AL473</f>
        <v>1.8048489911567855</v>
      </c>
      <c r="AM31" s="155">
        <f>Input!AM473</f>
        <v>2.340469196727029</v>
      </c>
      <c r="AN31" s="155">
        <f>Input!AN473</f>
        <v>2.6052123583765883</v>
      </c>
      <c r="AO31" s="155">
        <f>Input!AO473</f>
        <v>2.5910060378303261</v>
      </c>
      <c r="AP31" s="155">
        <f>Input!AP473</f>
        <v>1.9579267340766278</v>
      </c>
      <c r="AQ31" s="155">
        <f>Input!AQ473</f>
        <v>0.67894763262946711</v>
      </c>
      <c r="AR31" s="155"/>
    </row>
    <row r="32" spans="1:46" s="156" customFormat="1" ht="15" customHeight="1">
      <c r="B32" s="155"/>
      <c r="C32" s="155"/>
      <c r="D32" s="155"/>
      <c r="E32" s="155" t="s">
        <v>648</v>
      </c>
      <c r="F32" s="147"/>
      <c r="G32" s="161" t="s">
        <v>657</v>
      </c>
      <c r="H32" s="155"/>
      <c r="I32" s="15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155">
        <f>Input!AJ474</f>
        <v>0</v>
      </c>
      <c r="AK32" s="155">
        <f>Input!AK474</f>
        <v>0</v>
      </c>
      <c r="AL32" s="155">
        <f>Input!AL474</f>
        <v>0</v>
      </c>
      <c r="AM32" s="155">
        <f>Input!AM474</f>
        <v>0</v>
      </c>
      <c r="AN32" s="155">
        <f>Input!AN474</f>
        <v>0</v>
      </c>
      <c r="AO32" s="155">
        <f>Input!AO474</f>
        <v>0</v>
      </c>
      <c r="AP32" s="155">
        <f>Input!AP474</f>
        <v>0</v>
      </c>
      <c r="AQ32" s="155">
        <f>Input!AQ474</f>
        <v>0</v>
      </c>
      <c r="AR32" s="155"/>
    </row>
    <row r="33" spans="3:48" s="156" customFormat="1" ht="15" customHeight="1">
      <c r="E33" s="19" t="s">
        <v>407</v>
      </c>
      <c r="F33" s="147"/>
      <c r="G33" s="161" t="s">
        <v>657</v>
      </c>
      <c r="AJ33" s="166">
        <f>SUM(AJ30:AJ32)</f>
        <v>-16.524654761207639</v>
      </c>
      <c r="AK33" s="166">
        <f t="shared" ref="AK33:AQ33" si="2">SUM(AK30:AK32)</f>
        <v>-14.126619873845254</v>
      </c>
      <c r="AL33" s="166">
        <f t="shared" si="2"/>
        <v>-10.477533358288721</v>
      </c>
      <c r="AM33" s="166">
        <f t="shared" si="2"/>
        <v>-8.0682158964323705</v>
      </c>
      <c r="AN33" s="166">
        <f t="shared" si="2"/>
        <v>1.8598658783536215</v>
      </c>
      <c r="AO33" s="166">
        <f t="shared" si="2"/>
        <v>4.039265336303437</v>
      </c>
      <c r="AP33" s="166">
        <f t="shared" si="2"/>
        <v>27.510040908678732</v>
      </c>
      <c r="AQ33" s="166">
        <f t="shared" si="2"/>
        <v>29.535182563518944</v>
      </c>
    </row>
    <row r="34" spans="3:48" s="156" customFormat="1" ht="15" customHeight="1">
      <c r="E34" s="19"/>
      <c r="F34" s="147"/>
      <c r="G34" s="190"/>
      <c r="AJ34" s="391"/>
      <c r="AK34" s="391"/>
      <c r="AL34" s="391"/>
      <c r="AM34" s="391"/>
      <c r="AN34" s="391"/>
      <c r="AO34" s="391"/>
      <c r="AP34" s="391"/>
      <c r="AQ34" s="391"/>
      <c r="AR34" s="391"/>
      <c r="AS34" s="391"/>
    </row>
    <row r="35" spans="3:48" s="156" customFormat="1" ht="15" customHeight="1">
      <c r="C35" s="158" t="s">
        <v>765</v>
      </c>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291"/>
      <c r="AK35" s="291"/>
      <c r="AL35" s="291"/>
      <c r="AM35" s="291"/>
      <c r="AN35" s="291"/>
      <c r="AO35" s="291"/>
      <c r="AP35" s="291"/>
      <c r="AQ35" s="291"/>
    </row>
    <row r="36" spans="3:48" s="156" customFormat="1" ht="15" customHeight="1">
      <c r="AJ36" s="147"/>
      <c r="AK36" s="147"/>
      <c r="AL36" s="147"/>
      <c r="AM36" s="147"/>
      <c r="AN36" s="147"/>
      <c r="AO36" s="147"/>
      <c r="AP36" s="147"/>
      <c r="AQ36" s="147"/>
    </row>
    <row r="37" spans="3:48" s="156" customFormat="1" ht="15" customHeight="1">
      <c r="D37" s="160" t="s">
        <v>634</v>
      </c>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93"/>
      <c r="AK37" s="193"/>
      <c r="AL37" s="193"/>
      <c r="AM37" s="193"/>
      <c r="AN37" s="193"/>
      <c r="AO37" s="193"/>
      <c r="AP37" s="193"/>
      <c r="AQ37" s="193"/>
    </row>
    <row r="38" spans="3:48" s="156" customFormat="1" ht="15" customHeight="1">
      <c r="AJ38" s="147"/>
      <c r="AK38" s="147"/>
      <c r="AL38" s="147"/>
      <c r="AM38" s="147"/>
      <c r="AN38" s="147"/>
      <c r="AO38" s="147"/>
      <c r="AP38" s="147"/>
      <c r="AQ38" s="147"/>
    </row>
    <row r="39" spans="3:48" s="156" customFormat="1" ht="15" customHeight="1">
      <c r="E39" s="19" t="str">
        <f>Input!E287</f>
        <v>Miscellaneous (DRS 9) revenue</v>
      </c>
      <c r="G39" s="156" t="s">
        <v>657</v>
      </c>
      <c r="AJ39" s="145">
        <f>Input!AJ287</f>
        <v>0</v>
      </c>
      <c r="AK39" s="145">
        <f>Input!AK287</f>
        <v>0</v>
      </c>
      <c r="AL39" s="145">
        <f>Input!AL287</f>
        <v>0</v>
      </c>
      <c r="AM39" s="145">
        <f>Input!AM287</f>
        <v>0</v>
      </c>
      <c r="AN39" s="145">
        <f>Input!AN287</f>
        <v>0</v>
      </c>
      <c r="AO39" s="145">
        <f>Input!AO287</f>
        <v>0</v>
      </c>
      <c r="AP39" s="145">
        <f>Input!AP287</f>
        <v>0</v>
      </c>
      <c r="AQ39" s="145">
        <f>Input!AQ287</f>
        <v>0</v>
      </c>
    </row>
    <row r="40" spans="3:48" s="156" customFormat="1" ht="15" customHeight="1">
      <c r="E40" s="19" t="str">
        <f>Input!E288</f>
        <v>Miscellaneous (DRS 9) costs</v>
      </c>
      <c r="G40" s="156" t="s">
        <v>657</v>
      </c>
      <c r="AJ40" s="145">
        <f>Input!AJ288</f>
        <v>0</v>
      </c>
      <c r="AK40" s="145">
        <f>Input!AK288</f>
        <v>0</v>
      </c>
      <c r="AL40" s="145">
        <f>Input!AL288</f>
        <v>0</v>
      </c>
      <c r="AM40" s="145">
        <f>Input!AM288</f>
        <v>0</v>
      </c>
      <c r="AN40" s="145">
        <f>Input!AN288</f>
        <v>0</v>
      </c>
      <c r="AO40" s="145">
        <f>Input!AO288</f>
        <v>0</v>
      </c>
      <c r="AP40" s="145">
        <f>Input!AP288</f>
        <v>0</v>
      </c>
      <c r="AQ40" s="145">
        <f>Input!AQ288</f>
        <v>0</v>
      </c>
    </row>
    <row r="41" spans="3:48" s="156" customFormat="1" ht="15" customHeight="1">
      <c r="E41" s="19" t="str">
        <f>Input!E289</f>
        <v>Miscellaneous (DRS 9) net position</v>
      </c>
      <c r="G41" s="156" t="s">
        <v>657</v>
      </c>
      <c r="AJ41" s="166">
        <f>Input!AJ289</f>
        <v>0</v>
      </c>
      <c r="AK41" s="166">
        <f>Input!AK289</f>
        <v>0</v>
      </c>
      <c r="AL41" s="166">
        <f>Input!AL289</f>
        <v>0</v>
      </c>
      <c r="AM41" s="166">
        <f>Input!AM289</f>
        <v>0</v>
      </c>
      <c r="AN41" s="166">
        <f>Input!AN289</f>
        <v>0</v>
      </c>
      <c r="AO41" s="166">
        <f>Input!AO289</f>
        <v>0</v>
      </c>
      <c r="AP41" s="166">
        <f>Input!AP289</f>
        <v>0</v>
      </c>
      <c r="AQ41" s="166">
        <f>Input!AQ289</f>
        <v>0</v>
      </c>
    </row>
    <row r="42" spans="3:48" s="156" customFormat="1" ht="15" customHeight="1">
      <c r="AJ42" s="147"/>
      <c r="AK42" s="147"/>
      <c r="AL42" s="147"/>
      <c r="AM42" s="147"/>
      <c r="AN42" s="147"/>
      <c r="AO42" s="147"/>
      <c r="AP42" s="147"/>
      <c r="AQ42" s="147"/>
    </row>
    <row r="43" spans="3:48" s="156" customFormat="1" ht="15" customHeight="1">
      <c r="C43" s="158" t="str">
        <f>Input!D291</f>
        <v>Directly Remunerated Services</v>
      </c>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291"/>
      <c r="AK43" s="291"/>
      <c r="AL43" s="291"/>
      <c r="AM43" s="291"/>
      <c r="AN43" s="291"/>
      <c r="AO43" s="291"/>
      <c r="AP43" s="291"/>
      <c r="AQ43" s="291"/>
    </row>
    <row r="44" spans="3:48" s="156" customFormat="1" ht="15" customHeight="1">
      <c r="AJ44" s="147"/>
      <c r="AK44" s="147"/>
      <c r="AL44" s="147"/>
      <c r="AM44" s="147"/>
      <c r="AN44" s="147"/>
      <c r="AO44" s="147"/>
      <c r="AP44" s="147"/>
      <c r="AQ44" s="147"/>
    </row>
    <row r="45" spans="3:48" s="156" customFormat="1" ht="15" customHeight="1">
      <c r="D45" s="160" t="s">
        <v>633</v>
      </c>
      <c r="E45" s="160"/>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93"/>
      <c r="AK45" s="193"/>
      <c r="AL45" s="193"/>
      <c r="AM45" s="193"/>
      <c r="AN45" s="193"/>
      <c r="AO45" s="193"/>
      <c r="AP45" s="193"/>
      <c r="AQ45" s="193"/>
    </row>
    <row r="46" spans="3:48" s="156" customFormat="1" ht="15" customHeight="1">
      <c r="AJ46" s="147"/>
      <c r="AK46" s="147"/>
      <c r="AL46" s="147"/>
      <c r="AM46" s="147"/>
      <c r="AN46" s="147"/>
      <c r="AO46" s="147"/>
      <c r="AP46" s="147"/>
      <c r="AQ46" s="147"/>
    </row>
    <row r="47" spans="3:48" s="156" customFormat="1" ht="15" customHeight="1">
      <c r="E47" s="156" t="str">
        <f>Input!E345</f>
        <v>Overall net income of Directly Remunerated Services</v>
      </c>
      <c r="G47" s="156" t="s">
        <v>657</v>
      </c>
      <c r="AJ47" s="166">
        <f>Input!AJ345</f>
        <v>11.034502948765491</v>
      </c>
      <c r="AK47" s="166">
        <f>Input!AK345</f>
        <v>9.5443621587654839</v>
      </c>
      <c r="AL47" s="166">
        <f>Input!AL345</f>
        <v>7.9291027766654825</v>
      </c>
      <c r="AM47" s="166">
        <f>Input!AM345</f>
        <v>6.6787259883864802</v>
      </c>
      <c r="AN47" s="166">
        <f>Input!AN345</f>
        <v>6.4532329679902851</v>
      </c>
      <c r="AO47" s="166">
        <f>Input!AO345</f>
        <v>6.4656248777980316</v>
      </c>
      <c r="AP47" s="166">
        <f>Input!AP345</f>
        <v>6.4109028685077014</v>
      </c>
      <c r="AQ47" s="166">
        <f>Input!AQ345</f>
        <v>6.4420680793102871</v>
      </c>
    </row>
    <row r="48" spans="3:48" s="156" customFormat="1" ht="15" customHeight="1">
      <c r="AJ48" s="145"/>
      <c r="AK48" s="145"/>
      <c r="AL48" s="145"/>
      <c r="AM48" s="145"/>
      <c r="AN48" s="145"/>
      <c r="AO48" s="145"/>
      <c r="AP48" s="145"/>
      <c r="AQ48" s="145"/>
      <c r="AR48" s="145"/>
      <c r="AS48" s="145"/>
      <c r="AT48" s="145"/>
      <c r="AU48" s="145"/>
      <c r="AV48" s="145"/>
    </row>
    <row r="49" spans="3:48" s="156" customFormat="1" ht="15" customHeight="1">
      <c r="C49" s="158" t="s">
        <v>771</v>
      </c>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291"/>
      <c r="AK49" s="291"/>
      <c r="AL49" s="291"/>
      <c r="AM49" s="291"/>
      <c r="AN49" s="291"/>
      <c r="AO49" s="291"/>
      <c r="AP49" s="291"/>
      <c r="AQ49" s="291"/>
    </row>
    <row r="50" spans="3:48" s="156" customFormat="1" ht="15" customHeight="1">
      <c r="AJ50" s="147"/>
      <c r="AK50" s="147"/>
      <c r="AL50" s="147"/>
      <c r="AM50" s="147"/>
      <c r="AN50" s="147"/>
      <c r="AO50" s="147"/>
      <c r="AP50" s="147"/>
      <c r="AQ50" s="147"/>
    </row>
    <row r="51" spans="3:48" s="156" customFormat="1" ht="15" customHeight="1">
      <c r="D51" s="160" t="s">
        <v>737</v>
      </c>
      <c r="E51" s="160"/>
      <c r="F51" s="160"/>
      <c r="G51" s="160"/>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93"/>
      <c r="AK51" s="193"/>
      <c r="AL51" s="193"/>
      <c r="AM51" s="193"/>
      <c r="AN51" s="193"/>
      <c r="AO51" s="193"/>
      <c r="AP51" s="193"/>
      <c r="AQ51" s="193"/>
    </row>
    <row r="52" spans="3:48" s="156" customFormat="1" ht="15" customHeight="1">
      <c r="AJ52" s="147"/>
      <c r="AK52" s="147"/>
      <c r="AL52" s="147"/>
      <c r="AM52" s="147"/>
      <c r="AN52" s="147"/>
      <c r="AO52" s="147"/>
      <c r="AP52" s="147"/>
      <c r="AQ52" s="147"/>
    </row>
    <row r="53" spans="3:48" s="156" customFormat="1" ht="15" customHeight="1">
      <c r="E53" s="156" t="s">
        <v>592</v>
      </c>
      <c r="G53" s="156" t="s">
        <v>657</v>
      </c>
      <c r="AJ53" s="145">
        <f>Input!AJ280</f>
        <v>15.447403729421062</v>
      </c>
      <c r="AK53" s="145">
        <f>Input!AK280</f>
        <v>15.44740372942106</v>
      </c>
      <c r="AL53" s="145">
        <f>Input!AL280</f>
        <v>7.4655138810891444</v>
      </c>
      <c r="AM53" s="145">
        <f>Input!AM280</f>
        <v>0</v>
      </c>
      <c r="AN53" s="145">
        <f>Input!AN280</f>
        <v>0</v>
      </c>
      <c r="AO53" s="145">
        <f>Input!AO280</f>
        <v>0</v>
      </c>
      <c r="AP53" s="145">
        <f>Input!AP280</f>
        <v>0</v>
      </c>
      <c r="AQ53" s="145">
        <f>Input!AQ280</f>
        <v>0</v>
      </c>
    </row>
    <row r="54" spans="3:48" s="156" customFormat="1" ht="15" customHeight="1">
      <c r="E54" s="378" t="s">
        <v>772</v>
      </c>
      <c r="G54" s="156" t="s">
        <v>657</v>
      </c>
      <c r="AJ54" s="145">
        <f>Input!AJ281</f>
        <v>0</v>
      </c>
      <c r="AK54" s="145">
        <f>Input!AK281</f>
        <v>0</v>
      </c>
      <c r="AL54" s="145">
        <f>Input!AL281</f>
        <v>0</v>
      </c>
      <c r="AM54" s="145">
        <f>Input!AM281</f>
        <v>0</v>
      </c>
      <c r="AN54" s="145">
        <f>Input!AN281</f>
        <v>0</v>
      </c>
      <c r="AO54" s="145">
        <f>Input!AO281</f>
        <v>0</v>
      </c>
      <c r="AP54" s="145">
        <f>Input!AP281</f>
        <v>0</v>
      </c>
      <c r="AQ54" s="145">
        <f>Input!AQ281</f>
        <v>0</v>
      </c>
    </row>
    <row r="55" spans="3:48" ht="15" customHeight="1"/>
    <row r="56" spans="3:48" s="156" customFormat="1" ht="15" customHeight="1">
      <c r="C56" s="158" t="s">
        <v>218</v>
      </c>
      <c r="D56" s="158"/>
      <c r="E56" s="158"/>
      <c r="F56" s="158"/>
      <c r="G56" s="158"/>
      <c r="H56" s="158"/>
      <c r="I56" s="158"/>
      <c r="J56" s="158"/>
      <c r="K56" s="158"/>
      <c r="L56" s="158"/>
      <c r="M56" s="158"/>
      <c r="N56" s="158"/>
      <c r="O56" s="158"/>
      <c r="P56" s="158"/>
      <c r="Q56" s="158"/>
      <c r="R56" s="158"/>
      <c r="S56" s="158"/>
      <c r="T56" s="158"/>
      <c r="U56" s="158"/>
      <c r="V56" s="158"/>
      <c r="W56" s="158"/>
      <c r="X56" s="158"/>
      <c r="Y56" s="158"/>
      <c r="Z56" s="158"/>
      <c r="AA56" s="158"/>
      <c r="AB56" s="158"/>
      <c r="AC56" s="158"/>
      <c r="AD56" s="158"/>
      <c r="AE56" s="158"/>
      <c r="AF56" s="158"/>
      <c r="AG56" s="158"/>
      <c r="AH56" s="158"/>
      <c r="AI56" s="158"/>
      <c r="AJ56" s="291"/>
      <c r="AK56" s="291"/>
      <c r="AL56" s="291"/>
      <c r="AM56" s="291"/>
      <c r="AN56" s="291"/>
      <c r="AO56" s="291"/>
      <c r="AP56" s="291"/>
      <c r="AQ56" s="291"/>
    </row>
    <row r="57" spans="3:48" s="156" customFormat="1" ht="15" customHeight="1">
      <c r="AJ57" s="147"/>
      <c r="AK57" s="147"/>
      <c r="AL57" s="147"/>
      <c r="AM57" s="147"/>
      <c r="AN57" s="147"/>
      <c r="AO57" s="147"/>
      <c r="AP57" s="147"/>
      <c r="AQ57" s="147"/>
    </row>
    <row r="58" spans="3:48" s="156" customFormat="1" ht="15" customHeight="1">
      <c r="E58" s="156" t="s">
        <v>333</v>
      </c>
      <c r="G58" s="156" t="s">
        <v>657</v>
      </c>
      <c r="AJ58" s="147">
        <f xml:space="preserve"> AJ$20+AJ$26+AJ$33-AJ$41</f>
        <v>20.341420031076023</v>
      </c>
      <c r="AK58" s="378">
        <f t="shared" ref="AK58:AQ58" si="3" xml:space="preserve"> AK$20+AK$26+AK$33-AK$41</f>
        <v>22.913831241511371</v>
      </c>
      <c r="AL58" s="378">
        <f t="shared" si="3"/>
        <v>26.743846270480336</v>
      </c>
      <c r="AM58" s="378">
        <f t="shared" si="3"/>
        <v>29.340890634640587</v>
      </c>
      <c r="AN58" s="378">
        <f t="shared" si="3"/>
        <v>39.463753150084557</v>
      </c>
      <c r="AO58" s="378">
        <f t="shared" si="3"/>
        <v>41.845252235022564</v>
      </c>
      <c r="AP58" s="378">
        <f t="shared" si="3"/>
        <v>65.52572132787013</v>
      </c>
      <c r="AQ58" s="378">
        <f t="shared" si="3"/>
        <v>67.768435737214361</v>
      </c>
    </row>
    <row r="59" spans="3:48" s="156" customFormat="1" ht="15" customHeight="1">
      <c r="AJ59" s="147"/>
      <c r="AK59" s="147"/>
      <c r="AL59" s="147"/>
      <c r="AM59" s="147"/>
      <c r="AN59" s="147"/>
      <c r="AO59" s="147"/>
      <c r="AP59" s="147"/>
      <c r="AQ59" s="147"/>
    </row>
    <row r="60" spans="3:48" s="156" customFormat="1" ht="15" customHeight="1">
      <c r="E60" s="156" t="s">
        <v>332</v>
      </c>
      <c r="G60" s="156" t="s">
        <v>657</v>
      </c>
      <c r="AJ60" s="155">
        <f>AJ$41+AJ$47+AJ$53+AJ$54</f>
        <v>26.481906678186554</v>
      </c>
      <c r="AK60" s="155">
        <f t="shared" ref="AK60:AQ60" si="4">AK$41+AK$47+AK$53+AK$54</f>
        <v>24.991765888186542</v>
      </c>
      <c r="AL60" s="155">
        <f t="shared" si="4"/>
        <v>15.394616657754627</v>
      </c>
      <c r="AM60" s="155">
        <f t="shared" si="4"/>
        <v>6.6787259883864802</v>
      </c>
      <c r="AN60" s="155">
        <f t="shared" si="4"/>
        <v>6.4532329679902851</v>
      </c>
      <c r="AO60" s="155">
        <f t="shared" si="4"/>
        <v>6.4656248777980316</v>
      </c>
      <c r="AP60" s="155">
        <f t="shared" si="4"/>
        <v>6.4109028685077014</v>
      </c>
      <c r="AQ60" s="155">
        <f t="shared" si="4"/>
        <v>6.4420680793102871</v>
      </c>
    </row>
    <row r="61" spans="3:48" s="156" customFormat="1" ht="15" customHeight="1">
      <c r="AJ61" s="147"/>
      <c r="AK61" s="147"/>
      <c r="AL61" s="147"/>
      <c r="AM61" s="147"/>
      <c r="AN61" s="147"/>
      <c r="AO61" s="147"/>
      <c r="AP61" s="147"/>
      <c r="AQ61" s="147"/>
    </row>
    <row r="62" spans="3:48" s="156" customFormat="1" ht="15" customHeight="1">
      <c r="E62" s="156" t="s">
        <v>253</v>
      </c>
      <c r="G62" s="156" t="s">
        <v>657</v>
      </c>
      <c r="AJ62" s="150">
        <f>-AJ$20+AJ$41+AJ$47</f>
        <v>-21.190818069121256</v>
      </c>
      <c r="AK62" s="150">
        <f t="shared" ref="AK62:AQ62" si="5">-AK$20+AK$41+AK$47</f>
        <v>-22.680958859121265</v>
      </c>
      <c r="AL62" s="150">
        <f t="shared" si="5"/>
        <v>-24.296218241221268</v>
      </c>
      <c r="AM62" s="150">
        <f t="shared" si="5"/>
        <v>-25.546595029500267</v>
      </c>
      <c r="AN62" s="150">
        <f t="shared" si="5"/>
        <v>-25.772088049896464</v>
      </c>
      <c r="AO62" s="150">
        <f t="shared" si="5"/>
        <v>-25.759696140088717</v>
      </c>
      <c r="AP62" s="150">
        <f t="shared" si="5"/>
        <v>-25.814418149379048</v>
      </c>
      <c r="AQ62" s="150">
        <f t="shared" si="5"/>
        <v>-25.78325293857646</v>
      </c>
      <c r="AR62" s="81"/>
      <c r="AS62" s="81"/>
      <c r="AT62" s="81"/>
      <c r="AU62" s="81"/>
      <c r="AV62" s="81"/>
    </row>
    <row r="63" spans="3:48" s="156" customFormat="1" ht="15" customHeight="1">
      <c r="AJ63" s="147"/>
      <c r="AK63" s="147"/>
      <c r="AL63" s="147"/>
      <c r="AM63" s="147"/>
      <c r="AN63" s="147"/>
      <c r="AO63" s="147"/>
      <c r="AP63" s="147"/>
      <c r="AQ63" s="147"/>
    </row>
    <row r="64" spans="3:48" s="156" customFormat="1" ht="15" customHeight="1">
      <c r="E64" s="156" t="s">
        <v>252</v>
      </c>
      <c r="G64" s="156" t="s">
        <v>657</v>
      </c>
      <c r="AJ64" s="147">
        <f>-AJ$20-AJ$26+AJ$41</f>
        <v>-36.866074792283662</v>
      </c>
      <c r="AK64" s="378">
        <f t="shared" ref="AK64:AQ64" si="6">-AK$20-AK$26+AK$41</f>
        <v>-37.040451115356625</v>
      </c>
      <c r="AL64" s="378">
        <f t="shared" si="6"/>
        <v>-37.221379628769057</v>
      </c>
      <c r="AM64" s="378">
        <f t="shared" si="6"/>
        <v>-37.409106531072958</v>
      </c>
      <c r="AN64" s="378">
        <f t="shared" si="6"/>
        <v>-37.603887271730933</v>
      </c>
      <c r="AO64" s="378">
        <f t="shared" si="6"/>
        <v>-37.805986898719127</v>
      </c>
      <c r="AP64" s="378">
        <f t="shared" si="6"/>
        <v>-38.015680419191398</v>
      </c>
      <c r="AQ64" s="378">
        <f t="shared" si="6"/>
        <v>-38.233253173695424</v>
      </c>
    </row>
    <row r="65" spans="2:43" s="156" customFormat="1" ht="15" customHeight="1"/>
    <row r="66" spans="2:43" ht="15" customHeight="1">
      <c r="B66" s="15" t="s">
        <v>51</v>
      </c>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row>
    <row r="67" spans="2:43" ht="15" customHeight="1"/>
    <row r="68" spans="2:43" ht="15" hidden="1" customHeight="1">
      <c r="AJ68" s="438"/>
      <c r="AK68" s="438"/>
      <c r="AL68" s="438"/>
      <c r="AM68" s="438"/>
      <c r="AN68" s="438"/>
      <c r="AO68" s="438"/>
      <c r="AP68" s="438"/>
      <c r="AQ68" s="438"/>
    </row>
    <row r="69" spans="2:43" ht="15" hidden="1" customHeight="1"/>
    <row r="70" spans="2:43" ht="15" hidden="1" customHeight="1"/>
    <row r="71" spans="2:43" ht="15" hidden="1" customHeight="1"/>
    <row r="72" spans="2:43" ht="15" hidden="1" customHeight="1"/>
    <row r="73" spans="2:43" ht="15" hidden="1" customHeight="1"/>
    <row r="74" spans="2:43" ht="15" hidden="1" customHeight="1"/>
    <row r="75" spans="2:43" ht="15" hidden="1" customHeight="1"/>
    <row r="76" spans="2:43" ht="15" hidden="1" customHeight="1"/>
    <row r="77" spans="2:43" ht="15" hidden="1" customHeight="1"/>
    <row r="78" spans="2:43" ht="15" hidden="1" customHeight="1"/>
    <row r="79" spans="2:43" ht="15" hidden="1" customHeight="1"/>
    <row r="80" spans="2:43"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5425" r:id="rId4" name="Drop Down 1">
              <controlPr defaultSize="0" autoLine="0" autoPict="0">
                <anchor moveWithCells="1">
                  <from>
                    <xdr:col>4</xdr:col>
                    <xdr:colOff>1114425</xdr:colOff>
                    <xdr:row>2</xdr:row>
                    <xdr:rowOff>0</xdr:rowOff>
                  </from>
                  <to>
                    <xdr:col>4</xdr:col>
                    <xdr:colOff>3552825</xdr:colOff>
                    <xdr:row>2</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tint="0.59999389629810485"/>
    <pageSetUpPr autoPageBreaks="0"/>
  </sheetPr>
  <dimension ref="A1:XDD260"/>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1" width="1.625" style="156" customWidth="1"/>
    <col min="2" max="2" width="9.25" style="156" customWidth="1"/>
    <col min="3" max="3" width="7.625" style="156" customWidth="1"/>
    <col min="4" max="4" width="1.625" style="156" customWidth="1"/>
    <col min="5" max="5" width="39.375" style="156" customWidth="1"/>
    <col min="6" max="6" width="1.625" style="156" customWidth="1"/>
    <col min="7" max="7" width="12.625" style="156" customWidth="1"/>
    <col min="8" max="8" width="2.375" style="156" customWidth="1"/>
    <col min="9" max="9" width="10.625" style="156" customWidth="1"/>
    <col min="10" max="10" width="1.625" style="22" customWidth="1"/>
    <col min="11" max="35" width="10.625" style="156" hidden="1" customWidth="1" outlineLevel="1"/>
    <col min="36" max="36" width="10.625" style="156" customWidth="1" collapsed="1"/>
    <col min="37" max="43" width="10.625" style="156" customWidth="1"/>
    <col min="44" max="44" width="1.625" style="156" customWidth="1"/>
    <col min="45" max="87" width="0" style="156" hidden="1"/>
    <col min="88" max="16332" width="9" style="156" hidden="1"/>
    <col min="16333" max="16384" width="0" style="156" hidden="1"/>
  </cols>
  <sheetData>
    <row r="1" spans="1:44" s="6" customFormat="1" ht="19.5">
      <c r="A1" s="5" t="s">
        <v>239</v>
      </c>
      <c r="J1" s="46"/>
      <c r="K1" s="46"/>
      <c r="L1" s="46"/>
      <c r="M1" s="46"/>
      <c r="N1" s="46"/>
      <c r="O1" s="46"/>
      <c r="P1" s="46"/>
      <c r="Q1" s="46"/>
      <c r="R1" s="46"/>
      <c r="S1" s="46"/>
      <c r="T1" s="46"/>
      <c r="U1" s="46"/>
      <c r="V1" s="46"/>
      <c r="W1" s="46"/>
      <c r="X1" s="46"/>
      <c r="Y1" s="46"/>
      <c r="Z1" s="46"/>
      <c r="AR1" s="140"/>
    </row>
    <row r="2" spans="1:44" s="6" customFormat="1" ht="15" customHeight="1">
      <c r="B2" s="8" t="str">
        <f>UserInterface!G17</f>
        <v>SSES</v>
      </c>
    </row>
    <row r="3" spans="1:44" s="6" customFormat="1" ht="15" customHeight="1">
      <c r="B3" s="8"/>
    </row>
    <row r="4" spans="1:44" s="6" customFormat="1" ht="15" customHeight="1">
      <c r="B4" s="8"/>
    </row>
    <row r="5" spans="1:44" s="6" customFormat="1" ht="15" customHeight="1">
      <c r="B5" s="8"/>
    </row>
    <row r="6" spans="1:44" s="6" customFormat="1" ht="15" customHeight="1">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row>
    <row r="7" spans="1:44" s="6" customFormat="1" ht="15" customHeight="1">
      <c r="E7" s="6" t="s">
        <v>231</v>
      </c>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row>
    <row r="8" spans="1:44" ht="15" customHeight="1"/>
    <row r="9" spans="1:44" s="149" customFormat="1" ht="15" customHeight="1">
      <c r="B9" s="15" t="s">
        <v>12</v>
      </c>
      <c r="C9" s="15"/>
      <c r="D9" s="15"/>
      <c r="E9" s="15"/>
      <c r="F9" s="15"/>
      <c r="G9" s="15"/>
      <c r="H9" s="15"/>
      <c r="I9" s="15"/>
      <c r="J9" s="263"/>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s="149" customFormat="1" ht="15" customHeight="1">
      <c r="B10" s="145"/>
      <c r="D10" s="145"/>
      <c r="E10" s="145"/>
      <c r="F10" s="145"/>
      <c r="G10" s="145"/>
      <c r="H10" s="145"/>
      <c r="I10" s="145"/>
      <c r="J10" s="31"/>
    </row>
    <row r="11" spans="1:44" s="149" customFormat="1" ht="15" customHeight="1">
      <c r="B11" s="145"/>
      <c r="C11" s="17" t="s">
        <v>384</v>
      </c>
      <c r="D11" s="17"/>
      <c r="E11" s="17"/>
      <c r="F11" s="17"/>
      <c r="G11" s="17"/>
      <c r="H11" s="17"/>
      <c r="I11" s="17"/>
      <c r="J11" s="100"/>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row>
    <row r="12" spans="1:44" s="149" customFormat="1" ht="15" customHeight="1">
      <c r="B12" s="145"/>
      <c r="C12" s="164" t="s">
        <v>391</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row>
    <row r="13" spans="1:44" s="149" customFormat="1" ht="15" customHeight="1">
      <c r="B13" s="145"/>
      <c r="C13" s="164" t="s">
        <v>537</v>
      </c>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row>
    <row r="14" spans="1:44" ht="15" customHeight="1">
      <c r="C14" s="20"/>
      <c r="E14" s="21"/>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row>
    <row r="15" spans="1:44" ht="15" customHeight="1">
      <c r="E15" s="25" t="s">
        <v>68</v>
      </c>
      <c r="F15" s="147"/>
      <c r="G15" s="156" t="s">
        <v>657</v>
      </c>
      <c r="H15" s="147"/>
      <c r="I15" s="147"/>
      <c r="J15" s="151"/>
      <c r="K15" s="147"/>
      <c r="L15" s="147"/>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07"/>
      <c r="AJ15" s="150">
        <f>TIM!AJ74</f>
        <v>214.30283536876493</v>
      </c>
      <c r="AK15" s="150">
        <f>TIM!AK74</f>
        <v>218.74958717835483</v>
      </c>
      <c r="AL15" s="150">
        <f>TIM!AL74</f>
        <v>213.07955677040144</v>
      </c>
      <c r="AM15" s="150">
        <f>TIM!AM74</f>
        <v>212.77598368354523</v>
      </c>
      <c r="AN15" s="150">
        <f>TIM!AN74</f>
        <v>191.35412942848416</v>
      </c>
      <c r="AO15" s="150">
        <f>TIM!AO74</f>
        <v>191.61771831702322</v>
      </c>
      <c r="AP15" s="150">
        <f>TIM!AP74</f>
        <v>197.19301522840377</v>
      </c>
      <c r="AQ15" s="150">
        <f>TIM!AQ74</f>
        <v>192.13875531318419</v>
      </c>
    </row>
    <row r="16" spans="1:44" ht="15" customHeight="1">
      <c r="E16" s="25" t="s">
        <v>444</v>
      </c>
      <c r="F16" s="147"/>
      <c r="G16" s="156" t="s">
        <v>657</v>
      </c>
      <c r="H16" s="147"/>
      <c r="I16" s="147"/>
      <c r="J16" s="151"/>
      <c r="K16" s="147"/>
      <c r="L16" s="147"/>
      <c r="M16" s="147"/>
      <c r="N16" s="147"/>
      <c r="O16" s="147"/>
      <c r="P16" s="147"/>
      <c r="Q16" s="147"/>
      <c r="R16" s="147"/>
      <c r="S16" s="147"/>
      <c r="T16" s="147"/>
      <c r="U16" s="378"/>
      <c r="V16" s="378"/>
      <c r="W16" s="378"/>
      <c r="X16" s="378"/>
      <c r="Y16" s="378"/>
      <c r="Z16" s="378"/>
      <c r="AA16" s="378"/>
      <c r="AB16" s="378"/>
      <c r="AC16" s="378"/>
      <c r="AD16" s="378"/>
      <c r="AE16" s="378"/>
      <c r="AF16" s="378"/>
      <c r="AG16" s="378"/>
      <c r="AH16" s="378"/>
      <c r="AI16" s="378"/>
      <c r="AJ16" s="150">
        <v>0</v>
      </c>
      <c r="AK16" s="150">
        <v>0</v>
      </c>
      <c r="AL16" s="150">
        <v>0</v>
      </c>
      <c r="AM16" s="150">
        <v>0</v>
      </c>
      <c r="AN16" s="150">
        <v>0</v>
      </c>
      <c r="AO16" s="150">
        <v>0</v>
      </c>
      <c r="AP16" s="150">
        <v>0</v>
      </c>
      <c r="AQ16" s="150">
        <v>0</v>
      </c>
    </row>
    <row r="17" spans="2:43" ht="15" customHeight="1">
      <c r="E17" s="25" t="s">
        <v>385</v>
      </c>
      <c r="F17" s="147"/>
      <c r="G17" s="156" t="s">
        <v>657</v>
      </c>
      <c r="H17" s="147"/>
      <c r="I17" s="147"/>
      <c r="J17" s="151" t="s">
        <v>54</v>
      </c>
      <c r="K17" s="147">
        <f>SUM(Input!K363:K364)</f>
        <v>38.825481450385681</v>
      </c>
      <c r="L17" s="147">
        <f>SUM(Input!L363:L364)</f>
        <v>140.66533557223065</v>
      </c>
      <c r="M17" s="147">
        <f>SUM(Input!M363:M364)</f>
        <v>164.7001574224694</v>
      </c>
      <c r="N17" s="147">
        <f>SUM(Input!N363:N364)</f>
        <v>196.13030907278159</v>
      </c>
      <c r="O17" s="147">
        <f>SUM(Input!O363:O364)</f>
        <v>190.89195046439625</v>
      </c>
      <c r="P17" s="147">
        <f>SUM(Input!P363:P364)</f>
        <v>198.59541900613948</v>
      </c>
      <c r="Q17" s="147">
        <f>SUM(Input!Q363:Q364)</f>
        <v>211.22910741459825</v>
      </c>
      <c r="R17" s="147">
        <f>SUM(Input!R363:R364)</f>
        <v>194.74368473526786</v>
      </c>
      <c r="S17" s="147">
        <f>SUM(Input!S363:S364)</f>
        <v>175.87346563991051</v>
      </c>
      <c r="T17" s="147">
        <f>SUM(Input!T363:T364)</f>
        <v>147.08446047490233</v>
      </c>
      <c r="U17" s="147">
        <f>SUM(Input!U363:U364)</f>
        <v>125.97832883611149</v>
      </c>
      <c r="V17" s="147">
        <f>SUM(Input!V363:V364)</f>
        <v>130.80244427294289</v>
      </c>
      <c r="W17" s="147">
        <f>SUM(Input!W363:W364)</f>
        <v>110.541159438251</v>
      </c>
      <c r="X17" s="147">
        <f>SUM(Input!X363:X364)</f>
        <v>125.77347581860529</v>
      </c>
      <c r="Y17" s="147">
        <f>SUM(Input!Y363:Y364)</f>
        <v>136.48520298735869</v>
      </c>
      <c r="Z17" s="147">
        <f>SUM(Input!Z363:Z364)</f>
        <v>133.16539216595041</v>
      </c>
      <c r="AA17" s="147">
        <f>SUM(Input!AA363:AA364)</f>
        <v>138.99996854980139</v>
      </c>
      <c r="AB17" s="147">
        <f>SUM(Input!AB363:AB364)</f>
        <v>166.44661556524062</v>
      </c>
      <c r="AC17" s="147">
        <f>SUM(Input!AC363:AC364)</f>
        <v>200.72197563436023</v>
      </c>
      <c r="AD17" s="147">
        <f>SUM(Input!AD363:AD364)</f>
        <v>215.32272941719307</v>
      </c>
      <c r="AE17" s="147">
        <f>SUM(Input!AE363:AE364)</f>
        <v>168.84150388749299</v>
      </c>
      <c r="AF17" s="147">
        <f>SUM(Input!AF363:AF364)</f>
        <v>190.27311408313142</v>
      </c>
      <c r="AG17" s="108">
        <f>SUM(Input!AG363:AG364)</f>
        <v>215.06223577807756</v>
      </c>
      <c r="AH17" s="108">
        <f>SUM(Input!AH363:AH364)</f>
        <v>241.2930578422361</v>
      </c>
      <c r="AI17" s="107">
        <f>SUM(Input!AI363:AI364)</f>
        <v>252.92877731841884</v>
      </c>
      <c r="AJ17" s="155"/>
      <c r="AK17" s="155"/>
      <c r="AL17" s="155"/>
      <c r="AM17" s="155"/>
      <c r="AN17" s="155"/>
      <c r="AO17" s="155"/>
      <c r="AP17" s="155"/>
      <c r="AQ17" s="155"/>
    </row>
    <row r="18" spans="2:43" s="149" customFormat="1" ht="15" customHeight="1">
      <c r="B18" s="145"/>
      <c r="D18" s="145"/>
      <c r="E18" s="145" t="s">
        <v>384</v>
      </c>
      <c r="F18" s="145"/>
      <c r="G18" s="156" t="s">
        <v>657</v>
      </c>
      <c r="H18" s="145"/>
      <c r="I18" s="145"/>
      <c r="J18" s="151" t="s">
        <v>54</v>
      </c>
      <c r="K18" s="165">
        <f>SUM(K15:K17)</f>
        <v>38.825481450385681</v>
      </c>
      <c r="L18" s="165">
        <f t="shared" ref="L18:AQ18" si="0">SUM(L15:L17)</f>
        <v>140.66533557223065</v>
      </c>
      <c r="M18" s="165">
        <f t="shared" si="0"/>
        <v>164.7001574224694</v>
      </c>
      <c r="N18" s="165">
        <f t="shared" si="0"/>
        <v>196.13030907278159</v>
      </c>
      <c r="O18" s="165">
        <f t="shared" si="0"/>
        <v>190.89195046439625</v>
      </c>
      <c r="P18" s="165">
        <f t="shared" si="0"/>
        <v>198.59541900613948</v>
      </c>
      <c r="Q18" s="165">
        <f t="shared" si="0"/>
        <v>211.22910741459825</v>
      </c>
      <c r="R18" s="165">
        <f t="shared" si="0"/>
        <v>194.74368473526786</v>
      </c>
      <c r="S18" s="165">
        <f t="shared" si="0"/>
        <v>175.87346563991051</v>
      </c>
      <c r="T18" s="165">
        <f t="shared" si="0"/>
        <v>147.08446047490233</v>
      </c>
      <c r="U18" s="165">
        <f t="shared" si="0"/>
        <v>125.97832883611149</v>
      </c>
      <c r="V18" s="165">
        <f t="shared" si="0"/>
        <v>130.80244427294289</v>
      </c>
      <c r="W18" s="165">
        <f t="shared" si="0"/>
        <v>110.541159438251</v>
      </c>
      <c r="X18" s="165">
        <f t="shared" si="0"/>
        <v>125.77347581860529</v>
      </c>
      <c r="Y18" s="165">
        <f t="shared" si="0"/>
        <v>136.48520298735869</v>
      </c>
      <c r="Z18" s="165">
        <f t="shared" si="0"/>
        <v>133.16539216595041</v>
      </c>
      <c r="AA18" s="165">
        <f t="shared" si="0"/>
        <v>138.99996854980139</v>
      </c>
      <c r="AB18" s="165">
        <f t="shared" si="0"/>
        <v>166.44661556524062</v>
      </c>
      <c r="AC18" s="165">
        <f t="shared" si="0"/>
        <v>200.72197563436023</v>
      </c>
      <c r="AD18" s="165">
        <f t="shared" si="0"/>
        <v>215.32272941719307</v>
      </c>
      <c r="AE18" s="165">
        <f t="shared" si="0"/>
        <v>168.84150388749299</v>
      </c>
      <c r="AF18" s="165">
        <f t="shared" si="0"/>
        <v>190.27311408313142</v>
      </c>
      <c r="AG18" s="165">
        <f t="shared" si="0"/>
        <v>215.06223577807756</v>
      </c>
      <c r="AH18" s="165">
        <f t="shared" si="0"/>
        <v>241.2930578422361</v>
      </c>
      <c r="AI18" s="271">
        <f t="shared" si="0"/>
        <v>252.92877731841884</v>
      </c>
      <c r="AJ18" s="165">
        <f t="shared" si="0"/>
        <v>214.30283536876493</v>
      </c>
      <c r="AK18" s="165">
        <f t="shared" si="0"/>
        <v>218.74958717835483</v>
      </c>
      <c r="AL18" s="165">
        <f t="shared" si="0"/>
        <v>213.07955677040144</v>
      </c>
      <c r="AM18" s="165">
        <f t="shared" si="0"/>
        <v>212.77598368354523</v>
      </c>
      <c r="AN18" s="165">
        <f t="shared" si="0"/>
        <v>191.35412942848416</v>
      </c>
      <c r="AO18" s="165">
        <f t="shared" si="0"/>
        <v>191.61771831702322</v>
      </c>
      <c r="AP18" s="165">
        <f t="shared" si="0"/>
        <v>197.19301522840377</v>
      </c>
      <c r="AQ18" s="165">
        <f t="shared" si="0"/>
        <v>192.13875531318419</v>
      </c>
    </row>
    <row r="19" spans="2:43" s="149" customFormat="1" ht="15" customHeight="1">
      <c r="B19" s="145"/>
      <c r="D19" s="145"/>
      <c r="E19" s="145"/>
      <c r="F19" s="145"/>
      <c r="G19" s="156"/>
      <c r="H19" s="145"/>
      <c r="I19" s="145"/>
      <c r="J19" s="151"/>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row>
    <row r="20" spans="2:43" s="149" customFormat="1" ht="15" customHeight="1">
      <c r="B20" s="145"/>
      <c r="C20" s="17" t="s">
        <v>426</v>
      </c>
      <c r="D20" s="17"/>
      <c r="E20" s="17"/>
      <c r="F20" s="17"/>
      <c r="G20" s="17"/>
      <c r="H20" s="17"/>
      <c r="I20" s="292"/>
      <c r="J20" s="292"/>
      <c r="K20" s="414"/>
      <c r="L20" s="414"/>
      <c r="M20" s="414"/>
      <c r="N20" s="414"/>
      <c r="O20" s="414"/>
      <c r="P20" s="414"/>
      <c r="Q20" s="414"/>
      <c r="R20" s="414"/>
      <c r="S20" s="414"/>
      <c r="T20" s="414"/>
      <c r="U20" s="414"/>
      <c r="V20" s="414"/>
      <c r="W20" s="414"/>
      <c r="X20" s="414"/>
      <c r="Y20" s="414"/>
      <c r="Z20" s="414"/>
      <c r="AA20" s="414"/>
      <c r="AB20" s="414"/>
      <c r="AC20" s="414"/>
      <c r="AD20" s="414"/>
      <c r="AE20" s="414"/>
      <c r="AF20" s="414"/>
      <c r="AG20" s="414"/>
      <c r="AH20" s="414"/>
      <c r="AI20" s="414"/>
      <c r="AJ20" s="292"/>
      <c r="AK20" s="292"/>
      <c r="AL20" s="292"/>
      <c r="AM20" s="292"/>
      <c r="AN20" s="292"/>
      <c r="AO20" s="292"/>
      <c r="AP20" s="292"/>
      <c r="AQ20" s="292"/>
    </row>
    <row r="21" spans="2:43" s="149" customFormat="1" ht="15" customHeight="1">
      <c r="B21" s="145"/>
      <c r="C21" s="191" t="s">
        <v>427</v>
      </c>
      <c r="D21" s="164"/>
      <c r="E21" s="164"/>
      <c r="F21" s="164"/>
      <c r="G21" s="164"/>
      <c r="H21" s="164"/>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row>
    <row r="22" spans="2:43" s="149" customFormat="1" ht="15" customHeight="1">
      <c r="B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K22" s="145"/>
      <c r="AL22" s="145"/>
      <c r="AM22" s="145"/>
      <c r="AN22" s="145"/>
      <c r="AO22" s="145"/>
      <c r="AP22" s="145"/>
      <c r="AQ22" s="145"/>
    </row>
    <row r="23" spans="2:43" s="149" customFormat="1" ht="15" customHeight="1">
      <c r="B23" s="145"/>
      <c r="D23" s="145"/>
      <c r="E23" s="145" t="s">
        <v>425</v>
      </c>
      <c r="F23" s="145"/>
      <c r="G23" s="156" t="s">
        <v>657</v>
      </c>
      <c r="H23" s="145"/>
      <c r="I23" s="145"/>
      <c r="J23" s="151" t="s">
        <v>54</v>
      </c>
      <c r="K23" s="150">
        <f>Input!K368</f>
        <v>0</v>
      </c>
      <c r="L23" s="150">
        <f>Input!L368</f>
        <v>0</v>
      </c>
      <c r="M23" s="150">
        <f>Input!M368</f>
        <v>0</v>
      </c>
      <c r="N23" s="150">
        <f>Input!N368</f>
        <v>0</v>
      </c>
      <c r="O23" s="150">
        <f>Input!O368</f>
        <v>0</v>
      </c>
      <c r="P23" s="150">
        <f>Input!P368</f>
        <v>0</v>
      </c>
      <c r="Q23" s="150">
        <f>Input!Q368</f>
        <v>0</v>
      </c>
      <c r="R23" s="150">
        <f>Input!R368</f>
        <v>0</v>
      </c>
      <c r="S23" s="150">
        <f>Input!S368</f>
        <v>0</v>
      </c>
      <c r="T23" s="150">
        <f>Input!T368</f>
        <v>0</v>
      </c>
      <c r="U23" s="150">
        <f>Input!U368</f>
        <v>0</v>
      </c>
      <c r="V23" s="150">
        <f>Input!V368</f>
        <v>0</v>
      </c>
      <c r="W23" s="150">
        <f>Input!W368</f>
        <v>0</v>
      </c>
      <c r="X23" s="150">
        <f>Input!X368</f>
        <v>0</v>
      </c>
      <c r="Y23" s="150">
        <f>Input!Y368</f>
        <v>0</v>
      </c>
      <c r="Z23" s="150">
        <f>Input!Z368</f>
        <v>0</v>
      </c>
      <c r="AA23" s="150">
        <f>Input!AA368</f>
        <v>0</v>
      </c>
      <c r="AB23" s="150">
        <f>Input!AB368</f>
        <v>0</v>
      </c>
      <c r="AC23" s="150">
        <f>Input!AC368</f>
        <v>0</v>
      </c>
      <c r="AD23" s="150">
        <f>Input!AD368</f>
        <v>0</v>
      </c>
      <c r="AE23" s="150">
        <f>Input!AE368</f>
        <v>0</v>
      </c>
      <c r="AF23" s="150">
        <f>Input!AF368</f>
        <v>0</v>
      </c>
      <c r="AG23" s="150">
        <f>Input!AG368</f>
        <v>0</v>
      </c>
      <c r="AH23" s="150">
        <f>Input!AH368</f>
        <v>0</v>
      </c>
      <c r="AI23" s="150">
        <f>Input!AI368</f>
        <v>0</v>
      </c>
      <c r="AJ23" s="220"/>
      <c r="AK23" s="155"/>
      <c r="AL23" s="155"/>
      <c r="AM23" s="155"/>
      <c r="AN23" s="155"/>
      <c r="AO23" s="155"/>
      <c r="AP23" s="155"/>
      <c r="AQ23" s="155"/>
    </row>
    <row r="24" spans="2:43" s="149" customFormat="1" ht="15" customHeight="1">
      <c r="B24" s="145"/>
      <c r="D24" s="145"/>
      <c r="E24" s="145"/>
      <c r="F24" s="145"/>
      <c r="G24" s="156"/>
      <c r="H24" s="145"/>
      <c r="I24" s="145"/>
      <c r="J24" s="151"/>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AJ24" s="155"/>
      <c r="AK24" s="155"/>
      <c r="AL24" s="155"/>
      <c r="AM24" s="155"/>
      <c r="AN24" s="155"/>
      <c r="AO24" s="155"/>
      <c r="AP24" s="155"/>
      <c r="AQ24" s="155"/>
    </row>
    <row r="25" spans="2:43" s="149" customFormat="1" ht="15" customHeight="1">
      <c r="B25" s="145"/>
      <c r="C25" s="17" t="s">
        <v>145</v>
      </c>
      <c r="D25" s="17"/>
      <c r="E25" s="17"/>
      <c r="F25" s="17"/>
      <c r="G25" s="17"/>
      <c r="H25" s="17"/>
      <c r="I25" s="292"/>
      <c r="J25" s="303"/>
      <c r="K25" s="292"/>
      <c r="L25" s="292"/>
      <c r="M25" s="292"/>
      <c r="N25" s="292"/>
      <c r="O25" s="292"/>
      <c r="P25" s="292"/>
      <c r="Q25" s="292"/>
      <c r="R25" s="292"/>
      <c r="S25" s="292"/>
      <c r="T25" s="292"/>
      <c r="U25" s="292"/>
      <c r="V25" s="292"/>
      <c r="W25" s="292"/>
      <c r="X25" s="292"/>
      <c r="Y25" s="292"/>
      <c r="Z25" s="292"/>
      <c r="AA25" s="292"/>
      <c r="AB25" s="292"/>
      <c r="AC25" s="292"/>
      <c r="AD25" s="292"/>
      <c r="AE25" s="292"/>
      <c r="AF25" s="292"/>
      <c r="AG25" s="292"/>
      <c r="AH25" s="292"/>
      <c r="AI25" s="292"/>
      <c r="AJ25" s="292"/>
      <c r="AK25" s="292"/>
      <c r="AL25" s="292"/>
      <c r="AM25" s="292"/>
      <c r="AN25" s="292"/>
      <c r="AO25" s="292"/>
      <c r="AP25" s="292"/>
      <c r="AQ25" s="292"/>
    </row>
    <row r="26" spans="2:43" s="149" customFormat="1" ht="15" customHeight="1">
      <c r="B26" s="145"/>
      <c r="C26" s="164" t="s">
        <v>392</v>
      </c>
      <c r="D26" s="164"/>
      <c r="E26" s="164"/>
      <c r="F26" s="164"/>
      <c r="G26" s="164"/>
      <c r="H26" s="164"/>
      <c r="I26" s="192"/>
      <c r="J26" s="192"/>
      <c r="K26" s="192"/>
      <c r="L26" s="192"/>
      <c r="M26" s="192"/>
      <c r="N26" s="192"/>
      <c r="O26" s="192"/>
      <c r="P26" s="192"/>
      <c r="Q26" s="192"/>
      <c r="R26" s="192"/>
      <c r="S26" s="192"/>
      <c r="T26" s="192"/>
      <c r="U26" s="192"/>
      <c r="V26" s="192"/>
      <c r="W26" s="192"/>
      <c r="X26" s="192"/>
      <c r="Y26" s="192"/>
      <c r="Z26" s="192"/>
      <c r="AA26" s="192"/>
      <c r="AB26" s="192"/>
      <c r="AC26" s="192"/>
      <c r="AD26" s="192"/>
      <c r="AE26" s="192"/>
      <c r="AF26" s="192"/>
      <c r="AG26" s="192"/>
      <c r="AH26" s="192"/>
      <c r="AI26" s="192"/>
      <c r="AJ26" s="192"/>
      <c r="AK26" s="192"/>
      <c r="AL26" s="192"/>
      <c r="AM26" s="192"/>
      <c r="AN26" s="192"/>
      <c r="AO26" s="192"/>
      <c r="AP26" s="192"/>
      <c r="AQ26" s="192"/>
    </row>
    <row r="27" spans="2:43" s="149" customFormat="1" ht="15" customHeight="1">
      <c r="B27" s="145"/>
      <c r="D27" s="145"/>
      <c r="E27" s="145"/>
      <c r="F27" s="145"/>
      <c r="G27" s="145"/>
      <c r="H27" s="145"/>
      <c r="I27" s="145"/>
      <c r="J27" s="31"/>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55"/>
      <c r="AK27" s="155"/>
      <c r="AL27" s="155"/>
      <c r="AM27" s="155"/>
      <c r="AN27" s="155"/>
      <c r="AO27" s="155"/>
      <c r="AP27" s="155"/>
      <c r="AQ27" s="155"/>
    </row>
    <row r="28" spans="2:43" ht="15" customHeight="1">
      <c r="E28" s="145" t="s">
        <v>536</v>
      </c>
      <c r="F28" s="145"/>
      <c r="G28" s="156" t="s">
        <v>236</v>
      </c>
      <c r="I28" s="267">
        <f>Input!I362</f>
        <v>33328</v>
      </c>
      <c r="J28" s="151"/>
      <c r="K28" s="151"/>
      <c r="L28" s="151"/>
      <c r="M28" s="151"/>
      <c r="N28" s="151"/>
      <c r="O28" s="151"/>
      <c r="P28" s="151"/>
      <c r="Q28" s="151"/>
      <c r="R28" s="151"/>
      <c r="S28" s="151"/>
      <c r="T28" s="151"/>
      <c r="U28" s="151"/>
      <c r="V28" s="151"/>
      <c r="W28" s="151"/>
      <c r="X28" s="151"/>
      <c r="Y28" s="151"/>
      <c r="Z28" s="151"/>
      <c r="AA28" s="147"/>
      <c r="AB28" s="147"/>
      <c r="AC28" s="147"/>
      <c r="AD28" s="147"/>
      <c r="AE28" s="147"/>
      <c r="AF28" s="147"/>
      <c r="AG28" s="147"/>
      <c r="AH28" s="147"/>
      <c r="AI28" s="147"/>
      <c r="AJ28" s="147"/>
      <c r="AK28" s="147"/>
      <c r="AL28" s="147"/>
      <c r="AM28" s="147"/>
      <c r="AN28" s="147"/>
      <c r="AO28" s="147"/>
      <c r="AP28" s="147"/>
      <c r="AQ28" s="147"/>
    </row>
    <row r="29" spans="2:43" s="149" customFormat="1" ht="15" customHeight="1">
      <c r="E29" s="13" t="s">
        <v>4</v>
      </c>
      <c r="G29" s="149" t="s">
        <v>49</v>
      </c>
      <c r="I29" s="304">
        <f>Input!I351</f>
        <v>15</v>
      </c>
      <c r="J29" s="31"/>
      <c r="K29" s="31"/>
      <c r="L29" s="31"/>
      <c r="M29" s="31"/>
      <c r="N29" s="31"/>
      <c r="O29" s="31"/>
      <c r="P29" s="31"/>
      <c r="Q29" s="31"/>
      <c r="R29" s="31"/>
      <c r="S29" s="31"/>
      <c r="T29" s="31"/>
      <c r="U29" s="31"/>
      <c r="V29" s="31"/>
      <c r="W29" s="31"/>
      <c r="X29" s="31"/>
      <c r="Y29" s="31"/>
      <c r="Z29" s="31"/>
      <c r="AA29" s="145"/>
      <c r="AB29" s="145"/>
      <c r="AC29" s="145"/>
      <c r="AD29" s="145"/>
      <c r="AE29" s="145"/>
      <c r="AF29" s="145"/>
      <c r="AG29" s="145"/>
      <c r="AH29" s="145"/>
      <c r="AI29" s="145"/>
      <c r="AJ29" s="145"/>
      <c r="AK29" s="145"/>
      <c r="AL29" s="145"/>
      <c r="AM29" s="145"/>
      <c r="AN29" s="145"/>
      <c r="AO29" s="145"/>
      <c r="AP29" s="145"/>
      <c r="AQ29" s="145"/>
    </row>
    <row r="30" spans="2:43" s="149" customFormat="1" ht="15" customHeight="1">
      <c r="B30" s="145"/>
      <c r="D30" s="145"/>
      <c r="E30" s="145" t="s">
        <v>550</v>
      </c>
      <c r="F30" s="145"/>
      <c r="G30" s="156" t="s">
        <v>551</v>
      </c>
      <c r="H30" s="145"/>
      <c r="I30" s="150">
        <f>Input!I352</f>
        <v>3.5</v>
      </c>
      <c r="J30" s="31"/>
      <c r="K30" s="155"/>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55"/>
      <c r="AJ30" s="41"/>
      <c r="AK30" s="41"/>
      <c r="AL30" s="41"/>
      <c r="AM30" s="41"/>
      <c r="AN30" s="41"/>
      <c r="AO30" s="41"/>
      <c r="AP30" s="41"/>
      <c r="AQ30" s="41"/>
    </row>
    <row r="31" spans="2:43" s="149" customFormat="1" ht="15" customHeight="1">
      <c r="B31" s="145"/>
      <c r="D31" s="145"/>
      <c r="E31" s="154"/>
      <c r="F31" s="154"/>
      <c r="G31" s="154"/>
      <c r="H31" s="154"/>
      <c r="I31" s="155"/>
      <c r="J31" s="33"/>
      <c r="K31" s="155"/>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row>
    <row r="32" spans="2:43" s="149" customFormat="1" ht="15" customHeight="1">
      <c r="C32" s="17" t="s">
        <v>535</v>
      </c>
      <c r="D32" s="17"/>
      <c r="E32" s="17"/>
      <c r="F32" s="17"/>
      <c r="G32" s="17"/>
      <c r="H32" s="17"/>
      <c r="I32" s="292"/>
      <c r="J32" s="303"/>
      <c r="K32" s="292"/>
      <c r="L32" s="292"/>
      <c r="M32" s="292"/>
      <c r="N32" s="292"/>
      <c r="O32" s="292"/>
      <c r="P32" s="292"/>
      <c r="Q32" s="292"/>
      <c r="R32" s="292"/>
      <c r="S32" s="292"/>
      <c r="T32" s="292"/>
      <c r="U32" s="292"/>
      <c r="V32" s="292"/>
      <c r="W32" s="292"/>
      <c r="X32" s="292"/>
      <c r="Y32" s="292"/>
      <c r="Z32" s="292"/>
      <c r="AA32" s="292"/>
      <c r="AB32" s="292"/>
      <c r="AC32" s="292"/>
      <c r="AD32" s="292"/>
      <c r="AE32" s="292"/>
      <c r="AF32" s="292"/>
      <c r="AG32" s="292"/>
      <c r="AH32" s="292"/>
      <c r="AI32" s="292"/>
      <c r="AJ32" s="292"/>
      <c r="AK32" s="292"/>
      <c r="AL32" s="292"/>
      <c r="AM32" s="292"/>
      <c r="AN32" s="292"/>
      <c r="AO32" s="292"/>
      <c r="AP32" s="292"/>
      <c r="AQ32" s="292"/>
    </row>
    <row r="33" spans="2:47" s="149" customFormat="1" ht="15" customHeight="1">
      <c r="B33" s="145"/>
      <c r="C33" s="164" t="s">
        <v>534</v>
      </c>
      <c r="D33" s="164"/>
      <c r="E33" s="164"/>
      <c r="F33" s="164"/>
      <c r="G33" s="164"/>
      <c r="H33" s="164"/>
      <c r="I33" s="192"/>
      <c r="J33" s="192"/>
      <c r="K33" s="192"/>
      <c r="L33" s="192"/>
      <c r="M33" s="192"/>
      <c r="N33" s="192"/>
      <c r="O33" s="192"/>
      <c r="P33" s="192"/>
      <c r="Q33" s="192"/>
      <c r="R33" s="192"/>
      <c r="S33" s="192"/>
      <c r="T33" s="192"/>
      <c r="U33" s="192"/>
      <c r="V33" s="192"/>
      <c r="W33" s="192"/>
      <c r="X33" s="192"/>
      <c r="Y33" s="192"/>
      <c r="Z33" s="192"/>
      <c r="AA33" s="192"/>
      <c r="AB33" s="192"/>
      <c r="AC33" s="192"/>
      <c r="AD33" s="192"/>
      <c r="AE33" s="192"/>
      <c r="AF33" s="192"/>
      <c r="AG33" s="192"/>
      <c r="AH33" s="192"/>
      <c r="AI33" s="192"/>
      <c r="AJ33" s="192"/>
      <c r="AK33" s="192"/>
      <c r="AL33" s="192"/>
      <c r="AM33" s="192"/>
      <c r="AN33" s="192"/>
      <c r="AO33" s="192"/>
      <c r="AP33" s="192"/>
      <c r="AQ33" s="192"/>
    </row>
    <row r="34" spans="2:47" s="149" customFormat="1" ht="15" customHeight="1">
      <c r="B34" s="145"/>
      <c r="D34" s="145"/>
      <c r="E34" s="145"/>
      <c r="F34" s="145"/>
      <c r="G34" s="145"/>
      <c r="H34" s="145"/>
      <c r="I34" s="145"/>
      <c r="J34" s="31"/>
      <c r="K34" s="145"/>
      <c r="L34" s="145"/>
      <c r="M34" s="145"/>
      <c r="N34" s="145"/>
      <c r="O34" s="145"/>
      <c r="P34" s="145"/>
      <c r="Q34" s="145"/>
      <c r="R34" s="145"/>
      <c r="S34" s="145"/>
      <c r="T34" s="145"/>
      <c r="U34" s="145"/>
      <c r="V34" s="145"/>
      <c r="W34" s="145"/>
      <c r="X34" s="145"/>
      <c r="Y34" s="145"/>
      <c r="Z34" s="145"/>
      <c r="AA34" s="145"/>
      <c r="AB34" s="145"/>
      <c r="AC34" s="145"/>
      <c r="AD34" s="145"/>
      <c r="AE34" s="145"/>
      <c r="AF34" s="145"/>
      <c r="AG34" s="145"/>
      <c r="AH34" s="145"/>
      <c r="AI34" s="145"/>
      <c r="AJ34" s="145"/>
      <c r="AK34" s="145"/>
      <c r="AL34" s="145"/>
      <c r="AM34" s="145"/>
      <c r="AN34" s="145"/>
      <c r="AO34" s="145"/>
      <c r="AP34" s="145"/>
      <c r="AQ34" s="145"/>
    </row>
    <row r="35" spans="2:47" s="149" customFormat="1" ht="15" customHeight="1">
      <c r="D35" s="36" t="s">
        <v>117</v>
      </c>
      <c r="E35" s="36"/>
      <c r="F35" s="36"/>
      <c r="G35" s="36"/>
      <c r="H35" s="36"/>
      <c r="I35" s="196"/>
      <c r="J35" s="305"/>
      <c r="K35" s="196"/>
      <c r="L35" s="196"/>
      <c r="M35" s="196"/>
      <c r="N35" s="196"/>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196"/>
      <c r="AN35" s="196"/>
      <c r="AO35" s="196"/>
      <c r="AP35" s="196"/>
      <c r="AQ35" s="196"/>
    </row>
    <row r="36" spans="2:47" s="149" customFormat="1" ht="15" customHeight="1">
      <c r="B36" s="145"/>
      <c r="D36" s="145"/>
      <c r="E36" s="145"/>
      <c r="F36" s="145"/>
      <c r="G36" s="145"/>
      <c r="H36" s="145"/>
      <c r="I36" s="145"/>
      <c r="J36" s="31"/>
      <c r="K36" s="145"/>
      <c r="L36" s="145"/>
      <c r="M36" s="145"/>
      <c r="N36" s="145"/>
      <c r="O36" s="145"/>
      <c r="P36" s="145"/>
      <c r="Q36" s="145"/>
      <c r="R36" s="145"/>
      <c r="S36" s="145"/>
      <c r="T36" s="145"/>
      <c r="U36" s="145"/>
      <c r="V36" s="145"/>
      <c r="W36" s="145"/>
      <c r="X36" s="145"/>
      <c r="Y36" s="145"/>
      <c r="Z36" s="145"/>
      <c r="AA36" s="145"/>
      <c r="AB36" s="145"/>
      <c r="AC36" s="145"/>
      <c r="AD36" s="145"/>
      <c r="AE36" s="145"/>
      <c r="AF36" s="145"/>
      <c r="AG36" s="145"/>
      <c r="AH36" s="145"/>
      <c r="AI36" s="145"/>
      <c r="AJ36" s="145"/>
      <c r="AK36" s="145"/>
      <c r="AL36" s="145"/>
      <c r="AM36" s="145"/>
      <c r="AN36" s="145"/>
      <c r="AO36" s="145"/>
      <c r="AP36" s="145"/>
      <c r="AQ36" s="145"/>
    </row>
    <row r="37" spans="2:47" s="149" customFormat="1" ht="15" customHeight="1">
      <c r="E37" s="145" t="s">
        <v>14</v>
      </c>
      <c r="F37" s="145"/>
      <c r="G37" s="145" t="s">
        <v>49</v>
      </c>
      <c r="H37" s="145"/>
      <c r="I37" s="145"/>
      <c r="J37" s="31" t="s">
        <v>54</v>
      </c>
      <c r="K37" s="155">
        <f>Input!K360</f>
        <v>20</v>
      </c>
      <c r="L37" s="155">
        <f>Input!L360</f>
        <v>20</v>
      </c>
      <c r="M37" s="155">
        <f>Input!M360</f>
        <v>20</v>
      </c>
      <c r="N37" s="155">
        <f>Input!N360</f>
        <v>20</v>
      </c>
      <c r="O37" s="155">
        <f>Input!O360</f>
        <v>20</v>
      </c>
      <c r="P37" s="155">
        <f>Input!P360</f>
        <v>20</v>
      </c>
      <c r="Q37" s="155">
        <f>Input!Q360</f>
        <v>20</v>
      </c>
      <c r="R37" s="155">
        <f>Input!R360</f>
        <v>20</v>
      </c>
      <c r="S37" s="155">
        <f>Input!S360</f>
        <v>20</v>
      </c>
      <c r="T37" s="155">
        <f>Input!T360</f>
        <v>20</v>
      </c>
      <c r="U37" s="155">
        <f>Input!U360</f>
        <v>20</v>
      </c>
      <c r="V37" s="155">
        <f>Input!V360</f>
        <v>20</v>
      </c>
      <c r="W37" s="155">
        <f>Input!W360</f>
        <v>20</v>
      </c>
      <c r="X37" s="155">
        <f>Input!X360</f>
        <v>20</v>
      </c>
      <c r="Y37" s="155">
        <f>Input!Y360</f>
        <v>20</v>
      </c>
      <c r="Z37" s="155">
        <f>Input!Z360</f>
        <v>20</v>
      </c>
      <c r="AA37" s="155">
        <f>Input!AA360</f>
        <v>20</v>
      </c>
      <c r="AB37" s="155">
        <f>Input!AB360</f>
        <v>20</v>
      </c>
      <c r="AC37" s="155">
        <f>Input!AC360</f>
        <v>20</v>
      </c>
      <c r="AD37" s="155">
        <f>Input!AD360</f>
        <v>20</v>
      </c>
      <c r="AE37" s="155">
        <f>Input!AE360</f>
        <v>20</v>
      </c>
      <c r="AF37" s="155">
        <f>Input!AF360</f>
        <v>20</v>
      </c>
      <c r="AG37" s="155">
        <f>Input!AG360</f>
        <v>20</v>
      </c>
      <c r="AH37" s="155">
        <f>Input!AH360</f>
        <v>20</v>
      </c>
      <c r="AI37" s="155">
        <f>Input!AI360</f>
        <v>20</v>
      </c>
      <c r="AJ37" s="155">
        <f>Input!AJ360</f>
        <v>23.125</v>
      </c>
      <c r="AK37" s="155">
        <f>Input!AK360</f>
        <v>26.25</v>
      </c>
      <c r="AL37" s="155">
        <f>Input!AL360</f>
        <v>29.375</v>
      </c>
      <c r="AM37" s="155">
        <f>Input!AM360</f>
        <v>32.5</v>
      </c>
      <c r="AN37" s="155">
        <f>Input!AN360</f>
        <v>35.625</v>
      </c>
      <c r="AO37" s="155">
        <f>Input!AO360</f>
        <v>38.75</v>
      </c>
      <c r="AP37" s="155">
        <f>Input!AP360</f>
        <v>41.875</v>
      </c>
      <c r="AQ37" s="155">
        <f>Input!AQ360</f>
        <v>45</v>
      </c>
    </row>
    <row r="38" spans="2:47" s="149" customFormat="1" ht="15" customHeight="1">
      <c r="E38" s="145" t="s">
        <v>533</v>
      </c>
      <c r="F38" s="145"/>
      <c r="G38" s="145" t="s">
        <v>59</v>
      </c>
      <c r="H38" s="145"/>
      <c r="I38" s="145"/>
      <c r="J38" s="31" t="s">
        <v>54</v>
      </c>
      <c r="K38" s="107"/>
      <c r="L38" s="145" t="b">
        <f t="shared" ref="L38:X38" si="1">YEAR(L$7) &gt;= YEAR($I$28) + IF($I$30=12,$I$29,$I$29+1)</f>
        <v>0</v>
      </c>
      <c r="M38" s="145" t="b">
        <f t="shared" si="1"/>
        <v>0</v>
      </c>
      <c r="N38" s="145" t="b">
        <f t="shared" si="1"/>
        <v>0</v>
      </c>
      <c r="O38" s="145" t="b">
        <f t="shared" si="1"/>
        <v>0</v>
      </c>
      <c r="P38" s="145" t="b">
        <f t="shared" si="1"/>
        <v>0</v>
      </c>
      <c r="Q38" s="145" t="b">
        <f t="shared" si="1"/>
        <v>0</v>
      </c>
      <c r="R38" s="145" t="b">
        <f t="shared" si="1"/>
        <v>0</v>
      </c>
      <c r="S38" s="145" t="b">
        <f t="shared" si="1"/>
        <v>0</v>
      </c>
      <c r="T38" s="145" t="b">
        <f t="shared" si="1"/>
        <v>0</v>
      </c>
      <c r="U38" s="145" t="b">
        <f t="shared" si="1"/>
        <v>0</v>
      </c>
      <c r="V38" s="145" t="b">
        <f t="shared" si="1"/>
        <v>0</v>
      </c>
      <c r="W38" s="145" t="b">
        <f t="shared" si="1"/>
        <v>0</v>
      </c>
      <c r="X38" s="145" t="b">
        <f t="shared" si="1"/>
        <v>0</v>
      </c>
      <c r="Y38" s="145" t="b">
        <f>YEAR(Y$7) &gt;= YEAR($I$28) + IF($I$30=12,$I$29,$I$29+1)</f>
        <v>0</v>
      </c>
      <c r="Z38" s="145" t="b">
        <f>YEAR(Z$7) &gt;= YEAR($I$28) + IF($I$30=12,$I$29,$I$29+1)</f>
        <v>0</v>
      </c>
      <c r="AA38" s="145" t="b">
        <f>YEAR(AA$7) &gt;= YEAR($I$28) + IF($I$30=12,$I$29,$I$29+1)</f>
        <v>1</v>
      </c>
      <c r="AB38" s="145" t="b">
        <f t="shared" ref="AB38:AQ38" si="2">YEAR(AB$7) &gt;= YEAR($I$28) + IF($I$30=12,$I$29,$I$29+1)</f>
        <v>1</v>
      </c>
      <c r="AC38" s="145" t="b">
        <f t="shared" si="2"/>
        <v>1</v>
      </c>
      <c r="AD38" s="145" t="b">
        <f t="shared" si="2"/>
        <v>1</v>
      </c>
      <c r="AE38" s="145" t="b">
        <f t="shared" si="2"/>
        <v>1</v>
      </c>
      <c r="AF38" s="145" t="b">
        <f t="shared" si="2"/>
        <v>1</v>
      </c>
      <c r="AG38" s="145" t="b">
        <f t="shared" si="2"/>
        <v>1</v>
      </c>
      <c r="AH38" s="145" t="b">
        <f t="shared" si="2"/>
        <v>1</v>
      </c>
      <c r="AI38" s="145" t="b">
        <f t="shared" si="2"/>
        <v>1</v>
      </c>
      <c r="AJ38" s="145" t="b">
        <f t="shared" si="2"/>
        <v>1</v>
      </c>
      <c r="AK38" s="145" t="b">
        <f t="shared" si="2"/>
        <v>1</v>
      </c>
      <c r="AL38" s="145" t="b">
        <f t="shared" si="2"/>
        <v>1</v>
      </c>
      <c r="AM38" s="145" t="b">
        <f t="shared" si="2"/>
        <v>1</v>
      </c>
      <c r="AN38" s="145" t="b">
        <f t="shared" si="2"/>
        <v>1</v>
      </c>
      <c r="AO38" s="145" t="b">
        <f t="shared" si="2"/>
        <v>1</v>
      </c>
      <c r="AP38" s="145" t="b">
        <f t="shared" si="2"/>
        <v>1</v>
      </c>
      <c r="AQ38" s="145" t="b">
        <f t="shared" si="2"/>
        <v>1</v>
      </c>
    </row>
    <row r="39" spans="2:47" ht="15" customHeight="1">
      <c r="D39" s="147"/>
      <c r="E39" s="147"/>
      <c r="F39" s="147"/>
      <c r="G39" s="145"/>
      <c r="H39" s="145"/>
      <c r="I39" s="145"/>
      <c r="J39" s="31"/>
      <c r="K39" s="145"/>
      <c r="L39" s="145"/>
      <c r="M39" s="145"/>
      <c r="N39" s="145"/>
      <c r="O39" s="145"/>
      <c r="P39" s="145"/>
      <c r="Q39" s="145"/>
      <c r="R39" s="145"/>
      <c r="S39" s="145"/>
      <c r="T39" s="145"/>
      <c r="U39" s="145"/>
      <c r="V39" s="145"/>
      <c r="W39" s="145"/>
      <c r="X39" s="145"/>
      <c r="Y39" s="145"/>
      <c r="Z39" s="145"/>
      <c r="AA39" s="145"/>
      <c r="AB39" s="145"/>
      <c r="AC39" s="145"/>
      <c r="AD39" s="145"/>
      <c r="AE39" s="145"/>
      <c r="AF39" s="145"/>
      <c r="AG39" s="145"/>
      <c r="AH39" s="145"/>
      <c r="AI39" s="145"/>
      <c r="AJ39" s="145"/>
      <c r="AK39" s="145"/>
      <c r="AL39" s="145"/>
      <c r="AM39" s="145"/>
      <c r="AN39" s="145"/>
      <c r="AO39" s="145"/>
      <c r="AP39" s="145"/>
      <c r="AQ39" s="145"/>
    </row>
    <row r="40" spans="2:47" ht="15" customHeight="1">
      <c r="D40" s="36" t="s">
        <v>115</v>
      </c>
      <c r="E40" s="36"/>
      <c r="F40" s="36"/>
      <c r="G40" s="36"/>
      <c r="H40" s="36"/>
      <c r="I40" s="196"/>
      <c r="J40" s="305"/>
      <c r="K40" s="196"/>
      <c r="L40" s="196"/>
      <c r="M40" s="196"/>
      <c r="N40" s="196"/>
      <c r="O40" s="196"/>
      <c r="P40" s="196"/>
      <c r="Q40" s="196"/>
      <c r="R40" s="196"/>
      <c r="S40" s="196"/>
      <c r="T40" s="196"/>
      <c r="U40" s="196"/>
      <c r="V40" s="196"/>
      <c r="W40" s="196"/>
      <c r="X40" s="196"/>
      <c r="Y40" s="196"/>
      <c r="Z40" s="196"/>
      <c r="AA40" s="196"/>
      <c r="AB40" s="196"/>
      <c r="AC40" s="196"/>
      <c r="AD40" s="196"/>
      <c r="AE40" s="196"/>
      <c r="AF40" s="196"/>
      <c r="AG40" s="196"/>
      <c r="AH40" s="196"/>
      <c r="AI40" s="196"/>
      <c r="AJ40" s="196"/>
      <c r="AK40" s="196"/>
      <c r="AL40" s="196"/>
      <c r="AM40" s="196"/>
      <c r="AN40" s="196"/>
      <c r="AO40" s="196"/>
      <c r="AP40" s="196"/>
      <c r="AQ40" s="196"/>
    </row>
    <row r="41" spans="2:47" ht="15" customHeight="1">
      <c r="D41" s="147"/>
      <c r="E41" s="147"/>
      <c r="I41" s="147"/>
      <c r="J41" s="151"/>
      <c r="K41" s="145"/>
      <c r="L41" s="145"/>
      <c r="M41" s="145"/>
      <c r="N41" s="145"/>
      <c r="O41" s="145"/>
      <c r="P41" s="145"/>
      <c r="Q41" s="145"/>
      <c r="R41" s="145"/>
      <c r="S41" s="145"/>
      <c r="T41" s="145"/>
      <c r="U41" s="145"/>
      <c r="V41" s="145"/>
      <c r="W41" s="145"/>
      <c r="X41" s="145"/>
      <c r="Y41" s="145"/>
      <c r="Z41" s="145"/>
      <c r="AA41" s="145"/>
      <c r="AB41" s="145"/>
      <c r="AC41" s="145"/>
      <c r="AD41" s="145"/>
      <c r="AE41" s="145"/>
      <c r="AF41" s="145"/>
      <c r="AG41" s="145"/>
      <c r="AH41" s="145"/>
      <c r="AI41" s="145"/>
      <c r="AJ41" s="145"/>
      <c r="AK41" s="145"/>
      <c r="AL41" s="145"/>
      <c r="AM41" s="145"/>
      <c r="AN41" s="145"/>
      <c r="AO41" s="145"/>
      <c r="AP41" s="145"/>
      <c r="AQ41" s="145"/>
    </row>
    <row r="42" spans="2:47" ht="15" customHeight="1">
      <c r="D42" s="147"/>
      <c r="E42" s="106" t="s">
        <v>532</v>
      </c>
      <c r="I42" s="106" t="s">
        <v>26</v>
      </c>
      <c r="J42" s="151"/>
      <c r="K42" s="145"/>
      <c r="L42" s="145"/>
      <c r="M42" s="145"/>
      <c r="N42" s="145"/>
      <c r="O42" s="145"/>
      <c r="P42" s="145"/>
      <c r="Q42" s="145"/>
      <c r="R42" s="145"/>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row>
    <row r="43" spans="2:47" ht="15" customHeight="1">
      <c r="D43" s="147"/>
      <c r="E43" s="180">
        <v>33328</v>
      </c>
      <c r="G43" s="156" t="s">
        <v>657</v>
      </c>
      <c r="H43" s="149"/>
      <c r="I43" s="269">
        <f>I88</f>
        <v>38.825481450385681</v>
      </c>
      <c r="J43" s="31" t="s">
        <v>54</v>
      </c>
      <c r="K43" s="147"/>
      <c r="L43" s="107">
        <f>$I43/$K$37</f>
        <v>1.9412740725192841</v>
      </c>
      <c r="M43" s="145">
        <f>IF($I43 &gt;0, MIN(L43,$I43-SUM($L43:L43)), MAX(L43,$I43-SUM($L43:L43)))</f>
        <v>1.9412740725192841</v>
      </c>
      <c r="N43" s="145">
        <f>IF($I43 &gt;0, MIN(M43,$I43-SUM($L43:M43)), MAX(M43,$I43-SUM($L43:M43)))</f>
        <v>1.9412740725192841</v>
      </c>
      <c r="O43" s="145">
        <f>IF($I43 &gt;0, MIN(N43,$I43-SUM($L43:N43)), MAX(N43,$I43-SUM($L43:N43)))</f>
        <v>1.9412740725192841</v>
      </c>
      <c r="P43" s="145">
        <f>IF($I43 &gt;0, MIN(O43,$I43-SUM($L43:O43)), MAX(O43,$I43-SUM($L43:O43)))</f>
        <v>1.9412740725192841</v>
      </c>
      <c r="Q43" s="145">
        <f>IF($I43 &gt;0, MIN(P43,$I43-SUM($L43:P43)), MAX(P43,$I43-SUM($L43:P43)))</f>
        <v>1.9412740725192841</v>
      </c>
      <c r="R43" s="145">
        <f>IF($I43 &gt;0, MIN(Q43,$I43-SUM($L43:Q43)), MAX(Q43,$I43-SUM($L43:Q43)))</f>
        <v>1.9412740725192841</v>
      </c>
      <c r="S43" s="145">
        <f>IF($I43 &gt;0, MIN(R43,$I43-SUM($L43:R43)), MAX(R43,$I43-SUM($L43:R43)))</f>
        <v>1.9412740725192841</v>
      </c>
      <c r="T43" s="145">
        <f>IF($I43 &gt;0, MIN(S43,$I43-SUM($L43:S43)), MAX(S43,$I43-SUM($L43:S43)))</f>
        <v>1.9412740725192841</v>
      </c>
      <c r="U43" s="145">
        <f>IF($I43 &gt;0, MIN(T43,$I43-SUM($L43:T43)), MAX(T43,$I43-SUM($L43:T43)))</f>
        <v>1.9412740725192841</v>
      </c>
      <c r="V43" s="145">
        <f>IF($I43 &gt;0, MIN(U43,$I43-SUM($L43:U43)), MAX(U43,$I43-SUM($L43:U43)))</f>
        <v>1.9412740725192841</v>
      </c>
      <c r="W43" s="145">
        <f>IF($I43 &gt;0, MIN(V43,$I43-SUM($L43:V43)), MAX(V43,$I43-SUM($L43:V43)))</f>
        <v>1.9412740725192841</v>
      </c>
      <c r="X43" s="145">
        <f>IF($I43 &gt;0, MIN(W43,$I43-SUM($L43:W43)), MAX(W43,$I43-SUM($L43:W43)))</f>
        <v>1.9412740725192841</v>
      </c>
      <c r="Y43" s="145">
        <f>IF($I43 &gt;0, MIN(X43,$I43-SUM($L43:X43)), MAX(X43,$I43-SUM($L43:X43)))</f>
        <v>1.9412740725192841</v>
      </c>
      <c r="Z43" s="269">
        <f>IF($I43 &gt;0, MIN(Y43,$I43-SUM($L43:Y43)), MAX(Y43,$I43-SUM($L43:Y43)))</f>
        <v>1.9412740725192841</v>
      </c>
      <c r="AA43" s="269">
        <f>IF($I43 &gt;0, MIN(Z43,$I43-SUM($L43:Z43)), MAX(Z43,$I43-SUM($L43:Z43)))</f>
        <v>1.9412740725192841</v>
      </c>
      <c r="AB43" s="269">
        <f>IF($I43 &gt;0, MIN(AA43,$I43-SUM($L43:AA43)), MAX(AA43,$I43-SUM($L43:AA43)))</f>
        <v>1.9412740725192841</v>
      </c>
      <c r="AC43" s="269">
        <f>IF($I43 &gt;0, MIN(AB43,$I43-SUM($L43:AB43)), MAX(AB43,$I43-SUM($L43:AB43)))</f>
        <v>1.9412740725192841</v>
      </c>
      <c r="AD43" s="269">
        <f>IF($I43 &gt;0, MIN(AC43,$I43-SUM($L43:AC43)), MAX(AC43,$I43-SUM($L43:AC43)))</f>
        <v>1.9412740725192841</v>
      </c>
      <c r="AE43" s="269">
        <f>IF($I43 &gt;0, MIN(AD43,$I43-SUM($L43:AD43)), MAX(AD43,$I43-SUM($L43:AD43)))</f>
        <v>1.9412740725192776</v>
      </c>
      <c r="AF43" s="269">
        <f>IF($I43 &gt;0, MIN(AE43,$I43-SUM($L43:AE43)), MAX(AE43,$I43-SUM($L43:AE43)))</f>
        <v>0</v>
      </c>
      <c r="AG43" s="145">
        <f>IF($I43 &gt;0, MIN(AF43,$I43-SUM($L43:AF43)), MAX(AF43,$I43-SUM($L43:AF43)))</f>
        <v>0</v>
      </c>
      <c r="AH43" s="145">
        <f>IF($I43 &gt;0, MIN(AG43,$I43-SUM($L43:AG43)), MAX(AG43,$I43-SUM($L43:AG43)))</f>
        <v>0</v>
      </c>
      <c r="AI43" s="145">
        <f>IF($I43 &gt;0, MIN(AH43,$I43-SUM($L43:AH43)), MAX(AH43,$I43-SUM($L43:AH43)))</f>
        <v>0</v>
      </c>
      <c r="AJ43" s="145">
        <f>IF($I43 &gt;0, MIN(AI43,$I43-SUM($L43:AI43)), MAX(AI43,$I43-SUM($L43:AI43)))</f>
        <v>0</v>
      </c>
      <c r="AK43" s="145">
        <f>IF($I43 &gt;0, MIN(AJ43,$I43-SUM($L43:AJ43)), MAX(AJ43,$I43-SUM($L43:AJ43)))</f>
        <v>0</v>
      </c>
      <c r="AL43" s="145">
        <f>IF($I43 &gt;0, MIN(AK43,$I43-SUM($L43:AK43)), MAX(AK43,$I43-SUM($L43:AK43)))</f>
        <v>0</v>
      </c>
      <c r="AM43" s="145">
        <f>IF($I43 &gt;0, MIN(AL43,$I43-SUM($L43:AL43)), MAX(AL43,$I43-SUM($L43:AL43)))</f>
        <v>0</v>
      </c>
      <c r="AN43" s="145">
        <f>IF($I43 &gt;0, MIN(AM43,$I43-SUM($L43:AM43)), MAX(AM43,$I43-SUM($L43:AM43)))</f>
        <v>0</v>
      </c>
      <c r="AO43" s="145">
        <f>IF($I43 &gt;0, MIN(AN43,$I43-SUM($L43:AN43)), MAX(AN43,$I43-SUM($L43:AN43)))</f>
        <v>0</v>
      </c>
      <c r="AP43" s="145">
        <f>IF($I43 &gt;0, MIN(AO43,$I43-SUM($L43:AO43)), MAX(AO43,$I43-SUM($L43:AO43)))</f>
        <v>0</v>
      </c>
      <c r="AQ43" s="145">
        <f>IF($I43 &gt;0, MIN(AP43,$I43-SUM($L43:AP43)), MAX(AP43,$I43-SUM($L43:AP43)))</f>
        <v>0</v>
      </c>
    </row>
    <row r="44" spans="2:47" ht="15" customHeight="1">
      <c r="D44" s="147"/>
      <c r="E44" s="180">
        <v>33694</v>
      </c>
      <c r="G44" s="156" t="s">
        <v>657</v>
      </c>
      <c r="H44" s="149"/>
      <c r="I44" s="145">
        <f t="shared" ref="I44:I75" si="3">I89</f>
        <v>140.66533557223065</v>
      </c>
      <c r="J44" s="31" t="s">
        <v>54</v>
      </c>
      <c r="K44" s="147"/>
      <c r="L44" s="147"/>
      <c r="M44" s="107">
        <f>$I44/L$37</f>
        <v>7.0332667786115319</v>
      </c>
      <c r="N44" s="145">
        <f>IF($I44 &gt;0, MIN(M44,$I44-SUM($L44:M44)), MAX(M44,$I44-SUM($L44:M44)))</f>
        <v>7.0332667786115319</v>
      </c>
      <c r="O44" s="145">
        <f>IF($I44 &gt;0, MIN(N44,$I44-SUM($L44:N44)), MAX(N44,$I44-SUM($L44:N44)))</f>
        <v>7.0332667786115319</v>
      </c>
      <c r="P44" s="145">
        <f>IF($I44 &gt;0, MIN(O44,$I44-SUM($L44:O44)), MAX(O44,$I44-SUM($L44:O44)))</f>
        <v>7.0332667786115319</v>
      </c>
      <c r="Q44" s="145">
        <f>IF($I44 &gt;0, MIN(P44,$I44-SUM($L44:P44)), MAX(P44,$I44-SUM($L44:P44)))</f>
        <v>7.0332667786115319</v>
      </c>
      <c r="R44" s="145">
        <f>IF($I44 &gt;0, MIN(Q44,$I44-SUM($L44:Q44)), MAX(Q44,$I44-SUM($L44:Q44)))</f>
        <v>7.0332667786115319</v>
      </c>
      <c r="S44" s="145">
        <f>IF($I44 &gt;0, MIN(R44,$I44-SUM($L44:R44)), MAX(R44,$I44-SUM($L44:R44)))</f>
        <v>7.0332667786115319</v>
      </c>
      <c r="T44" s="145">
        <f>IF($I44 &gt;0, MIN(S44,$I44-SUM($L44:S44)), MAX(S44,$I44-SUM($L44:S44)))</f>
        <v>7.0332667786115319</v>
      </c>
      <c r="U44" s="145">
        <f>IF($I44 &gt;0, MIN(T44,$I44-SUM($L44:T44)), MAX(T44,$I44-SUM($L44:T44)))</f>
        <v>7.0332667786115319</v>
      </c>
      <c r="V44" s="145">
        <f>IF($I44 &gt;0, MIN(U44,$I44-SUM($L44:U44)), MAX(U44,$I44-SUM($L44:U44)))</f>
        <v>7.0332667786115319</v>
      </c>
      <c r="W44" s="145">
        <f>IF($I44 &gt;0, MIN(V44,$I44-SUM($L44:V44)), MAX(V44,$I44-SUM($L44:V44)))</f>
        <v>7.0332667786115319</v>
      </c>
      <c r="X44" s="145">
        <f>IF($I44 &gt;0, MIN(W44,$I44-SUM($L44:W44)), MAX(W44,$I44-SUM($L44:W44)))</f>
        <v>7.0332667786115319</v>
      </c>
      <c r="Y44" s="145">
        <f>IF($I44 &gt;0, MIN(X44,$I44-SUM($L44:X44)), MAX(X44,$I44-SUM($L44:X44)))</f>
        <v>7.0332667786115319</v>
      </c>
      <c r="Z44" s="269">
        <f>IF($I44 &gt;0, MIN(Y44,$I44-SUM($L44:Y44)), MAX(Y44,$I44-SUM($L44:Y44)))</f>
        <v>7.0332667786115319</v>
      </c>
      <c r="AA44" s="145">
        <f>IF($I44 &gt;0, MIN(Z44,$I44-SUM($L44:Z44)), MAX(Z44,$I44-SUM($L44:Z44)))</f>
        <v>7.0332667786115319</v>
      </c>
      <c r="AB44" s="145">
        <f>IF($I44 &gt;0, MIN(AA44,$I44-SUM($L44:AA44)), MAX(AA44,$I44-SUM($L44:AA44)))</f>
        <v>7.0332667786115319</v>
      </c>
      <c r="AC44" s="145">
        <f>IF($I44 &gt;0, MIN(AB44,$I44-SUM($L44:AB44)), MAX(AB44,$I44-SUM($L44:AB44)))</f>
        <v>7.0332667786115319</v>
      </c>
      <c r="AD44" s="145">
        <f>IF($I44 &gt;0, MIN(AC44,$I44-SUM($L44:AC44)), MAX(AC44,$I44-SUM($L44:AC44)))</f>
        <v>7.0332667786115319</v>
      </c>
      <c r="AE44" s="145">
        <f>IF($I44 &gt;0, MIN(AD44,$I44-SUM($L44:AD44)), MAX(AD44,$I44-SUM($L44:AD44)))</f>
        <v>7.0332667786115319</v>
      </c>
      <c r="AF44" s="145">
        <f>IF($I44 &gt;0, MIN(AE44,$I44-SUM($L44:AE44)), MAX(AE44,$I44-SUM($L44:AE44)))</f>
        <v>7.0332667786115319</v>
      </c>
      <c r="AG44" s="145">
        <f>IF($I44 &gt;0, MIN(AF44,$I44-SUM($L44:AF44)), MAX(AF44,$I44-SUM($L44:AF44)))</f>
        <v>0</v>
      </c>
      <c r="AH44" s="145">
        <f>IF($I44 &gt;0, MIN(AG44,$I44-SUM($L44:AG44)), MAX(AG44,$I44-SUM($L44:AG44)))</f>
        <v>0</v>
      </c>
      <c r="AI44" s="145">
        <f>IF($I44 &gt;0, MIN(AH44,$I44-SUM($L44:AH44)), MAX(AH44,$I44-SUM($L44:AH44)))</f>
        <v>0</v>
      </c>
      <c r="AJ44" s="145">
        <f>IF($I44 &gt;0, MIN(AI44,$I44-SUM($L44:AI44)), MAX(AI44,$I44-SUM($L44:AI44)))</f>
        <v>0</v>
      </c>
      <c r="AK44" s="145">
        <f>IF($I44 &gt;0, MIN(AJ44,$I44-SUM($L44:AJ44)), MAX(AJ44,$I44-SUM($L44:AJ44)))</f>
        <v>0</v>
      </c>
      <c r="AL44" s="145">
        <f>IF($I44 &gt;0, MIN(AK44,$I44-SUM($L44:AK44)), MAX(AK44,$I44-SUM($L44:AK44)))</f>
        <v>0</v>
      </c>
      <c r="AM44" s="145">
        <f>IF($I44 &gt;0, MIN(AL44,$I44-SUM($L44:AL44)), MAX(AL44,$I44-SUM($L44:AL44)))</f>
        <v>0</v>
      </c>
      <c r="AN44" s="145">
        <f>IF($I44 &gt;0, MIN(AM44,$I44-SUM($L44:AM44)), MAX(AM44,$I44-SUM($L44:AM44)))</f>
        <v>0</v>
      </c>
      <c r="AO44" s="145">
        <f>IF($I44 &gt;0, MIN(AN44,$I44-SUM($L44:AN44)), MAX(AN44,$I44-SUM($L44:AN44)))</f>
        <v>0</v>
      </c>
      <c r="AP44" s="145">
        <f>IF($I44 &gt;0, MIN(AO44,$I44-SUM($L44:AO44)), MAX(AO44,$I44-SUM($L44:AO44)))</f>
        <v>0</v>
      </c>
      <c r="AQ44" s="145">
        <f>IF($I44 &gt;0, MIN(AP44,$I44-SUM($L44:AP44)), MAX(AP44,$I44-SUM($L44:AP44)))</f>
        <v>0</v>
      </c>
    </row>
    <row r="45" spans="2:47" ht="15" customHeight="1">
      <c r="D45" s="147"/>
      <c r="E45" s="180">
        <v>34059</v>
      </c>
      <c r="G45" s="156" t="s">
        <v>657</v>
      </c>
      <c r="H45" s="149"/>
      <c r="I45" s="145">
        <f t="shared" si="3"/>
        <v>164.7001574224694</v>
      </c>
      <c r="J45" s="31" t="s">
        <v>54</v>
      </c>
      <c r="K45" s="147"/>
      <c r="L45" s="145"/>
      <c r="M45" s="147"/>
      <c r="N45" s="107">
        <f>$I45/M$37</f>
        <v>8.2350078711234698</v>
      </c>
      <c r="O45" s="145">
        <f>IF($I45 &gt;0, MIN(N45,$I45-SUM($L45:N45)), MAX(N45,$I45-SUM($L45:N45)))</f>
        <v>8.2350078711234698</v>
      </c>
      <c r="P45" s="145">
        <f>IF($I45 &gt;0, MIN(O45,$I45-SUM($L45:O45)), MAX(O45,$I45-SUM($L45:O45)))</f>
        <v>8.2350078711234698</v>
      </c>
      <c r="Q45" s="145">
        <f>IF($I45 &gt;0, MIN(P45,$I45-SUM($L45:P45)), MAX(P45,$I45-SUM($L45:P45)))</f>
        <v>8.2350078711234698</v>
      </c>
      <c r="R45" s="145">
        <f>IF($I45 &gt;0, MIN(Q45,$I45-SUM($L45:Q45)), MAX(Q45,$I45-SUM($L45:Q45)))</f>
        <v>8.2350078711234698</v>
      </c>
      <c r="S45" s="145">
        <f>IF($I45 &gt;0, MIN(R45,$I45-SUM($L45:R45)), MAX(R45,$I45-SUM($L45:R45)))</f>
        <v>8.2350078711234698</v>
      </c>
      <c r="T45" s="145">
        <f>IF($I45 &gt;0, MIN(S45,$I45-SUM($L45:S45)), MAX(S45,$I45-SUM($L45:S45)))</f>
        <v>8.2350078711234698</v>
      </c>
      <c r="U45" s="145">
        <f>IF($I45 &gt;0, MIN(T45,$I45-SUM($L45:T45)), MAX(T45,$I45-SUM($L45:T45)))</f>
        <v>8.2350078711234698</v>
      </c>
      <c r="V45" s="145">
        <f>IF($I45 &gt;0, MIN(U45,$I45-SUM($L45:U45)), MAX(U45,$I45-SUM($L45:U45)))</f>
        <v>8.2350078711234698</v>
      </c>
      <c r="W45" s="145">
        <f>IF($I45 &gt;0, MIN(V45,$I45-SUM($L45:V45)), MAX(V45,$I45-SUM($L45:V45)))</f>
        <v>8.2350078711234698</v>
      </c>
      <c r="X45" s="145">
        <f>IF($I45 &gt;0, MIN(W45,$I45-SUM($L45:W45)), MAX(W45,$I45-SUM($L45:W45)))</f>
        <v>8.2350078711234698</v>
      </c>
      <c r="Y45" s="145">
        <f>IF($I45 &gt;0, MIN(X45,$I45-SUM($L45:X45)), MAX(X45,$I45-SUM($L45:X45)))</f>
        <v>8.2350078711234698</v>
      </c>
      <c r="Z45" s="145">
        <f>IF($I45 &gt;0, MIN(Y45,$I45-SUM($L45:Y45)), MAX(Y45,$I45-SUM($L45:Y45)))</f>
        <v>8.2350078711234698</v>
      </c>
      <c r="AA45" s="145">
        <f>IF($I45 &gt;0, MIN(Z45,$I45-SUM($L45:Z45)), MAX(Z45,$I45-SUM($L45:Z45)))</f>
        <v>8.2350078711234698</v>
      </c>
      <c r="AB45" s="145">
        <f>IF($I45 &gt;0, MIN(AA45,$I45-SUM($L45:AA45)), MAX(AA45,$I45-SUM($L45:AA45)))</f>
        <v>8.2350078711234698</v>
      </c>
      <c r="AC45" s="145">
        <f>IF($I45 &gt;0, MIN(AB45,$I45-SUM($L45:AB45)), MAX(AB45,$I45-SUM($L45:AB45)))</f>
        <v>8.2350078711234698</v>
      </c>
      <c r="AD45" s="145">
        <f>IF($I45 &gt;0, MIN(AC45,$I45-SUM($L45:AC45)), MAX(AC45,$I45-SUM($L45:AC45)))</f>
        <v>8.2350078711234698</v>
      </c>
      <c r="AE45" s="145">
        <f>IF($I45 &gt;0, MIN(AD45,$I45-SUM($L45:AD45)), MAX(AD45,$I45-SUM($L45:AD45)))</f>
        <v>8.2350078711234698</v>
      </c>
      <c r="AF45" s="145">
        <f>IF($I45 &gt;0, MIN(AE45,$I45-SUM($L45:AE45)), MAX(AE45,$I45-SUM($L45:AE45)))</f>
        <v>8.2350078711234698</v>
      </c>
      <c r="AG45" s="145">
        <f>IF($I45 &gt;0, MIN(AF45,$I45-SUM($L45:AF45)), MAX(AF45,$I45-SUM($L45:AF45)))</f>
        <v>8.2350078711234698</v>
      </c>
      <c r="AH45" s="145">
        <f>IF($I45 &gt;0, MIN(AG45,$I45-SUM($L45:AG45)), MAX(AG45,$I45-SUM($L45:AG45)))</f>
        <v>5.6843418860808015E-14</v>
      </c>
      <c r="AI45" s="145">
        <f>IF($I45 &gt;0, MIN(AH45,$I45-SUM($L45:AH45)), MAX(AH45,$I45-SUM($L45:AH45)))</f>
        <v>0</v>
      </c>
      <c r="AJ45" s="145">
        <f>IF($I45 &gt;0, MIN(AI45,$I45-SUM($L45:AI45)), MAX(AI45,$I45-SUM($L45:AI45)))</f>
        <v>0</v>
      </c>
      <c r="AK45" s="145">
        <f>IF($I45 &gt;0, MIN(AJ45,$I45-SUM($L45:AJ45)), MAX(AJ45,$I45-SUM($L45:AJ45)))</f>
        <v>0</v>
      </c>
      <c r="AL45" s="145">
        <f>IF($I45 &gt;0, MIN(AK45,$I45-SUM($L45:AK45)), MAX(AK45,$I45-SUM($L45:AK45)))</f>
        <v>0</v>
      </c>
      <c r="AM45" s="145">
        <f>IF($I45 &gt;0, MIN(AL45,$I45-SUM($L45:AL45)), MAX(AL45,$I45-SUM($L45:AL45)))</f>
        <v>0</v>
      </c>
      <c r="AN45" s="145">
        <f>IF($I45 &gt;0, MIN(AM45,$I45-SUM($L45:AM45)), MAX(AM45,$I45-SUM($L45:AM45)))</f>
        <v>0</v>
      </c>
      <c r="AO45" s="145">
        <f>IF($I45 &gt;0, MIN(AN45,$I45-SUM($L45:AN45)), MAX(AN45,$I45-SUM($L45:AN45)))</f>
        <v>0</v>
      </c>
      <c r="AP45" s="145">
        <f>IF($I45 &gt;0, MIN(AO45,$I45-SUM($L45:AO45)), MAX(AO45,$I45-SUM($L45:AO45)))</f>
        <v>0</v>
      </c>
      <c r="AQ45" s="145">
        <f>IF($I45 &gt;0, MIN(AP45,$I45-SUM($L45:AP45)), MAX(AP45,$I45-SUM($L45:AP45)))</f>
        <v>0</v>
      </c>
      <c r="AR45" s="145">
        <f>IF($I45 &gt;0, MIN(AQ45,$I45-SUM($L45:AQ45)), MAX(AQ45,$I45-SUM($L45:AQ45)))</f>
        <v>0</v>
      </c>
    </row>
    <row r="46" spans="2:47" ht="15" customHeight="1">
      <c r="D46" s="147"/>
      <c r="E46" s="180">
        <v>34424</v>
      </c>
      <c r="G46" s="156" t="s">
        <v>657</v>
      </c>
      <c r="H46" s="149"/>
      <c r="I46" s="145">
        <f t="shared" si="3"/>
        <v>196.13030907278159</v>
      </c>
      <c r="J46" s="31" t="s">
        <v>54</v>
      </c>
      <c r="K46" s="147"/>
      <c r="L46" s="145"/>
      <c r="M46" s="145"/>
      <c r="N46" s="145"/>
      <c r="O46" s="107">
        <f>$I46/N$37</f>
        <v>9.8065154536390793</v>
      </c>
      <c r="P46" s="145">
        <f>IF($I46 &gt;0, MIN(O46,$I46-SUM($L46:O46)), MAX(O46,$I46-SUM($L46:O46)))</f>
        <v>9.8065154536390793</v>
      </c>
      <c r="Q46" s="145">
        <f>IF($I46 &gt;0, MIN(P46,$I46-SUM($L46:P46)), MAX(P46,$I46-SUM($L46:P46)))</f>
        <v>9.8065154536390793</v>
      </c>
      <c r="R46" s="145">
        <f>IF($I46 &gt;0, MIN(Q46,$I46-SUM($L46:Q46)), MAX(Q46,$I46-SUM($L46:Q46)))</f>
        <v>9.8065154536390793</v>
      </c>
      <c r="S46" s="145">
        <f>IF($I46 &gt;0, MIN(R46,$I46-SUM($L46:R46)), MAX(R46,$I46-SUM($L46:R46)))</f>
        <v>9.8065154536390793</v>
      </c>
      <c r="T46" s="145">
        <f>IF($I46 &gt;0, MIN(S46,$I46-SUM($L46:S46)), MAX(S46,$I46-SUM($L46:S46)))</f>
        <v>9.8065154536390793</v>
      </c>
      <c r="U46" s="145">
        <f>IF($I46 &gt;0, MIN(T46,$I46-SUM($L46:T46)), MAX(T46,$I46-SUM($L46:T46)))</f>
        <v>9.8065154536390793</v>
      </c>
      <c r="V46" s="145">
        <f>IF($I46 &gt;0, MIN(U46,$I46-SUM($L46:U46)), MAX(U46,$I46-SUM($L46:U46)))</f>
        <v>9.8065154536390793</v>
      </c>
      <c r="W46" s="145">
        <f>IF($I46 &gt;0, MIN(V46,$I46-SUM($L46:V46)), MAX(V46,$I46-SUM($L46:V46)))</f>
        <v>9.8065154536390793</v>
      </c>
      <c r="X46" s="145">
        <f>IF($I46 &gt;0, MIN(W46,$I46-SUM($L46:W46)), MAX(W46,$I46-SUM($L46:W46)))</f>
        <v>9.8065154536390793</v>
      </c>
      <c r="Y46" s="145">
        <f>IF($I46 &gt;0, MIN(X46,$I46-SUM($L46:X46)), MAX(X46,$I46-SUM($L46:X46)))</f>
        <v>9.8065154536390793</v>
      </c>
      <c r="Z46" s="145">
        <f>IF($I46 &gt;0, MIN(Y46,$I46-SUM($L46:Y46)), MAX(Y46,$I46-SUM($L46:Y46)))</f>
        <v>9.8065154536390793</v>
      </c>
      <c r="AA46" s="145">
        <f>IF($I46 &gt;0, MIN(Z46,$I46-SUM($L46:Z46)), MAX(Z46,$I46-SUM($L46:Z46)))</f>
        <v>9.8065154536390793</v>
      </c>
      <c r="AB46" s="145">
        <f>IF($I46 &gt;0, MIN(AA46,$I46-SUM($L46:AA46)), MAX(AA46,$I46-SUM($L46:AA46)))</f>
        <v>9.8065154536390793</v>
      </c>
      <c r="AC46" s="145">
        <f>IF($I46 &gt;0, MIN(AB46,$I46-SUM($L46:AB46)), MAX(AB46,$I46-SUM($L46:AB46)))</f>
        <v>9.8065154536390793</v>
      </c>
      <c r="AD46" s="145">
        <f>IF($I46 &gt;0, MIN(AC46,$I46-SUM($L46:AC46)), MAX(AC46,$I46-SUM($L46:AC46)))</f>
        <v>9.8065154536390793</v>
      </c>
      <c r="AE46" s="145">
        <f>IF($I46 &gt;0, MIN(AD46,$I46-SUM($L46:AD46)), MAX(AD46,$I46-SUM($L46:AD46)))</f>
        <v>9.8065154536390793</v>
      </c>
      <c r="AF46" s="145">
        <f>IF($I46 &gt;0, MIN(AE46,$I46-SUM($L46:AE46)), MAX(AE46,$I46-SUM($L46:AE46)))</f>
        <v>9.8065154536390793</v>
      </c>
      <c r="AG46" s="145">
        <f>IF($I46 &gt;0, MIN(AF46,$I46-SUM($L46:AF46)), MAX(AF46,$I46-SUM($L46:AF46)))</f>
        <v>9.8065154536390793</v>
      </c>
      <c r="AH46" s="145">
        <f>IF($I46 &gt;0, MIN(AG46,$I46-SUM($L46:AG46)), MAX(AG46,$I46-SUM($L46:AG46)))</f>
        <v>9.8065154536390793</v>
      </c>
      <c r="AI46" s="145">
        <f>IF($I46 &gt;0, MIN(AH46,$I46-SUM($L46:AH46)), MAX(AH46,$I46-SUM($L46:AH46)))</f>
        <v>5.6843418860808015E-14</v>
      </c>
      <c r="AJ46" s="145">
        <f>IF($I46 &gt;0, MIN(AI46,$I46-SUM($L46:AI46)), MAX(AI46,$I46-SUM($L46:AI46)))</f>
        <v>0</v>
      </c>
      <c r="AK46" s="145">
        <f>IF($I46 &gt;0, MIN(AJ46,$I46-SUM($L46:AJ46)), MAX(AJ46,$I46-SUM($L46:AJ46)))</f>
        <v>0</v>
      </c>
      <c r="AL46" s="145">
        <f>IF($I46 &gt;0, MIN(AK46,$I46-SUM($L46:AK46)), MAX(AK46,$I46-SUM($L46:AK46)))</f>
        <v>0</v>
      </c>
      <c r="AM46" s="145">
        <f>IF($I46 &gt;0, MIN(AL46,$I46-SUM($L46:AL46)), MAX(AL46,$I46-SUM($L46:AL46)))</f>
        <v>0</v>
      </c>
      <c r="AN46" s="145">
        <f>IF($I46 &gt;0, MIN(AM46,$I46-SUM($L46:AM46)), MAX(AM46,$I46-SUM($L46:AM46)))</f>
        <v>0</v>
      </c>
      <c r="AO46" s="145">
        <f>IF($I46 &gt;0, MIN(AN46,$I46-SUM($L46:AN46)), MAX(AN46,$I46-SUM($L46:AN46)))</f>
        <v>0</v>
      </c>
      <c r="AP46" s="145">
        <f>IF($I46 &gt;0, MIN(AO46,$I46-SUM($L46:AO46)), MAX(AO46,$I46-SUM($L46:AO46)))</f>
        <v>0</v>
      </c>
      <c r="AQ46" s="145">
        <f>IF($I46 &gt;0, MIN(AP46,$I46-SUM($L46:AP46)), MAX(AP46,$I46-SUM($L46:AP46)))</f>
        <v>0</v>
      </c>
      <c r="AR46" s="145">
        <f>IF($I46 &gt;0, MIN(AQ46,$I46-SUM($L46:AQ46)), MAX(AQ46,$I46-SUM($L46:AQ46)))</f>
        <v>0</v>
      </c>
      <c r="AS46" s="145"/>
    </row>
    <row r="47" spans="2:47" ht="15" customHeight="1">
      <c r="D47" s="147"/>
      <c r="E47" s="180">
        <v>34789</v>
      </c>
      <c r="G47" s="156" t="s">
        <v>657</v>
      </c>
      <c r="H47" s="149"/>
      <c r="I47" s="145">
        <f t="shared" si="3"/>
        <v>190.89195046439625</v>
      </c>
      <c r="J47" s="31" t="s">
        <v>54</v>
      </c>
      <c r="K47" s="147"/>
      <c r="L47" s="145"/>
      <c r="M47" s="145"/>
      <c r="N47" s="145"/>
      <c r="O47" s="145"/>
      <c r="P47" s="107">
        <f>$I47/O$37</f>
        <v>9.5445975232198119</v>
      </c>
      <c r="Q47" s="145">
        <f>IF($I47 &gt;0, MIN(P47,$I47-SUM($L47:P47)), MAX(P47,$I47-SUM($L47:P47)))</f>
        <v>9.5445975232198119</v>
      </c>
      <c r="R47" s="145">
        <f>IF($I47 &gt;0, MIN(Q47,$I47-SUM($L47:Q47)), MAX(Q47,$I47-SUM($L47:Q47)))</f>
        <v>9.5445975232198119</v>
      </c>
      <c r="S47" s="145">
        <f>IF($I47 &gt;0, MIN(R47,$I47-SUM($L47:R47)), MAX(R47,$I47-SUM($L47:R47)))</f>
        <v>9.5445975232198119</v>
      </c>
      <c r="T47" s="145">
        <f>IF($I47 &gt;0, MIN(S47,$I47-SUM($L47:S47)), MAX(S47,$I47-SUM($L47:S47)))</f>
        <v>9.5445975232198119</v>
      </c>
      <c r="U47" s="145">
        <f>IF($I47 &gt;0, MIN(T47,$I47-SUM($L47:T47)), MAX(T47,$I47-SUM($L47:T47)))</f>
        <v>9.5445975232198119</v>
      </c>
      <c r="V47" s="145">
        <f>IF($I47 &gt;0, MIN(U47,$I47-SUM($L47:U47)), MAX(U47,$I47-SUM($L47:U47)))</f>
        <v>9.5445975232198119</v>
      </c>
      <c r="W47" s="145">
        <f>IF($I47 &gt;0, MIN(V47,$I47-SUM($L47:V47)), MAX(V47,$I47-SUM($L47:V47)))</f>
        <v>9.5445975232198119</v>
      </c>
      <c r="X47" s="145">
        <f>IF($I47 &gt;0, MIN(W47,$I47-SUM($L47:W47)), MAX(W47,$I47-SUM($L47:W47)))</f>
        <v>9.5445975232198119</v>
      </c>
      <c r="Y47" s="145">
        <f>IF($I47 &gt;0, MIN(X47,$I47-SUM($L47:X47)), MAX(X47,$I47-SUM($L47:X47)))</f>
        <v>9.5445975232198119</v>
      </c>
      <c r="Z47" s="145">
        <f>IF($I47 &gt;0, MIN(Y47,$I47-SUM($L47:Y47)), MAX(Y47,$I47-SUM($L47:Y47)))</f>
        <v>9.5445975232198119</v>
      </c>
      <c r="AA47" s="145">
        <f>IF($I47 &gt;0, MIN(Z47,$I47-SUM($L47:Z47)), MAX(Z47,$I47-SUM($L47:Z47)))</f>
        <v>9.5445975232198119</v>
      </c>
      <c r="AB47" s="145">
        <f>IF($I47 &gt;0, MIN(AA47,$I47-SUM($L47:AA47)), MAX(AA47,$I47-SUM($L47:AA47)))</f>
        <v>9.5445975232198119</v>
      </c>
      <c r="AC47" s="145">
        <f>IF($I47 &gt;0, MIN(AB47,$I47-SUM($L47:AB47)), MAX(AB47,$I47-SUM($L47:AB47)))</f>
        <v>9.5445975232198119</v>
      </c>
      <c r="AD47" s="145">
        <f>IF($I47 &gt;0, MIN(AC47,$I47-SUM($L47:AC47)), MAX(AC47,$I47-SUM($L47:AC47)))</f>
        <v>9.5445975232198119</v>
      </c>
      <c r="AE47" s="145">
        <f>IF($I47 &gt;0, MIN(AD47,$I47-SUM($L47:AD47)), MAX(AD47,$I47-SUM($L47:AD47)))</f>
        <v>9.5445975232198119</v>
      </c>
      <c r="AF47" s="145">
        <f>IF($I47 &gt;0, MIN(AE47,$I47-SUM($L47:AE47)), MAX(AE47,$I47-SUM($L47:AE47)))</f>
        <v>9.5445975232198119</v>
      </c>
      <c r="AG47" s="145">
        <f>IF($I47 &gt;0, MIN(AF47,$I47-SUM($L47:AF47)), MAX(AF47,$I47-SUM($L47:AF47)))</f>
        <v>9.5445975232198119</v>
      </c>
      <c r="AH47" s="145">
        <f>IF($I47 &gt;0, MIN(AG47,$I47-SUM($L47:AG47)), MAX(AG47,$I47-SUM($L47:AG47)))</f>
        <v>9.5445975232198119</v>
      </c>
      <c r="AI47" s="145">
        <f>IF($I47 &gt;0, MIN(AH47,$I47-SUM($L47:AH47)), MAX(AH47,$I47-SUM($L47:AH47)))</f>
        <v>9.5445975232198119</v>
      </c>
      <c r="AJ47" s="145">
        <f>IF($I47 &gt;0, MIN(AI47,$I47-SUM($L47:AI47)), MAX(AI47,$I47-SUM($L47:AI47)))</f>
        <v>5.6843418860808015E-14</v>
      </c>
      <c r="AK47" s="145">
        <f>IF($I47 &gt;0, MIN(AJ47,$I47-SUM($L47:AJ47)), MAX(AJ47,$I47-SUM($L47:AJ47)))</f>
        <v>0</v>
      </c>
      <c r="AL47" s="145">
        <f>IF($I47 &gt;0, MIN(AK47,$I47-SUM($L47:AK47)), MAX(AK47,$I47-SUM($L47:AK47)))</f>
        <v>0</v>
      </c>
      <c r="AM47" s="145">
        <f>IF($I47 &gt;0, MIN(AL47,$I47-SUM($L47:AL47)), MAX(AL47,$I47-SUM($L47:AL47)))</f>
        <v>0</v>
      </c>
      <c r="AN47" s="145">
        <f>IF($I47 &gt;0, MIN(AM47,$I47-SUM($L47:AM47)), MAX(AM47,$I47-SUM($L47:AM47)))</f>
        <v>0</v>
      </c>
      <c r="AO47" s="145">
        <f>IF($I47 &gt;0, MIN(AN47,$I47-SUM($L47:AN47)), MAX(AN47,$I47-SUM($L47:AN47)))</f>
        <v>0</v>
      </c>
      <c r="AP47" s="145">
        <f>IF($I47 &gt;0, MIN(AO47,$I47-SUM($L47:AO47)), MAX(AO47,$I47-SUM($L47:AO47)))</f>
        <v>0</v>
      </c>
      <c r="AQ47" s="145">
        <f>IF($I47 &gt;0, MIN(AP47,$I47-SUM($L47:AP47)), MAX(AP47,$I47-SUM($L47:AP47)))</f>
        <v>0</v>
      </c>
      <c r="AR47" s="145">
        <f>IF($I47 &gt;0, MIN(AQ47,$I47-SUM($L47:AQ47)), MAX(AQ47,$I47-SUM($L47:AQ47)))</f>
        <v>0</v>
      </c>
      <c r="AS47" s="145"/>
      <c r="AT47" s="145"/>
    </row>
    <row r="48" spans="2:47" ht="15" customHeight="1">
      <c r="D48" s="147"/>
      <c r="E48" s="180">
        <v>35155</v>
      </c>
      <c r="G48" s="156" t="s">
        <v>657</v>
      </c>
      <c r="H48" s="149"/>
      <c r="I48" s="145">
        <f t="shared" si="3"/>
        <v>198.59541900613948</v>
      </c>
      <c r="J48" s="31" t="s">
        <v>54</v>
      </c>
      <c r="K48" s="147"/>
      <c r="L48" s="145"/>
      <c r="M48" s="145"/>
      <c r="N48" s="145"/>
      <c r="O48" s="145"/>
      <c r="P48" s="145"/>
      <c r="Q48" s="107">
        <f>$I48/P$37</f>
        <v>9.929770950306974</v>
      </c>
      <c r="R48" s="145">
        <f>IF($I48 &gt;0, MIN(Q48,$I48-SUM($L48:Q48)), MAX(Q48,$I48-SUM($L48:Q48)))</f>
        <v>9.929770950306974</v>
      </c>
      <c r="S48" s="145">
        <f>IF($I48 &gt;0, MIN(R48,$I48-SUM($L48:R48)), MAX(R48,$I48-SUM($L48:R48)))</f>
        <v>9.929770950306974</v>
      </c>
      <c r="T48" s="145">
        <f>IF($I48 &gt;0, MIN(S48,$I48-SUM($L48:S48)), MAX(S48,$I48-SUM($L48:S48)))</f>
        <v>9.929770950306974</v>
      </c>
      <c r="U48" s="145">
        <f>IF($I48 &gt;0, MIN(T48,$I48-SUM($L48:T48)), MAX(T48,$I48-SUM($L48:T48)))</f>
        <v>9.929770950306974</v>
      </c>
      <c r="V48" s="145">
        <f>IF($I48 &gt;0, MIN(U48,$I48-SUM($L48:U48)), MAX(U48,$I48-SUM($L48:U48)))</f>
        <v>9.929770950306974</v>
      </c>
      <c r="W48" s="145">
        <f>IF($I48 &gt;0, MIN(V48,$I48-SUM($L48:V48)), MAX(V48,$I48-SUM($L48:V48)))</f>
        <v>9.929770950306974</v>
      </c>
      <c r="X48" s="145">
        <f>IF($I48 &gt;0, MIN(W48,$I48-SUM($L48:W48)), MAX(W48,$I48-SUM($L48:W48)))</f>
        <v>9.929770950306974</v>
      </c>
      <c r="Y48" s="145">
        <f>IF($I48 &gt;0, MIN(X48,$I48-SUM($L48:X48)), MAX(X48,$I48-SUM($L48:X48)))</f>
        <v>9.929770950306974</v>
      </c>
      <c r="Z48" s="145">
        <f>IF($I48 &gt;0, MIN(Y48,$I48-SUM($L48:Y48)), MAX(Y48,$I48-SUM($L48:Y48)))</f>
        <v>9.929770950306974</v>
      </c>
      <c r="AA48" s="145">
        <f>IF($I48 &gt;0, MIN(Z48,$I48-SUM($L48:Z48)), MAX(Z48,$I48-SUM($L48:Z48)))</f>
        <v>9.929770950306974</v>
      </c>
      <c r="AB48" s="145">
        <f>IF($I48 &gt;0, MIN(AA48,$I48-SUM($L48:AA48)), MAX(AA48,$I48-SUM($L48:AA48)))</f>
        <v>9.929770950306974</v>
      </c>
      <c r="AC48" s="145">
        <f>IF($I48 &gt;0, MIN(AB48,$I48-SUM($L48:AB48)), MAX(AB48,$I48-SUM($L48:AB48)))</f>
        <v>9.929770950306974</v>
      </c>
      <c r="AD48" s="145">
        <f>IF($I48 &gt;0, MIN(AC48,$I48-SUM($L48:AC48)), MAX(AC48,$I48-SUM($L48:AC48)))</f>
        <v>9.929770950306974</v>
      </c>
      <c r="AE48" s="145">
        <f>IF($I48 &gt;0, MIN(AD48,$I48-SUM($L48:AD48)), MAX(AD48,$I48-SUM($L48:AD48)))</f>
        <v>9.929770950306974</v>
      </c>
      <c r="AF48" s="145">
        <f>IF($I48 &gt;0, MIN(AE48,$I48-SUM($L48:AE48)), MAX(AE48,$I48-SUM($L48:AE48)))</f>
        <v>9.929770950306974</v>
      </c>
      <c r="AG48" s="145">
        <f>IF($I48 &gt;0, MIN(AF48,$I48-SUM($L48:AF48)), MAX(AF48,$I48-SUM($L48:AF48)))</f>
        <v>9.929770950306974</v>
      </c>
      <c r="AH48" s="145">
        <f>IF($I48 &gt;0, MIN(AG48,$I48-SUM($L48:AG48)), MAX(AG48,$I48-SUM($L48:AG48)))</f>
        <v>9.929770950306974</v>
      </c>
      <c r="AI48" s="145">
        <f>IF($I48 &gt;0, MIN(AH48,$I48-SUM($L48:AH48)), MAX(AH48,$I48-SUM($L48:AH48)))</f>
        <v>9.929770950306974</v>
      </c>
      <c r="AJ48" s="145">
        <f>IF($I48 &gt;0, MIN(AI48,$I48-SUM($L48:AI48)), MAX(AI48,$I48-SUM($L48:AI48)))</f>
        <v>9.9297709503068745</v>
      </c>
      <c r="AK48" s="145">
        <f>IF($I48 &gt;0, MIN(AJ48,$I48-SUM($L48:AJ48)), MAX(AJ48,$I48-SUM($L48:AJ48)))</f>
        <v>0</v>
      </c>
      <c r="AL48" s="145">
        <f>IF($I48 &gt;0, MIN(AK48,$I48-SUM($L48:AK48)), MAX(AK48,$I48-SUM($L48:AK48)))</f>
        <v>0</v>
      </c>
      <c r="AM48" s="145">
        <f>IF($I48 &gt;0, MIN(AL48,$I48-SUM($L48:AL48)), MAX(AL48,$I48-SUM($L48:AL48)))</f>
        <v>0</v>
      </c>
      <c r="AN48" s="145">
        <f>IF($I48 &gt;0, MIN(AM48,$I48-SUM($L48:AM48)), MAX(AM48,$I48-SUM($L48:AM48)))</f>
        <v>0</v>
      </c>
      <c r="AO48" s="145">
        <f>IF($I48 &gt;0, MIN(AN48,$I48-SUM($L48:AN48)), MAX(AN48,$I48-SUM($L48:AN48)))</f>
        <v>0</v>
      </c>
      <c r="AP48" s="145">
        <f>IF($I48 &gt;0, MIN(AO48,$I48-SUM($L48:AO48)), MAX(AO48,$I48-SUM($L48:AO48)))</f>
        <v>0</v>
      </c>
      <c r="AQ48" s="145">
        <f>IF($I48 &gt;0, MIN(AP48,$I48-SUM($L48:AP48)), MAX(AP48,$I48-SUM($L48:AP48)))</f>
        <v>0</v>
      </c>
      <c r="AR48" s="145">
        <f>IF($I48 &gt;0, MIN(AQ48,$I48-SUM($L48:AQ48)), MAX(AQ48,$I48-SUM($L48:AQ48)))</f>
        <v>0</v>
      </c>
      <c r="AS48" s="145"/>
      <c r="AT48" s="145"/>
      <c r="AU48" s="145"/>
    </row>
    <row r="49" spans="4:63" ht="15" customHeight="1">
      <c r="D49" s="147"/>
      <c r="E49" s="180">
        <v>35520</v>
      </c>
      <c r="G49" s="156" t="s">
        <v>657</v>
      </c>
      <c r="H49" s="149"/>
      <c r="I49" s="145">
        <f t="shared" si="3"/>
        <v>211.22910741459825</v>
      </c>
      <c r="J49" s="31" t="s">
        <v>54</v>
      </c>
      <c r="K49" s="147"/>
      <c r="L49" s="145"/>
      <c r="M49" s="145"/>
      <c r="N49" s="145"/>
      <c r="O49" s="145"/>
      <c r="P49" s="145"/>
      <c r="Q49" s="145"/>
      <c r="R49" s="107">
        <f>$I49/Q$37</f>
        <v>10.561455370729913</v>
      </c>
      <c r="S49" s="145">
        <f>IF($I49 &gt;0, MIN(R49,$I49-SUM($L49:R49)), MAX(R49,$I49-SUM($L49:R49)))</f>
        <v>10.561455370729913</v>
      </c>
      <c r="T49" s="145">
        <f>IF($I49 &gt;0, MIN(S49,$I49-SUM($L49:S49)), MAX(S49,$I49-SUM($L49:S49)))</f>
        <v>10.561455370729913</v>
      </c>
      <c r="U49" s="145">
        <f>IF($I49 &gt;0, MIN(T49,$I49-SUM($L49:T49)), MAX(T49,$I49-SUM($L49:T49)))</f>
        <v>10.561455370729913</v>
      </c>
      <c r="V49" s="145">
        <f>IF($I49 &gt;0, MIN(U49,$I49-SUM($L49:U49)), MAX(U49,$I49-SUM($L49:U49)))</f>
        <v>10.561455370729913</v>
      </c>
      <c r="W49" s="145">
        <f>IF($I49 &gt;0, MIN(V49,$I49-SUM($L49:V49)), MAX(V49,$I49-SUM($L49:V49)))</f>
        <v>10.561455370729913</v>
      </c>
      <c r="X49" s="145">
        <f>IF($I49 &gt;0, MIN(W49,$I49-SUM($L49:W49)), MAX(W49,$I49-SUM($L49:W49)))</f>
        <v>10.561455370729913</v>
      </c>
      <c r="Y49" s="145">
        <f>IF($I49 &gt;0, MIN(X49,$I49-SUM($L49:X49)), MAX(X49,$I49-SUM($L49:X49)))</f>
        <v>10.561455370729913</v>
      </c>
      <c r="Z49" s="145">
        <f>IF($I49 &gt;0, MIN(Y49,$I49-SUM($L49:Y49)), MAX(Y49,$I49-SUM($L49:Y49)))</f>
        <v>10.561455370729913</v>
      </c>
      <c r="AA49" s="145">
        <f>IF($I49 &gt;0, MIN(Z49,$I49-SUM($L49:Z49)), MAX(Z49,$I49-SUM($L49:Z49)))</f>
        <v>10.561455370729913</v>
      </c>
      <c r="AB49" s="145">
        <f>IF($I49 &gt;0, MIN(AA49,$I49-SUM($L49:AA49)), MAX(AA49,$I49-SUM($L49:AA49)))</f>
        <v>10.561455370729913</v>
      </c>
      <c r="AC49" s="145">
        <f>IF($I49 &gt;0, MIN(AB49,$I49-SUM($L49:AB49)), MAX(AB49,$I49-SUM($L49:AB49)))</f>
        <v>10.561455370729913</v>
      </c>
      <c r="AD49" s="145">
        <f>IF($I49 &gt;0, MIN(AC49,$I49-SUM($L49:AC49)), MAX(AC49,$I49-SUM($L49:AC49)))</f>
        <v>10.561455370729913</v>
      </c>
      <c r="AE49" s="145">
        <f>IF($I49 &gt;0, MIN(AD49,$I49-SUM($L49:AD49)), MAX(AD49,$I49-SUM($L49:AD49)))</f>
        <v>10.561455370729913</v>
      </c>
      <c r="AF49" s="145">
        <f>IF($I49 &gt;0, MIN(AE49,$I49-SUM($L49:AE49)), MAX(AE49,$I49-SUM($L49:AE49)))</f>
        <v>10.561455370729913</v>
      </c>
      <c r="AG49" s="145">
        <f>IF($I49 &gt;0, MIN(AF49,$I49-SUM($L49:AF49)), MAX(AF49,$I49-SUM($L49:AF49)))</f>
        <v>10.561455370729913</v>
      </c>
      <c r="AH49" s="145">
        <f>IF($I49 &gt;0, MIN(AG49,$I49-SUM($L49:AG49)), MAX(AG49,$I49-SUM($L49:AG49)))</f>
        <v>10.561455370729913</v>
      </c>
      <c r="AI49" s="145">
        <f>IF($I49 &gt;0, MIN(AH49,$I49-SUM($L49:AH49)), MAX(AH49,$I49-SUM($L49:AH49)))</f>
        <v>10.561455370729913</v>
      </c>
      <c r="AJ49" s="145">
        <f>IF($I49 &gt;0, MIN(AI49,$I49-SUM($L49:AI49)), MAX(AI49,$I49-SUM($L49:AI49)))</f>
        <v>10.561455370729913</v>
      </c>
      <c r="AK49" s="145">
        <f>IF($I49 &gt;0, MIN(AJ49,$I49-SUM($L49:AJ49)), MAX(AJ49,$I49-SUM($L49:AJ49)))</f>
        <v>10.561455370729913</v>
      </c>
      <c r="AL49" s="145">
        <f>IF($I49 &gt;0, MIN(AK49,$I49-SUM($L49:AK49)), MAX(AK49,$I49-SUM($L49:AK49)))</f>
        <v>2.8421709430404007E-14</v>
      </c>
      <c r="AM49" s="145">
        <f>IF($I49 &gt;0, MIN(AL49,$I49-SUM($L49:AL49)), MAX(AL49,$I49-SUM($L49:AL49)))</f>
        <v>0</v>
      </c>
      <c r="AN49" s="145">
        <f>IF($I49 &gt;0, MIN(AM49,$I49-SUM($L49:AM49)), MAX(AM49,$I49-SUM($L49:AM49)))</f>
        <v>0</v>
      </c>
      <c r="AO49" s="145">
        <f>IF($I49 &gt;0, MIN(AN49,$I49-SUM($L49:AN49)), MAX(AN49,$I49-SUM($L49:AN49)))</f>
        <v>0</v>
      </c>
      <c r="AP49" s="145">
        <f>IF($I49 &gt;0, MIN(AO49,$I49-SUM($L49:AO49)), MAX(AO49,$I49-SUM($L49:AO49)))</f>
        <v>0</v>
      </c>
      <c r="AQ49" s="145">
        <f>IF($I49 &gt;0, MIN(AP49,$I49-SUM($L49:AP49)), MAX(AP49,$I49-SUM($L49:AP49)))</f>
        <v>0</v>
      </c>
      <c r="AR49" s="145">
        <f>IF($I49 &gt;0, MIN(AQ49,$I49-SUM($L49:AQ49)), MAX(AQ49,$I49-SUM($L49:AQ49)))</f>
        <v>0</v>
      </c>
      <c r="AS49" s="145"/>
      <c r="AT49" s="145"/>
      <c r="AU49" s="145"/>
      <c r="AV49" s="145"/>
    </row>
    <row r="50" spans="4:63" ht="15" customHeight="1">
      <c r="D50" s="147"/>
      <c r="E50" s="180">
        <v>35885</v>
      </c>
      <c r="G50" s="156" t="s">
        <v>657</v>
      </c>
      <c r="H50" s="149"/>
      <c r="I50" s="145">
        <f t="shared" si="3"/>
        <v>194.74368473526786</v>
      </c>
      <c r="J50" s="31" t="s">
        <v>54</v>
      </c>
      <c r="K50" s="147"/>
      <c r="L50" s="145"/>
      <c r="M50" s="145"/>
      <c r="N50" s="145"/>
      <c r="O50" s="145"/>
      <c r="P50" s="145"/>
      <c r="Q50" s="145"/>
      <c r="R50" s="145"/>
      <c r="S50" s="107">
        <f>$I50/R$37</f>
        <v>9.7371842367633938</v>
      </c>
      <c r="T50" s="145">
        <f>IF($I50 &gt;0, MIN(S50,$I50-SUM($L50:S50)), MAX(S50,$I50-SUM($L50:S50)))</f>
        <v>9.7371842367633938</v>
      </c>
      <c r="U50" s="145">
        <f>IF($I50 &gt;0, MIN(T50,$I50-SUM($L50:T50)), MAX(T50,$I50-SUM($L50:T50)))</f>
        <v>9.7371842367633938</v>
      </c>
      <c r="V50" s="145">
        <f>IF($I50 &gt;0, MIN(U50,$I50-SUM($L50:U50)), MAX(U50,$I50-SUM($L50:U50)))</f>
        <v>9.7371842367633938</v>
      </c>
      <c r="W50" s="145">
        <f>IF($I50 &gt;0, MIN(V50,$I50-SUM($L50:V50)), MAX(V50,$I50-SUM($L50:V50)))</f>
        <v>9.7371842367633938</v>
      </c>
      <c r="X50" s="145">
        <f>IF($I50 &gt;0, MIN(W50,$I50-SUM($L50:W50)), MAX(W50,$I50-SUM($L50:W50)))</f>
        <v>9.7371842367633938</v>
      </c>
      <c r="Y50" s="145">
        <f>IF($I50 &gt;0, MIN(X50,$I50-SUM($L50:X50)), MAX(X50,$I50-SUM($L50:X50)))</f>
        <v>9.7371842367633938</v>
      </c>
      <c r="Z50" s="145">
        <f>IF($I50 &gt;0, MIN(Y50,$I50-SUM($L50:Y50)), MAX(Y50,$I50-SUM($L50:Y50)))</f>
        <v>9.7371842367633938</v>
      </c>
      <c r="AA50" s="145">
        <f>IF($I50 &gt;0, MIN(Z50,$I50-SUM($L50:Z50)), MAX(Z50,$I50-SUM($L50:Z50)))</f>
        <v>9.7371842367633938</v>
      </c>
      <c r="AB50" s="145">
        <f>IF($I50 &gt;0, MIN(AA50,$I50-SUM($L50:AA50)), MAX(AA50,$I50-SUM($L50:AA50)))</f>
        <v>9.7371842367633938</v>
      </c>
      <c r="AC50" s="145">
        <f>IF($I50 &gt;0, MIN(AB50,$I50-SUM($L50:AB50)), MAX(AB50,$I50-SUM($L50:AB50)))</f>
        <v>9.7371842367633938</v>
      </c>
      <c r="AD50" s="145">
        <f>IF($I50 &gt;0, MIN(AC50,$I50-SUM($L50:AC50)), MAX(AC50,$I50-SUM($L50:AC50)))</f>
        <v>9.7371842367633938</v>
      </c>
      <c r="AE50" s="145">
        <f>IF($I50 &gt;0, MIN(AD50,$I50-SUM($L50:AD50)), MAX(AD50,$I50-SUM($L50:AD50)))</f>
        <v>9.7371842367633938</v>
      </c>
      <c r="AF50" s="145">
        <f>IF($I50 &gt;0, MIN(AE50,$I50-SUM($L50:AE50)), MAX(AE50,$I50-SUM($L50:AE50)))</f>
        <v>9.7371842367633938</v>
      </c>
      <c r="AG50" s="145">
        <f>IF($I50 &gt;0, MIN(AF50,$I50-SUM($L50:AF50)), MAX(AF50,$I50-SUM($L50:AF50)))</f>
        <v>9.7371842367633938</v>
      </c>
      <c r="AH50" s="145">
        <f>IF($I50 &gt;0, MIN(AG50,$I50-SUM($L50:AG50)), MAX(AG50,$I50-SUM($L50:AG50)))</f>
        <v>9.7371842367633938</v>
      </c>
      <c r="AI50" s="145">
        <f>IF($I50 &gt;0, MIN(AH50,$I50-SUM($L50:AH50)), MAX(AH50,$I50-SUM($L50:AH50)))</f>
        <v>9.7371842367633938</v>
      </c>
      <c r="AJ50" s="145">
        <f>IF($I50 &gt;0, MIN(AI50,$I50-SUM($L50:AI50)), MAX(AI50,$I50-SUM($L50:AI50)))</f>
        <v>9.7371842367633938</v>
      </c>
      <c r="AK50" s="145">
        <f>IF($I50 &gt;0, MIN(AJ50,$I50-SUM($L50:AJ50)), MAX(AJ50,$I50-SUM($L50:AJ50)))</f>
        <v>9.7371842367633938</v>
      </c>
      <c r="AL50" s="145">
        <f>IF($I50 &gt;0, MIN(AK50,$I50-SUM($L50:AK50)), MAX(AK50,$I50-SUM($L50:AK50)))</f>
        <v>9.7371842367633406</v>
      </c>
      <c r="AM50" s="145">
        <f>IF($I50 &gt;0, MIN(AL50,$I50-SUM($L50:AL50)), MAX(AL50,$I50-SUM($L50:AL50)))</f>
        <v>0</v>
      </c>
      <c r="AN50" s="145">
        <f>IF($I50 &gt;0, MIN(AM50,$I50-SUM($L50:AM50)), MAX(AM50,$I50-SUM($L50:AM50)))</f>
        <v>0</v>
      </c>
      <c r="AO50" s="145">
        <f>IF($I50 &gt;0, MIN(AN50,$I50-SUM($L50:AN50)), MAX(AN50,$I50-SUM($L50:AN50)))</f>
        <v>0</v>
      </c>
      <c r="AP50" s="145">
        <f>IF($I50 &gt;0, MIN(AO50,$I50-SUM($L50:AO50)), MAX(AO50,$I50-SUM($L50:AO50)))</f>
        <v>0</v>
      </c>
      <c r="AQ50" s="145">
        <f>IF($I50 &gt;0, MIN(AP50,$I50-SUM($L50:AP50)), MAX(AP50,$I50-SUM($L50:AP50)))</f>
        <v>0</v>
      </c>
      <c r="AR50" s="145">
        <f>IF($I50 &gt;0, MIN(AQ50,$I50-SUM($L50:AQ50)), MAX(AQ50,$I50-SUM($L50:AQ50)))</f>
        <v>0</v>
      </c>
      <c r="AS50" s="145"/>
      <c r="AT50" s="145"/>
      <c r="AU50" s="145"/>
      <c r="AV50" s="145"/>
      <c r="AW50" s="145"/>
    </row>
    <row r="51" spans="4:63" ht="15" customHeight="1">
      <c r="D51" s="147"/>
      <c r="E51" s="180">
        <v>36250</v>
      </c>
      <c r="G51" s="156" t="s">
        <v>657</v>
      </c>
      <c r="H51" s="149"/>
      <c r="I51" s="145">
        <f t="shared" si="3"/>
        <v>175.87346563991051</v>
      </c>
      <c r="J51" s="31" t="s">
        <v>54</v>
      </c>
      <c r="K51" s="147"/>
      <c r="L51" s="145"/>
      <c r="M51" s="145"/>
      <c r="N51" s="145"/>
      <c r="O51" s="145"/>
      <c r="P51" s="145"/>
      <c r="Q51" s="145"/>
      <c r="R51" s="145"/>
      <c r="S51" s="145"/>
      <c r="T51" s="107">
        <f>$I51/S$37</f>
        <v>8.7936732819955257</v>
      </c>
      <c r="U51" s="145">
        <f>IF($I51 &gt;0, MIN(T51,$I51-SUM($L51:T51)), MAX(T51,$I51-SUM($L51:T51)))</f>
        <v>8.7936732819955257</v>
      </c>
      <c r="V51" s="145">
        <f>IF($I51 &gt;0, MIN(U51,$I51-SUM($L51:U51)), MAX(U51,$I51-SUM($L51:U51)))</f>
        <v>8.7936732819955257</v>
      </c>
      <c r="W51" s="145">
        <f>IF($I51 &gt;0, MIN(V51,$I51-SUM($L51:V51)), MAX(V51,$I51-SUM($L51:V51)))</f>
        <v>8.7936732819955257</v>
      </c>
      <c r="X51" s="145">
        <f>IF($I51 &gt;0, MIN(W51,$I51-SUM($L51:W51)), MAX(W51,$I51-SUM($L51:W51)))</f>
        <v>8.7936732819955257</v>
      </c>
      <c r="Y51" s="145">
        <f>IF($I51 &gt;0, MIN(X51,$I51-SUM($L51:X51)), MAX(X51,$I51-SUM($L51:X51)))</f>
        <v>8.7936732819955257</v>
      </c>
      <c r="Z51" s="145">
        <f>IF($I51 &gt;0, MIN(Y51,$I51-SUM($L51:Y51)), MAX(Y51,$I51-SUM($L51:Y51)))</f>
        <v>8.7936732819955257</v>
      </c>
      <c r="AA51" s="145">
        <f>IF($I51 &gt;0, MIN(Z51,$I51-SUM($L51:Z51)), MAX(Z51,$I51-SUM($L51:Z51)))</f>
        <v>8.7936732819955257</v>
      </c>
      <c r="AB51" s="145">
        <f>IF($I51 &gt;0, MIN(AA51,$I51-SUM($L51:AA51)), MAX(AA51,$I51-SUM($L51:AA51)))</f>
        <v>8.7936732819955257</v>
      </c>
      <c r="AC51" s="145">
        <f>IF($I51 &gt;0, MIN(AB51,$I51-SUM($L51:AB51)), MAX(AB51,$I51-SUM($L51:AB51)))</f>
        <v>8.7936732819955257</v>
      </c>
      <c r="AD51" s="145">
        <f>IF($I51 &gt;0, MIN(AC51,$I51-SUM($L51:AC51)), MAX(AC51,$I51-SUM($L51:AC51)))</f>
        <v>8.7936732819955257</v>
      </c>
      <c r="AE51" s="145">
        <f>IF($I51 &gt;0, MIN(AD51,$I51-SUM($L51:AD51)), MAX(AD51,$I51-SUM($L51:AD51)))</f>
        <v>8.7936732819955257</v>
      </c>
      <c r="AF51" s="145">
        <f>IF($I51 &gt;0, MIN(AE51,$I51-SUM($L51:AE51)), MAX(AE51,$I51-SUM($L51:AE51)))</f>
        <v>8.7936732819955257</v>
      </c>
      <c r="AG51" s="145">
        <f>IF($I51 &gt;0, MIN(AF51,$I51-SUM($L51:AF51)), MAX(AF51,$I51-SUM($L51:AF51)))</f>
        <v>8.7936732819955257</v>
      </c>
      <c r="AH51" s="145">
        <f>IF($I51 &gt;0, MIN(AG51,$I51-SUM($L51:AG51)), MAX(AG51,$I51-SUM($L51:AG51)))</f>
        <v>8.7936732819955257</v>
      </c>
      <c r="AI51" s="145">
        <f>IF($I51 &gt;0, MIN(AH51,$I51-SUM($L51:AH51)), MAX(AH51,$I51-SUM($L51:AH51)))</f>
        <v>8.7936732819955257</v>
      </c>
      <c r="AJ51" s="145">
        <f>IF($I51 &gt;0, MIN(AI51,$I51-SUM($L51:AI51)), MAX(AI51,$I51-SUM($L51:AI51)))</f>
        <v>8.7936732819955257</v>
      </c>
      <c r="AK51" s="145">
        <f>IF($I51 &gt;0, MIN(AJ51,$I51-SUM($L51:AJ51)), MAX(AJ51,$I51-SUM($L51:AJ51)))</f>
        <v>8.7936732819955257</v>
      </c>
      <c r="AL51" s="145">
        <f>IF($I51 &gt;0, MIN(AK51,$I51-SUM($L51:AK51)), MAX(AK51,$I51-SUM($L51:AK51)))</f>
        <v>8.7936732819955257</v>
      </c>
      <c r="AM51" s="145">
        <f>IF($I51 &gt;0, MIN(AL51,$I51-SUM($L51:AL51)), MAX(AL51,$I51-SUM($L51:AL51)))</f>
        <v>8.7936732819955239</v>
      </c>
      <c r="AN51" s="145">
        <f>IF($I51 &gt;0, MIN(AM51,$I51-SUM($L51:AM51)), MAX(AM51,$I51-SUM($L51:AM51)))</f>
        <v>0</v>
      </c>
      <c r="AO51" s="145">
        <f>IF($I51 &gt;0, MIN(AN51,$I51-SUM($L51:AN51)), MAX(AN51,$I51-SUM($L51:AN51)))</f>
        <v>0</v>
      </c>
      <c r="AP51" s="145">
        <f>IF($I51 &gt;0, MIN(AO51,$I51-SUM($L51:AO51)), MAX(AO51,$I51-SUM($L51:AO51)))</f>
        <v>0</v>
      </c>
      <c r="AQ51" s="145">
        <f>IF($I51 &gt;0, MIN(AP51,$I51-SUM($L51:AP51)), MAX(AP51,$I51-SUM($L51:AP51)))</f>
        <v>0</v>
      </c>
      <c r="AR51" s="145">
        <f>IF($I51 &gt;0, MIN(AQ51,$I51-SUM($L51:AQ51)), MAX(AQ51,$I51-SUM($L51:AQ51)))</f>
        <v>0</v>
      </c>
      <c r="AS51" s="145"/>
      <c r="AT51" s="145"/>
      <c r="AU51" s="145"/>
      <c r="AV51" s="145"/>
      <c r="AW51" s="145"/>
      <c r="AX51" s="145"/>
    </row>
    <row r="52" spans="4:63" ht="15" customHeight="1">
      <c r="D52" s="147"/>
      <c r="E52" s="180">
        <v>36616</v>
      </c>
      <c r="G52" s="156" t="s">
        <v>657</v>
      </c>
      <c r="H52" s="149"/>
      <c r="I52" s="145">
        <f t="shared" si="3"/>
        <v>147.08446047490233</v>
      </c>
      <c r="J52" s="31" t="s">
        <v>54</v>
      </c>
      <c r="K52" s="147"/>
      <c r="L52" s="145"/>
      <c r="M52" s="145"/>
      <c r="N52" s="145"/>
      <c r="O52" s="145"/>
      <c r="P52" s="145"/>
      <c r="Q52" s="145"/>
      <c r="R52" s="145"/>
      <c r="S52" s="145"/>
      <c r="T52" s="145"/>
      <c r="U52" s="107">
        <f>$I52/T$37</f>
        <v>7.3542230237451163</v>
      </c>
      <c r="V52" s="145">
        <f>IF($I52 &gt;0, MIN(U52,$I52-SUM($L52:U52)), MAX(U52,$I52-SUM($L52:U52)))</f>
        <v>7.3542230237451163</v>
      </c>
      <c r="W52" s="145">
        <f>IF($I52 &gt;0, MIN(V52,$I52-SUM($L52:V52)), MAX(V52,$I52-SUM($L52:V52)))</f>
        <v>7.3542230237451163</v>
      </c>
      <c r="X52" s="145">
        <f>IF($I52 &gt;0, MIN(W52,$I52-SUM($L52:W52)), MAX(W52,$I52-SUM($L52:W52)))</f>
        <v>7.3542230237451163</v>
      </c>
      <c r="Y52" s="145">
        <f>IF($I52 &gt;0, MIN(X52,$I52-SUM($L52:X52)), MAX(X52,$I52-SUM($L52:X52)))</f>
        <v>7.3542230237451163</v>
      </c>
      <c r="Z52" s="145">
        <f>IF($I52 &gt;0, MIN(Y52,$I52-SUM($L52:Y52)), MAX(Y52,$I52-SUM($L52:Y52)))</f>
        <v>7.3542230237451163</v>
      </c>
      <c r="AA52" s="145">
        <f>IF($I52 &gt;0, MIN(Z52,$I52-SUM($L52:Z52)), MAX(Z52,$I52-SUM($L52:Z52)))</f>
        <v>7.3542230237451163</v>
      </c>
      <c r="AB52" s="145">
        <f>IF($I52 &gt;0, MIN(AA52,$I52-SUM($L52:AA52)), MAX(AA52,$I52-SUM($L52:AA52)))</f>
        <v>7.3542230237451163</v>
      </c>
      <c r="AC52" s="145">
        <f>IF($I52 &gt;0, MIN(AB52,$I52-SUM($L52:AB52)), MAX(AB52,$I52-SUM($L52:AB52)))</f>
        <v>7.3542230237451163</v>
      </c>
      <c r="AD52" s="145">
        <f>IF($I52 &gt;0, MIN(AC52,$I52-SUM($L52:AC52)), MAX(AC52,$I52-SUM($L52:AC52)))</f>
        <v>7.3542230237451163</v>
      </c>
      <c r="AE52" s="145">
        <f>IF($I52 &gt;0, MIN(AD52,$I52-SUM($L52:AD52)), MAX(AD52,$I52-SUM($L52:AD52)))</f>
        <v>7.3542230237451163</v>
      </c>
      <c r="AF52" s="145">
        <f>IF($I52 &gt;0, MIN(AE52,$I52-SUM($L52:AE52)), MAX(AE52,$I52-SUM($L52:AE52)))</f>
        <v>7.3542230237451163</v>
      </c>
      <c r="AG52" s="145">
        <f>IF($I52 &gt;0, MIN(AF52,$I52-SUM($L52:AF52)), MAX(AF52,$I52-SUM($L52:AF52)))</f>
        <v>7.3542230237451163</v>
      </c>
      <c r="AH52" s="145">
        <f>IF($I52 &gt;0, MIN(AG52,$I52-SUM($L52:AG52)), MAX(AG52,$I52-SUM($L52:AG52)))</f>
        <v>7.3542230237451163</v>
      </c>
      <c r="AI52" s="145">
        <f>IF($I52 &gt;0, MIN(AH52,$I52-SUM($L52:AH52)), MAX(AH52,$I52-SUM($L52:AH52)))</f>
        <v>7.3542230237451163</v>
      </c>
      <c r="AJ52" s="145">
        <f>IF($I52 &gt;0, MIN(AI52,$I52-SUM($L52:AI52)), MAX(AI52,$I52-SUM($L52:AI52)))</f>
        <v>7.3542230237451163</v>
      </c>
      <c r="AK52" s="145">
        <f>IF($I52 &gt;0, MIN(AJ52,$I52-SUM($L52:AJ52)), MAX(AJ52,$I52-SUM($L52:AJ52)))</f>
        <v>7.3542230237451163</v>
      </c>
      <c r="AL52" s="145">
        <f>IF($I52 &gt;0, MIN(AK52,$I52-SUM($L52:AK52)), MAX(AK52,$I52-SUM($L52:AK52)))</f>
        <v>7.3542230237451163</v>
      </c>
      <c r="AM52" s="145">
        <f>IF($I52 &gt;0, MIN(AL52,$I52-SUM($L52:AL52)), MAX(AL52,$I52-SUM($L52:AL52)))</f>
        <v>7.3542230237451163</v>
      </c>
      <c r="AN52" s="145">
        <f>IF($I52 &gt;0, MIN(AM52,$I52-SUM($L52:AM52)), MAX(AM52,$I52-SUM($L52:AM52)))</f>
        <v>7.3542230237451065</v>
      </c>
      <c r="AO52" s="145">
        <f>IF($I52 &gt;0, MIN(AN52,$I52-SUM($L52:AN52)), MAX(AN52,$I52-SUM($L52:AN52)))</f>
        <v>0</v>
      </c>
      <c r="AP52" s="145">
        <f>IF($I52 &gt;0, MIN(AO52,$I52-SUM($L52:AO52)), MAX(AO52,$I52-SUM($L52:AO52)))</f>
        <v>0</v>
      </c>
      <c r="AQ52" s="145">
        <f>IF($I52 &gt;0, MIN(AP52,$I52-SUM($L52:AP52)), MAX(AP52,$I52-SUM($L52:AP52)))</f>
        <v>0</v>
      </c>
      <c r="AR52" s="145">
        <f>IF($I52 &gt;0, MIN(AQ52,$I52-SUM($L52:AQ52)), MAX(AQ52,$I52-SUM($L52:AQ52)))</f>
        <v>0</v>
      </c>
      <c r="AS52" s="145"/>
      <c r="AT52" s="145"/>
      <c r="AU52" s="145"/>
      <c r="AV52" s="145"/>
      <c r="AW52" s="145"/>
      <c r="AX52" s="145"/>
      <c r="AY52" s="145"/>
    </row>
    <row r="53" spans="4:63" ht="15" customHeight="1">
      <c r="D53" s="147"/>
      <c r="E53" s="180">
        <v>36981</v>
      </c>
      <c r="G53" s="156" t="s">
        <v>657</v>
      </c>
      <c r="H53" s="149"/>
      <c r="I53" s="145">
        <f t="shared" si="3"/>
        <v>125.97832883611149</v>
      </c>
      <c r="J53" s="31" t="s">
        <v>54</v>
      </c>
      <c r="K53" s="147"/>
      <c r="L53" s="145"/>
      <c r="M53" s="145"/>
      <c r="N53" s="145"/>
      <c r="O53" s="145"/>
      <c r="P53" s="145"/>
      <c r="Q53" s="145"/>
      <c r="R53" s="145"/>
      <c r="S53" s="145"/>
      <c r="T53" s="145"/>
      <c r="U53" s="145"/>
      <c r="V53" s="107">
        <f>$I53/U$37</f>
        <v>6.2989164418055745</v>
      </c>
      <c r="W53" s="145">
        <f>IF($I53 &gt;0, MIN(V53,$I53-SUM($L53:V53)), MAX(V53,$I53-SUM($L53:V53)))</f>
        <v>6.2989164418055745</v>
      </c>
      <c r="X53" s="145">
        <f>IF($I53 &gt;0, MIN(W53,$I53-SUM($L53:W53)), MAX(W53,$I53-SUM($L53:W53)))</f>
        <v>6.2989164418055745</v>
      </c>
      <c r="Y53" s="145">
        <f>IF($I53 &gt;0, MIN(X53,$I53-SUM($L53:X53)), MAX(X53,$I53-SUM($L53:X53)))</f>
        <v>6.2989164418055745</v>
      </c>
      <c r="Z53" s="145">
        <f>IF($I53 &gt;0, MIN(Y53,$I53-SUM($L53:Y53)), MAX(Y53,$I53-SUM($L53:Y53)))</f>
        <v>6.2989164418055745</v>
      </c>
      <c r="AA53" s="145">
        <f>IF($I53 &gt;0, MIN(Z53,$I53-SUM($L53:Z53)), MAX(Z53,$I53-SUM($L53:Z53)))</f>
        <v>6.2989164418055745</v>
      </c>
      <c r="AB53" s="145">
        <f>IF($I53 &gt;0, MIN(AA53,$I53-SUM($L53:AA53)), MAX(AA53,$I53-SUM($L53:AA53)))</f>
        <v>6.2989164418055745</v>
      </c>
      <c r="AC53" s="145">
        <f>IF($I53 &gt;0, MIN(AB53,$I53-SUM($L53:AB53)), MAX(AB53,$I53-SUM($L53:AB53)))</f>
        <v>6.2989164418055745</v>
      </c>
      <c r="AD53" s="145">
        <f>IF($I53 &gt;0, MIN(AC53,$I53-SUM($L53:AC53)), MAX(AC53,$I53-SUM($L53:AC53)))</f>
        <v>6.2989164418055745</v>
      </c>
      <c r="AE53" s="145">
        <f>IF($I53 &gt;0, MIN(AD53,$I53-SUM($L53:AD53)), MAX(AD53,$I53-SUM($L53:AD53)))</f>
        <v>6.2989164418055745</v>
      </c>
      <c r="AF53" s="145">
        <f>IF($I53 &gt;0, MIN(AE53,$I53-SUM($L53:AE53)), MAX(AE53,$I53-SUM($L53:AE53)))</f>
        <v>6.2989164418055745</v>
      </c>
      <c r="AG53" s="145">
        <f>IF($I53 &gt;0, MIN(AF53,$I53-SUM($L53:AF53)), MAX(AF53,$I53-SUM($L53:AF53)))</f>
        <v>6.2989164418055745</v>
      </c>
      <c r="AH53" s="145">
        <f>IF($I53 &gt;0, MIN(AG53,$I53-SUM($L53:AG53)), MAX(AG53,$I53-SUM($L53:AG53)))</f>
        <v>6.2989164418055745</v>
      </c>
      <c r="AI53" s="145">
        <f>IF($I53 &gt;0, MIN(AH53,$I53-SUM($L53:AH53)), MAX(AH53,$I53-SUM($L53:AH53)))</f>
        <v>6.2989164418055745</v>
      </c>
      <c r="AJ53" s="145">
        <f>IF($I53 &gt;0, MIN(AI53,$I53-SUM($L53:AI53)), MAX(AI53,$I53-SUM($L53:AI53)))</f>
        <v>6.2989164418055745</v>
      </c>
      <c r="AK53" s="145">
        <f>IF($I53 &gt;0, MIN(AJ53,$I53-SUM($L53:AJ53)), MAX(AJ53,$I53-SUM($L53:AJ53)))</f>
        <v>6.2989164418055745</v>
      </c>
      <c r="AL53" s="145">
        <f>IF($I53 &gt;0, MIN(AK53,$I53-SUM($L53:AK53)), MAX(AK53,$I53-SUM($L53:AK53)))</f>
        <v>6.2989164418055745</v>
      </c>
      <c r="AM53" s="145">
        <f>IF($I53 &gt;0, MIN(AL53,$I53-SUM($L53:AL53)), MAX(AL53,$I53-SUM($L53:AL53)))</f>
        <v>6.2989164418055745</v>
      </c>
      <c r="AN53" s="145">
        <f>IF($I53 &gt;0, MIN(AM53,$I53-SUM($L53:AM53)), MAX(AM53,$I53-SUM($L53:AM53)))</f>
        <v>6.2989164418055745</v>
      </c>
      <c r="AO53" s="145">
        <f>IF($I53 &gt;0, MIN(AN53,$I53-SUM($L53:AN53)), MAX(AN53,$I53-SUM($L53:AN53)))</f>
        <v>6.2989164418055736</v>
      </c>
      <c r="AP53" s="145">
        <f>IF($I53 &gt;0, MIN(AO53,$I53-SUM($L53:AO53)), MAX(AO53,$I53-SUM($L53:AO53)))</f>
        <v>0</v>
      </c>
      <c r="AQ53" s="145">
        <f>IF($I53 &gt;0, MIN(AP53,$I53-SUM($L53:AP53)), MAX(AP53,$I53-SUM($L53:AP53)))</f>
        <v>0</v>
      </c>
      <c r="AR53" s="145">
        <f>IF($I53 &gt;0, MIN(AQ53,$I53-SUM($L53:AQ53)), MAX(AQ53,$I53-SUM($L53:AQ53)))</f>
        <v>0</v>
      </c>
      <c r="AS53" s="145"/>
      <c r="AT53" s="145"/>
      <c r="AU53" s="145"/>
      <c r="AV53" s="145"/>
      <c r="AW53" s="145"/>
      <c r="AX53" s="145"/>
      <c r="AY53" s="145"/>
      <c r="AZ53" s="145"/>
    </row>
    <row r="54" spans="4:63" ht="15" customHeight="1">
      <c r="D54" s="147"/>
      <c r="E54" s="180">
        <v>37346</v>
      </c>
      <c r="G54" s="156" t="s">
        <v>657</v>
      </c>
      <c r="H54" s="149"/>
      <c r="I54" s="145">
        <f t="shared" si="3"/>
        <v>130.80244427294289</v>
      </c>
      <c r="J54" s="31" t="s">
        <v>54</v>
      </c>
      <c r="K54" s="147"/>
      <c r="L54" s="145"/>
      <c r="M54" s="145"/>
      <c r="N54" s="145"/>
      <c r="O54" s="145"/>
      <c r="P54" s="145"/>
      <c r="Q54" s="145"/>
      <c r="R54" s="145"/>
      <c r="S54" s="145"/>
      <c r="T54" s="145"/>
      <c r="U54" s="145"/>
      <c r="V54" s="145"/>
      <c r="W54" s="107">
        <f>$I54/V$37</f>
        <v>6.5401222136471446</v>
      </c>
      <c r="X54" s="145">
        <f>IF($I54 &gt;0, MIN(W54,$I54-SUM($L54:W54)), MAX(W54,$I54-SUM($L54:W54)))</f>
        <v>6.5401222136471446</v>
      </c>
      <c r="Y54" s="145">
        <f>IF($I54 &gt;0, MIN(X54,$I54-SUM($L54:X54)), MAX(X54,$I54-SUM($L54:X54)))</f>
        <v>6.5401222136471446</v>
      </c>
      <c r="Z54" s="145">
        <f>IF($I54 &gt;0, MIN(Y54,$I54-SUM($L54:Y54)), MAX(Y54,$I54-SUM($L54:Y54)))</f>
        <v>6.5401222136471446</v>
      </c>
      <c r="AA54" s="145">
        <f>IF($I54 &gt;0, MIN(Z54,$I54-SUM($L54:Z54)), MAX(Z54,$I54-SUM($L54:Z54)))</f>
        <v>6.5401222136471446</v>
      </c>
      <c r="AB54" s="145">
        <f>IF($I54 &gt;0, MIN(AA54,$I54-SUM($L54:AA54)), MAX(AA54,$I54-SUM($L54:AA54)))</f>
        <v>6.5401222136471446</v>
      </c>
      <c r="AC54" s="145">
        <f>IF($I54 &gt;0, MIN(AB54,$I54-SUM($L54:AB54)), MAX(AB54,$I54-SUM($L54:AB54)))</f>
        <v>6.5401222136471446</v>
      </c>
      <c r="AD54" s="145">
        <f>IF($I54 &gt;0, MIN(AC54,$I54-SUM($L54:AC54)), MAX(AC54,$I54-SUM($L54:AC54)))</f>
        <v>6.5401222136471446</v>
      </c>
      <c r="AE54" s="145">
        <f>IF($I54 &gt;0, MIN(AD54,$I54-SUM($L54:AD54)), MAX(AD54,$I54-SUM($L54:AD54)))</f>
        <v>6.5401222136471446</v>
      </c>
      <c r="AF54" s="145">
        <f>IF($I54 &gt;0, MIN(AE54,$I54-SUM($L54:AE54)), MAX(AE54,$I54-SUM($L54:AE54)))</f>
        <v>6.5401222136471446</v>
      </c>
      <c r="AG54" s="145">
        <f>IF($I54 &gt;0, MIN(AF54,$I54-SUM($L54:AF54)), MAX(AF54,$I54-SUM($L54:AF54)))</f>
        <v>6.5401222136471446</v>
      </c>
      <c r="AH54" s="145">
        <f>IF($I54 &gt;0, MIN(AG54,$I54-SUM($L54:AG54)), MAX(AG54,$I54-SUM($L54:AG54)))</f>
        <v>6.5401222136471446</v>
      </c>
      <c r="AI54" s="145">
        <f>IF($I54 &gt;0, MIN(AH54,$I54-SUM($L54:AH54)), MAX(AH54,$I54-SUM($L54:AH54)))</f>
        <v>6.5401222136471446</v>
      </c>
      <c r="AJ54" s="145">
        <f>IF($I54 &gt;0, MIN(AI54,$I54-SUM($L54:AI54)), MAX(AI54,$I54-SUM($L54:AI54)))</f>
        <v>6.5401222136471446</v>
      </c>
      <c r="AK54" s="145">
        <f>IF($I54 &gt;0, MIN(AJ54,$I54-SUM($L54:AJ54)), MAX(AJ54,$I54-SUM($L54:AJ54)))</f>
        <v>6.5401222136471446</v>
      </c>
      <c r="AL54" s="145">
        <f>IF($I54 &gt;0, MIN(AK54,$I54-SUM($L54:AK54)), MAX(AK54,$I54-SUM($L54:AK54)))</f>
        <v>6.5401222136471446</v>
      </c>
      <c r="AM54" s="145">
        <f>IF($I54 &gt;0, MIN(AL54,$I54-SUM($L54:AL54)), MAX(AL54,$I54-SUM($L54:AL54)))</f>
        <v>6.5401222136471446</v>
      </c>
      <c r="AN54" s="145">
        <f>IF($I54 &gt;0, MIN(AM54,$I54-SUM($L54:AM54)), MAX(AM54,$I54-SUM($L54:AM54)))</f>
        <v>6.5401222136471446</v>
      </c>
      <c r="AO54" s="145">
        <f>IF($I54 &gt;0, MIN(AN54,$I54-SUM($L54:AN54)), MAX(AN54,$I54-SUM($L54:AN54)))</f>
        <v>6.5401222136471446</v>
      </c>
      <c r="AP54" s="145">
        <f>IF($I54 &gt;0, MIN(AO54,$I54-SUM($L54:AO54)), MAX(AO54,$I54-SUM($L54:AO54)))</f>
        <v>6.5401222136470949</v>
      </c>
      <c r="AQ54" s="145">
        <f>IF($I54 &gt;0, MIN(AP54,$I54-SUM($L54:AP54)), MAX(AP54,$I54-SUM($L54:AP54)))</f>
        <v>0</v>
      </c>
      <c r="AR54" s="145">
        <f>IF($I54 &gt;0, MIN(AQ54,$I54-SUM($L54:AQ54)), MAX(AQ54,$I54-SUM($L54:AQ54)))</f>
        <v>0</v>
      </c>
      <c r="AS54" s="145"/>
      <c r="AT54" s="145"/>
      <c r="AU54" s="145"/>
      <c r="AV54" s="145"/>
      <c r="AW54" s="145"/>
      <c r="AX54" s="145"/>
      <c r="AY54" s="145"/>
      <c r="AZ54" s="145"/>
      <c r="BA54" s="145"/>
    </row>
    <row r="55" spans="4:63" ht="15" customHeight="1">
      <c r="D55" s="147"/>
      <c r="E55" s="180">
        <v>37711</v>
      </c>
      <c r="G55" s="156" t="s">
        <v>657</v>
      </c>
      <c r="H55" s="149"/>
      <c r="I55" s="145">
        <f t="shared" si="3"/>
        <v>110.541159438251</v>
      </c>
      <c r="J55" s="31" t="s">
        <v>54</v>
      </c>
      <c r="K55" s="147"/>
      <c r="L55" s="145"/>
      <c r="M55" s="145"/>
      <c r="N55" s="145"/>
      <c r="O55" s="145"/>
      <c r="P55" s="145"/>
      <c r="Q55" s="145"/>
      <c r="R55" s="145"/>
      <c r="S55" s="145"/>
      <c r="T55" s="145"/>
      <c r="U55" s="145"/>
      <c r="V55" s="145"/>
      <c r="W55" s="145"/>
      <c r="X55" s="107">
        <f>$I55/W$37</f>
        <v>5.5270579719125497</v>
      </c>
      <c r="Y55" s="145">
        <f>IF($I55 &gt;0, MIN(X55,$I55-SUM($L55:X55)), MAX(X55,$I55-SUM($L55:X55)))</f>
        <v>5.5270579719125497</v>
      </c>
      <c r="Z55" s="145">
        <f>IF($I55 &gt;0, MIN(Y55,$I55-SUM($L55:Y55)), MAX(Y55,$I55-SUM($L55:Y55)))</f>
        <v>5.5270579719125497</v>
      </c>
      <c r="AA55" s="145">
        <f>IF($I55 &gt;0, MIN(Z55,$I55-SUM($L55:Z55)), MAX(Z55,$I55-SUM($L55:Z55)))</f>
        <v>5.5270579719125497</v>
      </c>
      <c r="AB55" s="145">
        <f>IF($I55 &gt;0, MIN(AA55,$I55-SUM($L55:AA55)), MAX(AA55,$I55-SUM($L55:AA55)))</f>
        <v>5.5270579719125497</v>
      </c>
      <c r="AC55" s="145">
        <f>IF($I55 &gt;0, MIN(AB55,$I55-SUM($L55:AB55)), MAX(AB55,$I55-SUM($L55:AB55)))</f>
        <v>5.5270579719125497</v>
      </c>
      <c r="AD55" s="145">
        <f>IF($I55 &gt;0, MIN(AC55,$I55-SUM($L55:AC55)), MAX(AC55,$I55-SUM($L55:AC55)))</f>
        <v>5.5270579719125497</v>
      </c>
      <c r="AE55" s="145">
        <f>IF($I55 &gt;0, MIN(AD55,$I55-SUM($L55:AD55)), MAX(AD55,$I55-SUM($L55:AD55)))</f>
        <v>5.5270579719125497</v>
      </c>
      <c r="AF55" s="145">
        <f>IF($I55 &gt;0, MIN(AE55,$I55-SUM($L55:AE55)), MAX(AE55,$I55-SUM($L55:AE55)))</f>
        <v>5.5270579719125497</v>
      </c>
      <c r="AG55" s="145">
        <f>IF($I55 &gt;0, MIN(AF55,$I55-SUM($L55:AF55)), MAX(AF55,$I55-SUM($L55:AF55)))</f>
        <v>5.5270579719125497</v>
      </c>
      <c r="AH55" s="145">
        <f>IF($I55 &gt;0, MIN(AG55,$I55-SUM($L55:AG55)), MAX(AG55,$I55-SUM($L55:AG55)))</f>
        <v>5.5270579719125497</v>
      </c>
      <c r="AI55" s="145">
        <f>IF($I55 &gt;0, MIN(AH55,$I55-SUM($L55:AH55)), MAX(AH55,$I55-SUM($L55:AH55)))</f>
        <v>5.5270579719125497</v>
      </c>
      <c r="AJ55" s="145">
        <f>IF($I55 &gt;0, MIN(AI55,$I55-SUM($L55:AI55)), MAX(AI55,$I55-SUM($L55:AI55)))</f>
        <v>5.5270579719125497</v>
      </c>
      <c r="AK55" s="145">
        <f>IF($I55 &gt;0, MIN(AJ55,$I55-SUM($L55:AJ55)), MAX(AJ55,$I55-SUM($L55:AJ55)))</f>
        <v>5.5270579719125497</v>
      </c>
      <c r="AL55" s="145">
        <f>IF($I55 &gt;0, MIN(AK55,$I55-SUM($L55:AK55)), MAX(AK55,$I55-SUM($L55:AK55)))</f>
        <v>5.5270579719125497</v>
      </c>
      <c r="AM55" s="145">
        <f>IF($I55 &gt;0, MIN(AL55,$I55-SUM($L55:AL55)), MAX(AL55,$I55-SUM($L55:AL55)))</f>
        <v>5.5270579719125497</v>
      </c>
      <c r="AN55" s="145">
        <f>IF($I55 &gt;0, MIN(AM55,$I55-SUM($L55:AM55)), MAX(AM55,$I55-SUM($L55:AM55)))</f>
        <v>5.5270579719125497</v>
      </c>
      <c r="AO55" s="145">
        <f>IF($I55 &gt;0, MIN(AN55,$I55-SUM($L55:AN55)), MAX(AN55,$I55-SUM($L55:AN55)))</f>
        <v>5.5270579719125497</v>
      </c>
      <c r="AP55" s="145">
        <f>IF($I55 &gt;0, MIN(AO55,$I55-SUM($L55:AO55)), MAX(AO55,$I55-SUM($L55:AO55)))</f>
        <v>5.5270579719125497</v>
      </c>
      <c r="AQ55" s="145">
        <f>IF($I55 &gt;0, MIN(AP55,$I55-SUM($L55:AP55)), MAX(AP55,$I55-SUM($L55:AP55)))</f>
        <v>5.5270579719125266</v>
      </c>
      <c r="AR55" s="145">
        <f>IF($I55 &gt;0, MIN(AQ55,$I55-SUM($L55:AQ55)), MAX(AQ55,$I55-SUM($L55:AQ55)))</f>
        <v>0</v>
      </c>
      <c r="AS55" s="145"/>
      <c r="AT55" s="145"/>
      <c r="AU55" s="145"/>
      <c r="AV55" s="145"/>
      <c r="AW55" s="145"/>
      <c r="AX55" s="145"/>
      <c r="AY55" s="145"/>
      <c r="AZ55" s="145"/>
      <c r="BA55" s="145"/>
      <c r="BB55" s="145"/>
    </row>
    <row r="56" spans="4:63" ht="15" customHeight="1">
      <c r="D56" s="147"/>
      <c r="E56" s="180">
        <v>38077</v>
      </c>
      <c r="G56" s="156" t="s">
        <v>657</v>
      </c>
      <c r="H56" s="149"/>
      <c r="I56" s="145">
        <f t="shared" si="3"/>
        <v>125.77347581860529</v>
      </c>
      <c r="J56" s="31" t="s">
        <v>54</v>
      </c>
      <c r="K56" s="147"/>
      <c r="L56" s="145"/>
      <c r="M56" s="145"/>
      <c r="N56" s="145"/>
      <c r="O56" s="145"/>
      <c r="P56" s="145"/>
      <c r="Q56" s="145"/>
      <c r="R56" s="145"/>
      <c r="S56" s="145"/>
      <c r="T56" s="145"/>
      <c r="U56" s="145"/>
      <c r="V56" s="145"/>
      <c r="W56" s="145"/>
      <c r="X56" s="145"/>
      <c r="Y56" s="107">
        <f>$I56/X$37</f>
        <v>6.2886737909302646</v>
      </c>
      <c r="Z56" s="145">
        <f>IF($I56 &gt;0, MIN(Y56,$I56-SUM($L56:Y56)), MAX(Y56,$I56-SUM($L56:Y56)))</f>
        <v>6.2886737909302646</v>
      </c>
      <c r="AA56" s="145">
        <f>IF($I56 &gt;0, MIN(Z56,$I56-SUM($L56:Z56)), MAX(Z56,$I56-SUM($L56:Z56)))</f>
        <v>6.2886737909302646</v>
      </c>
      <c r="AB56" s="145">
        <f>IF($I56 &gt;0, MIN(AA56,$I56-SUM($L56:AA56)), MAX(AA56,$I56-SUM($L56:AA56)))</f>
        <v>6.2886737909302646</v>
      </c>
      <c r="AC56" s="145">
        <f>IF($I56 &gt;0, MIN(AB56,$I56-SUM($L56:AB56)), MAX(AB56,$I56-SUM($L56:AB56)))</f>
        <v>6.2886737909302646</v>
      </c>
      <c r="AD56" s="145">
        <f>IF($I56 &gt;0, MIN(AC56,$I56-SUM($L56:AC56)), MAX(AC56,$I56-SUM($L56:AC56)))</f>
        <v>6.2886737909302646</v>
      </c>
      <c r="AE56" s="145">
        <f>IF($I56 &gt;0, MIN(AD56,$I56-SUM($L56:AD56)), MAX(AD56,$I56-SUM($L56:AD56)))</f>
        <v>6.2886737909302646</v>
      </c>
      <c r="AF56" s="145">
        <f>IF($I56 &gt;0, MIN(AE56,$I56-SUM($L56:AE56)), MAX(AE56,$I56-SUM($L56:AE56)))</f>
        <v>6.2886737909302646</v>
      </c>
      <c r="AG56" s="145">
        <f>IF($I56 &gt;0, MIN(AF56,$I56-SUM($L56:AF56)), MAX(AF56,$I56-SUM($L56:AF56)))</f>
        <v>6.2886737909302646</v>
      </c>
      <c r="AH56" s="145">
        <f>IF($I56 &gt;0, MIN(AG56,$I56-SUM($L56:AG56)), MAX(AG56,$I56-SUM($L56:AG56)))</f>
        <v>6.2886737909302646</v>
      </c>
      <c r="AI56" s="145">
        <f>IF($I56 &gt;0, MIN(AH56,$I56-SUM($L56:AH56)), MAX(AH56,$I56-SUM($L56:AH56)))</f>
        <v>6.2886737909302646</v>
      </c>
      <c r="AJ56" s="145">
        <f>IF($I56 &gt;0, MIN(AI56,$I56-SUM($L56:AI56)), MAX(AI56,$I56-SUM($L56:AI56)))</f>
        <v>6.2886737909302646</v>
      </c>
      <c r="AK56" s="145">
        <f>IF($I56 &gt;0, MIN(AJ56,$I56-SUM($L56:AJ56)), MAX(AJ56,$I56-SUM($L56:AJ56)))</f>
        <v>6.2886737909302646</v>
      </c>
      <c r="AL56" s="145">
        <f>IF($I56 &gt;0, MIN(AK56,$I56-SUM($L56:AK56)), MAX(AK56,$I56-SUM($L56:AK56)))</f>
        <v>6.2886737909302646</v>
      </c>
      <c r="AM56" s="145">
        <f>IF($I56 &gt;0, MIN(AL56,$I56-SUM($L56:AL56)), MAX(AL56,$I56-SUM($L56:AL56)))</f>
        <v>6.2886737909302646</v>
      </c>
      <c r="AN56" s="145">
        <f>IF($I56 &gt;0, MIN(AM56,$I56-SUM($L56:AM56)), MAX(AM56,$I56-SUM($L56:AM56)))</f>
        <v>6.2886737909302646</v>
      </c>
      <c r="AO56" s="145">
        <f>IF($I56 &gt;0, MIN(AN56,$I56-SUM($L56:AN56)), MAX(AN56,$I56-SUM($L56:AN56)))</f>
        <v>6.2886737909302646</v>
      </c>
      <c r="AP56" s="145">
        <f>IF($I56 &gt;0, MIN(AO56,$I56-SUM($L56:AO56)), MAX(AO56,$I56-SUM($L56:AO56)))</f>
        <v>6.2886737909302646</v>
      </c>
      <c r="AQ56" s="145">
        <f>IF($I56 &gt;0, MIN(AP56,$I56-SUM($L56:AP56)), MAX(AP56,$I56-SUM($L56:AP56)))</f>
        <v>6.2886737909302646</v>
      </c>
      <c r="AR56" s="145">
        <f>IF($I56 &gt;0, MIN(AQ56,$I56-SUM($L56:AQ56)), MAX(AQ56,$I56-SUM($L56:AQ56)))</f>
        <v>6.2886737909302646</v>
      </c>
      <c r="AS56" s="145"/>
      <c r="AT56" s="145"/>
      <c r="AU56" s="145"/>
      <c r="AV56" s="145"/>
      <c r="AW56" s="145"/>
      <c r="AX56" s="145"/>
      <c r="AY56" s="145"/>
      <c r="AZ56" s="145"/>
      <c r="BA56" s="145"/>
      <c r="BB56" s="145"/>
      <c r="BC56" s="145"/>
    </row>
    <row r="57" spans="4:63" ht="15" customHeight="1">
      <c r="D57" s="147"/>
      <c r="E57" s="180">
        <v>38442</v>
      </c>
      <c r="G57" s="156" t="s">
        <v>657</v>
      </c>
      <c r="H57" s="149"/>
      <c r="I57" s="145">
        <f t="shared" si="3"/>
        <v>136.48520298735869</v>
      </c>
      <c r="J57" s="31" t="s">
        <v>54</v>
      </c>
      <c r="K57" s="147"/>
      <c r="L57" s="145"/>
      <c r="M57" s="145"/>
      <c r="N57" s="145"/>
      <c r="O57" s="145"/>
      <c r="P57" s="145"/>
      <c r="Q57" s="145"/>
      <c r="R57" s="145"/>
      <c r="S57" s="145"/>
      <c r="T57" s="145"/>
      <c r="U57" s="145"/>
      <c r="V57" s="145"/>
      <c r="W57" s="145"/>
      <c r="X57" s="145"/>
      <c r="Y57" s="145"/>
      <c r="Z57" s="107">
        <f>$I57/Y$37</f>
        <v>6.8242601493679347</v>
      </c>
      <c r="AA57" s="145">
        <f>IF($I57 &gt;0, MIN(Z57,$I57-SUM($L57:Z57)), MAX(Z57,$I57-SUM($L57:Z57)))</f>
        <v>6.8242601493679347</v>
      </c>
      <c r="AB57" s="145">
        <f>IF($I57 &gt;0, MIN(AA57,$I57-SUM($L57:AA57)), MAX(AA57,$I57-SUM($L57:AA57)))</f>
        <v>6.8242601493679347</v>
      </c>
      <c r="AC57" s="145">
        <f>IF($I57 &gt;0, MIN(AB57,$I57-SUM($L57:AB57)), MAX(AB57,$I57-SUM($L57:AB57)))</f>
        <v>6.8242601493679347</v>
      </c>
      <c r="AD57" s="145">
        <f>IF($I57 &gt;0, MIN(AC57,$I57-SUM($L57:AC57)), MAX(AC57,$I57-SUM($L57:AC57)))</f>
        <v>6.8242601493679347</v>
      </c>
      <c r="AE57" s="145">
        <f>IF($I57 &gt;0, MIN(AD57,$I57-SUM($L57:AD57)), MAX(AD57,$I57-SUM($L57:AD57)))</f>
        <v>6.8242601493679347</v>
      </c>
      <c r="AF57" s="145">
        <f>IF($I57 &gt;0, MIN(AE57,$I57-SUM($L57:AE57)), MAX(AE57,$I57-SUM($L57:AE57)))</f>
        <v>6.8242601493679347</v>
      </c>
      <c r="AG57" s="145">
        <f>IF($I57 &gt;0, MIN(AF57,$I57-SUM($L57:AF57)), MAX(AF57,$I57-SUM($L57:AF57)))</f>
        <v>6.8242601493679347</v>
      </c>
      <c r="AH57" s="145">
        <f>IF($I57 &gt;0, MIN(AG57,$I57-SUM($L57:AG57)), MAX(AG57,$I57-SUM($L57:AG57)))</f>
        <v>6.8242601493679347</v>
      </c>
      <c r="AI57" s="145">
        <f>IF($I57 &gt;0, MIN(AH57,$I57-SUM($L57:AH57)), MAX(AH57,$I57-SUM($L57:AH57)))</f>
        <v>6.8242601493679347</v>
      </c>
      <c r="AJ57" s="145">
        <f>IF($I57 &gt;0, MIN(AI57,$I57-SUM($L57:AI57)), MAX(AI57,$I57-SUM($L57:AI57)))</f>
        <v>6.8242601493679347</v>
      </c>
      <c r="AK57" s="145">
        <f>IF($I57 &gt;0, MIN(AJ57,$I57-SUM($L57:AJ57)), MAX(AJ57,$I57-SUM($L57:AJ57)))</f>
        <v>6.8242601493679347</v>
      </c>
      <c r="AL57" s="145">
        <f>IF($I57 &gt;0, MIN(AK57,$I57-SUM($L57:AK57)), MAX(AK57,$I57-SUM($L57:AK57)))</f>
        <v>6.8242601493679347</v>
      </c>
      <c r="AM57" s="145">
        <f>IF($I57 &gt;0, MIN(AL57,$I57-SUM($L57:AL57)), MAX(AL57,$I57-SUM($L57:AL57)))</f>
        <v>6.8242601493679347</v>
      </c>
      <c r="AN57" s="145">
        <f>IF($I57 &gt;0, MIN(AM57,$I57-SUM($L57:AM57)), MAX(AM57,$I57-SUM($L57:AM57)))</f>
        <v>6.8242601493679347</v>
      </c>
      <c r="AO57" s="145">
        <f>IF($I57 &gt;0, MIN(AN57,$I57-SUM($L57:AN57)), MAX(AN57,$I57-SUM($L57:AN57)))</f>
        <v>6.8242601493679347</v>
      </c>
      <c r="AP57" s="145">
        <f>IF($I57 &gt;0, MIN(AO57,$I57-SUM($L57:AO57)), MAX(AO57,$I57-SUM($L57:AO57)))</f>
        <v>6.8242601493679347</v>
      </c>
      <c r="AQ57" s="145">
        <f>IF($I57 &gt;0, MIN(AP57,$I57-SUM($L57:AP57)), MAX(AP57,$I57-SUM($L57:AP57)))</f>
        <v>6.8242601493679347</v>
      </c>
      <c r="AR57" s="145">
        <f>IF($I57 &gt;0, MIN(AQ57,$I57-SUM($L57:AQ57)), MAX(AQ57,$I57-SUM($L57:AQ57)))</f>
        <v>6.8242601493679347</v>
      </c>
      <c r="AS57" s="145"/>
      <c r="AT57" s="145"/>
      <c r="AU57" s="145"/>
      <c r="AV57" s="145"/>
      <c r="AW57" s="145"/>
      <c r="AX57" s="145"/>
      <c r="AY57" s="145"/>
      <c r="AZ57" s="145"/>
      <c r="BA57" s="145"/>
      <c r="BB57" s="145"/>
      <c r="BC57" s="145"/>
      <c r="BD57" s="145"/>
    </row>
    <row r="58" spans="4:63" ht="15" customHeight="1">
      <c r="D58" s="147"/>
      <c r="E58" s="180">
        <v>38807</v>
      </c>
      <c r="G58" s="156" t="s">
        <v>657</v>
      </c>
      <c r="H58" s="149"/>
      <c r="I58" s="145">
        <f t="shared" si="3"/>
        <v>133.16539216595041</v>
      </c>
      <c r="J58" s="31" t="s">
        <v>54</v>
      </c>
      <c r="K58" s="147"/>
      <c r="L58" s="145"/>
      <c r="M58" s="145"/>
      <c r="N58" s="145"/>
      <c r="O58" s="145"/>
      <c r="P58" s="145"/>
      <c r="Q58" s="145"/>
      <c r="R58" s="145"/>
      <c r="S58" s="145"/>
      <c r="T58" s="145"/>
      <c r="U58" s="145"/>
      <c r="V58" s="145"/>
      <c r="W58" s="145"/>
      <c r="X58" s="145"/>
      <c r="Y58" s="145"/>
      <c r="Z58" s="145"/>
      <c r="AA58" s="107">
        <f>$I58/Z$37</f>
        <v>6.6582696082975206</v>
      </c>
      <c r="AB58" s="145">
        <f>IF($I58 &gt;0, MIN(AA58,$I58-SUM($L58:AA58)), MAX(AA58,$I58-SUM($L58:AA58)))</f>
        <v>6.6582696082975206</v>
      </c>
      <c r="AC58" s="145">
        <f>IF($I58 &gt;0, MIN(AB58,$I58-SUM($L58:AB58)), MAX(AB58,$I58-SUM($L58:AB58)))</f>
        <v>6.6582696082975206</v>
      </c>
      <c r="AD58" s="145">
        <f>IF($I58 &gt;0, MIN(AC58,$I58-SUM($L58:AC58)), MAX(AC58,$I58-SUM($L58:AC58)))</f>
        <v>6.6582696082975206</v>
      </c>
      <c r="AE58" s="145">
        <f>IF($I58 &gt;0, MIN(AD58,$I58-SUM($L58:AD58)), MAX(AD58,$I58-SUM($L58:AD58)))</f>
        <v>6.6582696082975206</v>
      </c>
      <c r="AF58" s="145">
        <f>IF($I58 &gt;0, MIN(AE58,$I58-SUM($L58:AE58)), MAX(AE58,$I58-SUM($L58:AE58)))</f>
        <v>6.6582696082975206</v>
      </c>
      <c r="AG58" s="145">
        <f>IF($I58 &gt;0, MIN(AF58,$I58-SUM($L58:AF58)), MAX(AF58,$I58-SUM($L58:AF58)))</f>
        <v>6.6582696082975206</v>
      </c>
      <c r="AH58" s="145">
        <f>IF($I58 &gt;0, MIN(AG58,$I58-SUM($L58:AG58)), MAX(AG58,$I58-SUM($L58:AG58)))</f>
        <v>6.6582696082975206</v>
      </c>
      <c r="AI58" s="145">
        <f>IF($I58 &gt;0, MIN(AH58,$I58-SUM($L58:AH58)), MAX(AH58,$I58-SUM($L58:AH58)))</f>
        <v>6.6582696082975206</v>
      </c>
      <c r="AJ58" s="145">
        <f>IF($I58 &gt;0, MIN(AI58,$I58-SUM($L58:AI58)), MAX(AI58,$I58-SUM($L58:AI58)))</f>
        <v>6.6582696082975206</v>
      </c>
      <c r="AK58" s="145">
        <f>IF($I58 &gt;0, MIN(AJ58,$I58-SUM($L58:AJ58)), MAX(AJ58,$I58-SUM($L58:AJ58)))</f>
        <v>6.6582696082975206</v>
      </c>
      <c r="AL58" s="145">
        <f>IF($I58 &gt;0, MIN(AK58,$I58-SUM($L58:AK58)), MAX(AK58,$I58-SUM($L58:AK58)))</f>
        <v>6.6582696082975206</v>
      </c>
      <c r="AM58" s="145">
        <f>IF($I58 &gt;0, MIN(AL58,$I58-SUM($L58:AL58)), MAX(AL58,$I58-SUM($L58:AL58)))</f>
        <v>6.6582696082975206</v>
      </c>
      <c r="AN58" s="145">
        <f>IF($I58 &gt;0, MIN(AM58,$I58-SUM($L58:AM58)), MAX(AM58,$I58-SUM($L58:AM58)))</f>
        <v>6.6582696082975206</v>
      </c>
      <c r="AO58" s="145">
        <f>IF($I58 &gt;0, MIN(AN58,$I58-SUM($L58:AN58)), MAX(AN58,$I58-SUM($L58:AN58)))</f>
        <v>6.6582696082975206</v>
      </c>
      <c r="AP58" s="145">
        <f>IF($I58 &gt;0, MIN(AO58,$I58-SUM($L58:AO58)), MAX(AO58,$I58-SUM($L58:AO58)))</f>
        <v>6.6582696082975206</v>
      </c>
      <c r="AQ58" s="145">
        <f>IF($I58 &gt;0, MIN(AP58,$I58-SUM($L58:AP58)), MAX(AP58,$I58-SUM($L58:AP58)))</f>
        <v>6.6582696082975206</v>
      </c>
      <c r="AR58" s="145">
        <f>IF($I58 &gt;0, MIN(AQ58,$I58-SUM($L58:AQ58)), MAX(AQ58,$I58-SUM($L58:AQ58)))</f>
        <v>6.6582696082975206</v>
      </c>
      <c r="AS58" s="145"/>
      <c r="AT58" s="145"/>
      <c r="AU58" s="145"/>
      <c r="AV58" s="145"/>
      <c r="AW58" s="145"/>
      <c r="AX58" s="145"/>
      <c r="AY58" s="145"/>
      <c r="AZ58" s="145"/>
      <c r="BA58" s="145"/>
      <c r="BB58" s="145"/>
      <c r="BC58" s="145"/>
      <c r="BD58" s="145"/>
      <c r="BE58" s="145"/>
    </row>
    <row r="59" spans="4:63" ht="15" customHeight="1">
      <c r="D59" s="147"/>
      <c r="E59" s="180">
        <v>39172</v>
      </c>
      <c r="G59" s="156" t="s">
        <v>657</v>
      </c>
      <c r="H59" s="149"/>
      <c r="I59" s="145">
        <f t="shared" si="3"/>
        <v>138.99996854980139</v>
      </c>
      <c r="J59" s="31" t="s">
        <v>54</v>
      </c>
      <c r="K59" s="147"/>
      <c r="L59" s="145"/>
      <c r="M59" s="145"/>
      <c r="N59" s="145"/>
      <c r="O59" s="145"/>
      <c r="P59" s="145"/>
      <c r="Q59" s="145"/>
      <c r="R59" s="145"/>
      <c r="S59" s="145"/>
      <c r="T59" s="145"/>
      <c r="U59" s="145"/>
      <c r="V59" s="145"/>
      <c r="W59" s="145"/>
      <c r="X59" s="145"/>
      <c r="Y59" s="145"/>
      <c r="Z59" s="145"/>
      <c r="AA59" s="145"/>
      <c r="AB59" s="107">
        <f>$I59/AA$37</f>
        <v>6.9499984274900699</v>
      </c>
      <c r="AC59" s="145">
        <f>IF($I59 &gt;0, MIN(AB59,$I59-SUM($L59:AB59)), MAX(AB59,$I59-SUM($L59:AB59)))</f>
        <v>6.9499984274900699</v>
      </c>
      <c r="AD59" s="145">
        <f>IF($I59 &gt;0, MIN(AC59,$I59-SUM($L59:AC59)), MAX(AC59,$I59-SUM($L59:AC59)))</f>
        <v>6.9499984274900699</v>
      </c>
      <c r="AE59" s="145">
        <f>IF($I59 &gt;0, MIN(AD59,$I59-SUM($L59:AD59)), MAX(AD59,$I59-SUM($L59:AD59)))</f>
        <v>6.9499984274900699</v>
      </c>
      <c r="AF59" s="145">
        <f>IF($I59 &gt;0, MIN(AE59,$I59-SUM($L59:AE59)), MAX(AE59,$I59-SUM($L59:AE59)))</f>
        <v>6.9499984274900699</v>
      </c>
      <c r="AG59" s="145">
        <f>IF($I59 &gt;0, MIN(AF59,$I59-SUM($L59:AF59)), MAX(AF59,$I59-SUM($L59:AF59)))</f>
        <v>6.9499984274900699</v>
      </c>
      <c r="AH59" s="145">
        <f>IF($I59 &gt;0, MIN(AG59,$I59-SUM($L59:AG59)), MAX(AG59,$I59-SUM($L59:AG59)))</f>
        <v>6.9499984274900699</v>
      </c>
      <c r="AI59" s="145">
        <f>IF($I59 &gt;0, MIN(AH59,$I59-SUM($L59:AH59)), MAX(AH59,$I59-SUM($L59:AH59)))</f>
        <v>6.9499984274900699</v>
      </c>
      <c r="AJ59" s="145">
        <f>IF($I59 &gt;0, MIN(AI59,$I59-SUM($L59:AI59)), MAX(AI59,$I59-SUM($L59:AI59)))</f>
        <v>6.9499984274900699</v>
      </c>
      <c r="AK59" s="145">
        <f>IF($I59 &gt;0, MIN(AJ59,$I59-SUM($L59:AJ59)), MAX(AJ59,$I59-SUM($L59:AJ59)))</f>
        <v>6.9499984274900699</v>
      </c>
      <c r="AL59" s="145">
        <f>IF($I59 &gt;0, MIN(AK59,$I59-SUM($L59:AK59)), MAX(AK59,$I59-SUM($L59:AK59)))</f>
        <v>6.9499984274900699</v>
      </c>
      <c r="AM59" s="145">
        <f>IF($I59 &gt;0, MIN(AL59,$I59-SUM($L59:AL59)), MAX(AL59,$I59-SUM($L59:AL59)))</f>
        <v>6.9499984274900699</v>
      </c>
      <c r="AN59" s="145">
        <f>IF($I59 &gt;0, MIN(AM59,$I59-SUM($L59:AM59)), MAX(AM59,$I59-SUM($L59:AM59)))</f>
        <v>6.9499984274900699</v>
      </c>
      <c r="AO59" s="145">
        <f>IF($I59 &gt;0, MIN(AN59,$I59-SUM($L59:AN59)), MAX(AN59,$I59-SUM($L59:AN59)))</f>
        <v>6.9499984274900699</v>
      </c>
      <c r="AP59" s="145">
        <f>IF($I59 &gt;0, MIN(AO59,$I59-SUM($L59:AO59)), MAX(AO59,$I59-SUM($L59:AO59)))</f>
        <v>6.9499984274900699</v>
      </c>
      <c r="AQ59" s="145">
        <f>IF($I59 &gt;0, MIN(AP59,$I59-SUM($L59:AP59)), MAX(AP59,$I59-SUM($L59:AP59)))</f>
        <v>6.9499984274900699</v>
      </c>
      <c r="AR59" s="145">
        <f>IF($I59 &gt;0, MIN(AQ59,$I59-SUM($L59:AQ59)), MAX(AQ59,$I59-SUM($L59:AQ59)))</f>
        <v>6.9499984274900699</v>
      </c>
      <c r="AS59" s="145"/>
      <c r="AT59" s="145"/>
      <c r="AU59" s="145"/>
      <c r="AV59" s="145"/>
      <c r="AW59" s="145"/>
      <c r="AX59" s="145"/>
      <c r="AY59" s="145"/>
      <c r="AZ59" s="145"/>
      <c r="BA59" s="145"/>
      <c r="BB59" s="145"/>
      <c r="BC59" s="145"/>
      <c r="BD59" s="145"/>
      <c r="BE59" s="145"/>
      <c r="BF59" s="145"/>
    </row>
    <row r="60" spans="4:63" ht="15" customHeight="1">
      <c r="D60" s="147"/>
      <c r="E60" s="180">
        <v>39538</v>
      </c>
      <c r="G60" s="156" t="s">
        <v>657</v>
      </c>
      <c r="H60" s="149"/>
      <c r="I60" s="145">
        <f t="shared" si="3"/>
        <v>166.44661556524062</v>
      </c>
      <c r="J60" s="31" t="s">
        <v>54</v>
      </c>
      <c r="K60" s="147"/>
      <c r="L60" s="145"/>
      <c r="M60" s="145"/>
      <c r="N60" s="145"/>
      <c r="O60" s="145"/>
      <c r="P60" s="145"/>
      <c r="Q60" s="145"/>
      <c r="R60" s="145"/>
      <c r="S60" s="145"/>
      <c r="T60" s="145"/>
      <c r="U60" s="145"/>
      <c r="V60" s="145"/>
      <c r="W60" s="145"/>
      <c r="X60" s="145"/>
      <c r="Y60" s="145"/>
      <c r="Z60" s="145"/>
      <c r="AA60" s="145"/>
      <c r="AB60" s="145"/>
      <c r="AC60" s="107">
        <f>$I60/AB$37</f>
        <v>8.3223307782620317</v>
      </c>
      <c r="AD60" s="145">
        <f>IF($I60 &gt;0, MIN(AC60,$I60-SUM($L60:AC60)), MAX(AC60,$I60-SUM($L60:AC60)))</f>
        <v>8.3223307782620317</v>
      </c>
      <c r="AE60" s="145">
        <f>IF($I60 &gt;0, MIN(AD60,$I60-SUM($L60:AD60)), MAX(AD60,$I60-SUM($L60:AD60)))</f>
        <v>8.3223307782620317</v>
      </c>
      <c r="AF60" s="145">
        <f>IF($I60 &gt;0, MIN(AE60,$I60-SUM($L60:AE60)), MAX(AE60,$I60-SUM($L60:AE60)))</f>
        <v>8.3223307782620317</v>
      </c>
      <c r="AG60" s="145">
        <f>IF($I60 &gt;0, MIN(AF60,$I60-SUM($L60:AF60)), MAX(AF60,$I60-SUM($L60:AF60)))</f>
        <v>8.3223307782620317</v>
      </c>
      <c r="AH60" s="145">
        <f>IF($I60 &gt;0, MIN(AG60,$I60-SUM($L60:AG60)), MAX(AG60,$I60-SUM($L60:AG60)))</f>
        <v>8.3223307782620317</v>
      </c>
      <c r="AI60" s="145">
        <f>IF($I60 &gt;0, MIN(AH60,$I60-SUM($L60:AH60)), MAX(AH60,$I60-SUM($L60:AH60)))</f>
        <v>8.3223307782620317</v>
      </c>
      <c r="AJ60" s="145">
        <f>IF($I60 &gt;0, MIN(AI60,$I60-SUM($L60:AI60)), MAX(AI60,$I60-SUM($L60:AI60)))</f>
        <v>8.3223307782620317</v>
      </c>
      <c r="AK60" s="145">
        <f>IF($I60 &gt;0, MIN(AJ60,$I60-SUM($L60:AJ60)), MAX(AJ60,$I60-SUM($L60:AJ60)))</f>
        <v>8.3223307782620317</v>
      </c>
      <c r="AL60" s="145">
        <f>IF($I60 &gt;0, MIN(AK60,$I60-SUM($L60:AK60)), MAX(AK60,$I60-SUM($L60:AK60)))</f>
        <v>8.3223307782620317</v>
      </c>
      <c r="AM60" s="145">
        <f>IF($I60 &gt;0, MIN(AL60,$I60-SUM($L60:AL60)), MAX(AL60,$I60-SUM($L60:AL60)))</f>
        <v>8.3223307782620317</v>
      </c>
      <c r="AN60" s="145">
        <f>IF($I60 &gt;0, MIN(AM60,$I60-SUM($L60:AM60)), MAX(AM60,$I60-SUM($L60:AM60)))</f>
        <v>8.3223307782620317</v>
      </c>
      <c r="AO60" s="145">
        <f>IF($I60 &gt;0, MIN(AN60,$I60-SUM($L60:AN60)), MAX(AN60,$I60-SUM($L60:AN60)))</f>
        <v>8.3223307782620317</v>
      </c>
      <c r="AP60" s="145">
        <f>IF($I60 &gt;0, MIN(AO60,$I60-SUM($L60:AO60)), MAX(AO60,$I60-SUM($L60:AO60)))</f>
        <v>8.3223307782620317</v>
      </c>
      <c r="AQ60" s="145">
        <f>IF($I60 &gt;0, MIN(AP60,$I60-SUM($L60:AP60)), MAX(AP60,$I60-SUM($L60:AP60)))</f>
        <v>8.3223307782620317</v>
      </c>
      <c r="AR60" s="145">
        <f>IF($I60 &gt;0, MIN(AQ60,$I60-SUM($L60:AQ60)), MAX(AQ60,$I60-SUM($L60:AQ60)))</f>
        <v>8.3223307782620317</v>
      </c>
      <c r="AS60" s="145"/>
      <c r="AT60" s="145"/>
      <c r="AU60" s="145"/>
      <c r="AV60" s="145"/>
      <c r="AW60" s="145"/>
      <c r="AX60" s="145"/>
      <c r="AY60" s="145"/>
      <c r="AZ60" s="145"/>
      <c r="BA60" s="145"/>
      <c r="BB60" s="145"/>
      <c r="BC60" s="145"/>
      <c r="BD60" s="145"/>
      <c r="BE60" s="145"/>
      <c r="BF60" s="145"/>
      <c r="BG60" s="145"/>
    </row>
    <row r="61" spans="4:63" ht="15" customHeight="1">
      <c r="D61" s="147"/>
      <c r="E61" s="180">
        <v>39903</v>
      </c>
      <c r="G61" s="156" t="s">
        <v>657</v>
      </c>
      <c r="H61" s="149"/>
      <c r="I61" s="145">
        <f t="shared" si="3"/>
        <v>200.72197563436023</v>
      </c>
      <c r="J61" s="31" t="s">
        <v>54</v>
      </c>
      <c r="K61" s="147"/>
      <c r="L61" s="145"/>
      <c r="M61" s="145"/>
      <c r="N61" s="145"/>
      <c r="O61" s="145"/>
      <c r="P61" s="145"/>
      <c r="Q61" s="145"/>
      <c r="R61" s="145"/>
      <c r="S61" s="145"/>
      <c r="T61" s="145"/>
      <c r="U61" s="145"/>
      <c r="V61" s="145"/>
      <c r="W61" s="145"/>
      <c r="X61" s="145"/>
      <c r="Y61" s="145"/>
      <c r="Z61" s="145"/>
      <c r="AA61" s="145"/>
      <c r="AB61" s="145"/>
      <c r="AC61" s="145"/>
      <c r="AD61" s="107">
        <f>$I61/AC$37</f>
        <v>10.036098781718012</v>
      </c>
      <c r="AE61" s="145">
        <f>IF($I61 &gt;0, MIN(AD61,$I61-SUM($L61:AD61)), MAX(AD61,$I61-SUM($L61:AD61)))</f>
        <v>10.036098781718012</v>
      </c>
      <c r="AF61" s="145">
        <f>IF($I61 &gt;0, MIN(AE61,$I61-SUM($L61:AE61)), MAX(AE61,$I61-SUM($L61:AE61)))</f>
        <v>10.036098781718012</v>
      </c>
      <c r="AG61" s="145">
        <f>IF($I61 &gt;0, MIN(AF61,$I61-SUM($L61:AF61)), MAX(AF61,$I61-SUM($L61:AF61)))</f>
        <v>10.036098781718012</v>
      </c>
      <c r="AH61" s="145">
        <f>IF($I61 &gt;0, MIN(AG61,$I61-SUM($L61:AG61)), MAX(AG61,$I61-SUM($L61:AG61)))</f>
        <v>10.036098781718012</v>
      </c>
      <c r="AI61" s="145">
        <f>IF($I61 &gt;0, MIN(AH61,$I61-SUM($L61:AH61)), MAX(AH61,$I61-SUM($L61:AH61)))</f>
        <v>10.036098781718012</v>
      </c>
      <c r="AJ61" s="145">
        <f>IF($I61 &gt;0, MIN(AI61,$I61-SUM($L61:AI61)), MAX(AI61,$I61-SUM($L61:AI61)))</f>
        <v>10.036098781718012</v>
      </c>
      <c r="AK61" s="145">
        <f>IF($I61 &gt;0, MIN(AJ61,$I61-SUM($L61:AJ61)), MAX(AJ61,$I61-SUM($L61:AJ61)))</f>
        <v>10.036098781718012</v>
      </c>
      <c r="AL61" s="145">
        <f>IF($I61 &gt;0, MIN(AK61,$I61-SUM($L61:AK61)), MAX(AK61,$I61-SUM($L61:AK61)))</f>
        <v>10.036098781718012</v>
      </c>
      <c r="AM61" s="145">
        <f>IF($I61 &gt;0, MIN(AL61,$I61-SUM($L61:AL61)), MAX(AL61,$I61-SUM($L61:AL61)))</f>
        <v>10.036098781718012</v>
      </c>
      <c r="AN61" s="145">
        <f>IF($I61 &gt;0, MIN(AM61,$I61-SUM($L61:AM61)), MAX(AM61,$I61-SUM($L61:AM61)))</f>
        <v>10.036098781718012</v>
      </c>
      <c r="AO61" s="145">
        <f>IF($I61 &gt;0, MIN(AN61,$I61-SUM($L61:AN61)), MAX(AN61,$I61-SUM($L61:AN61)))</f>
        <v>10.036098781718012</v>
      </c>
      <c r="AP61" s="145">
        <f>IF($I61 &gt;0, MIN(AO61,$I61-SUM($L61:AO61)), MAX(AO61,$I61-SUM($L61:AO61)))</f>
        <v>10.036098781718012</v>
      </c>
      <c r="AQ61" s="145">
        <f>IF($I61 &gt;0, MIN(AP61,$I61-SUM($L61:AP61)), MAX(AP61,$I61-SUM($L61:AP61)))</f>
        <v>10.036098781718012</v>
      </c>
      <c r="AR61" s="145">
        <f>IF($I61 &gt;0, MIN(AQ61,$I61-SUM($L61:AQ61)), MAX(AQ61,$I61-SUM($L61:AQ61)))</f>
        <v>10.036098781718012</v>
      </c>
      <c r="AS61" s="145"/>
      <c r="AT61" s="145"/>
      <c r="AU61" s="145"/>
      <c r="AV61" s="145"/>
      <c r="AW61" s="145"/>
      <c r="AX61" s="145"/>
      <c r="AY61" s="145"/>
      <c r="AZ61" s="145"/>
      <c r="BA61" s="145"/>
      <c r="BB61" s="145"/>
      <c r="BC61" s="145"/>
      <c r="BD61" s="145"/>
      <c r="BE61" s="145"/>
      <c r="BF61" s="145"/>
      <c r="BG61" s="145"/>
      <c r="BH61" s="145"/>
    </row>
    <row r="62" spans="4:63" ht="15" customHeight="1">
      <c r="D62" s="147"/>
      <c r="E62" s="180">
        <v>40268</v>
      </c>
      <c r="G62" s="156" t="s">
        <v>657</v>
      </c>
      <c r="H62" s="149"/>
      <c r="I62" s="145">
        <f t="shared" si="3"/>
        <v>215.32272941719307</v>
      </c>
      <c r="J62" s="31" t="s">
        <v>54</v>
      </c>
      <c r="K62" s="147"/>
      <c r="L62" s="145"/>
      <c r="M62" s="145"/>
      <c r="N62" s="145"/>
      <c r="O62" s="145"/>
      <c r="P62" s="145"/>
      <c r="Q62" s="145"/>
      <c r="R62" s="145"/>
      <c r="S62" s="145"/>
      <c r="T62" s="145"/>
      <c r="U62" s="145"/>
      <c r="V62" s="145"/>
      <c r="W62" s="145"/>
      <c r="X62" s="145"/>
      <c r="Y62" s="145"/>
      <c r="Z62" s="145"/>
      <c r="AA62" s="145"/>
      <c r="AB62" s="145"/>
      <c r="AC62" s="145"/>
      <c r="AD62" s="145"/>
      <c r="AE62" s="107">
        <f>$I62/AD$37</f>
        <v>10.766136470859653</v>
      </c>
      <c r="AF62" s="145">
        <f>IF($I62 &gt;0, MIN(AE62,$I62-SUM($L62:AE62)), MAX(AE62,$I62-SUM($L62:AE62)))</f>
        <v>10.766136470859653</v>
      </c>
      <c r="AG62" s="145">
        <f>IF($I62 &gt;0, MIN(AF62,$I62-SUM($L62:AF62)), MAX(AF62,$I62-SUM($L62:AF62)))</f>
        <v>10.766136470859653</v>
      </c>
      <c r="AH62" s="145">
        <f>IF($I62 &gt;0, MIN(AG62,$I62-SUM($L62:AG62)), MAX(AG62,$I62-SUM($L62:AG62)))</f>
        <v>10.766136470859653</v>
      </c>
      <c r="AI62" s="145">
        <f>IF($I62 &gt;0, MIN(AH62,$I62-SUM($L62:AH62)), MAX(AH62,$I62-SUM($L62:AH62)))</f>
        <v>10.766136470859653</v>
      </c>
      <c r="AJ62" s="145">
        <f>IF($I62 &gt;0, MIN(AI62,$I62-SUM($L62:AI62)), MAX(AI62,$I62-SUM($L62:AI62)))</f>
        <v>10.766136470859653</v>
      </c>
      <c r="AK62" s="145">
        <f>IF($I62 &gt;0, MIN(AJ62,$I62-SUM($L62:AJ62)), MAX(AJ62,$I62-SUM($L62:AJ62)))</f>
        <v>10.766136470859653</v>
      </c>
      <c r="AL62" s="145">
        <f>IF($I62 &gt;0, MIN(AK62,$I62-SUM($L62:AK62)), MAX(AK62,$I62-SUM($L62:AK62)))</f>
        <v>10.766136470859653</v>
      </c>
      <c r="AM62" s="145">
        <f>IF($I62 &gt;0, MIN(AL62,$I62-SUM($L62:AL62)), MAX(AL62,$I62-SUM($L62:AL62)))</f>
        <v>10.766136470859653</v>
      </c>
      <c r="AN62" s="145">
        <f>IF($I62 &gt;0, MIN(AM62,$I62-SUM($L62:AM62)), MAX(AM62,$I62-SUM($L62:AM62)))</f>
        <v>10.766136470859653</v>
      </c>
      <c r="AO62" s="145">
        <f>IF($I62 &gt;0, MIN(AN62,$I62-SUM($L62:AN62)), MAX(AN62,$I62-SUM($L62:AN62)))</f>
        <v>10.766136470859653</v>
      </c>
      <c r="AP62" s="145">
        <f>IF($I62 &gt;0, MIN(AO62,$I62-SUM($L62:AO62)), MAX(AO62,$I62-SUM($L62:AO62)))</f>
        <v>10.766136470859653</v>
      </c>
      <c r="AQ62" s="145">
        <f>IF($I62 &gt;0, MIN(AP62,$I62-SUM($L62:AP62)), MAX(AP62,$I62-SUM($L62:AP62)))</f>
        <v>10.766136470859653</v>
      </c>
      <c r="AR62" s="145">
        <f>IF($I62 &gt;0, MIN(AQ62,$I62-SUM($L62:AQ62)), MAX(AQ62,$I62-SUM($L62:AQ62)))</f>
        <v>10.766136470859653</v>
      </c>
      <c r="AS62" s="145"/>
      <c r="AT62" s="145"/>
      <c r="AU62" s="145"/>
      <c r="AV62" s="145"/>
      <c r="AW62" s="145"/>
      <c r="AX62" s="145"/>
      <c r="AY62" s="145"/>
      <c r="AZ62" s="145"/>
      <c r="BA62" s="145"/>
      <c r="BB62" s="145"/>
      <c r="BC62" s="145"/>
      <c r="BD62" s="145"/>
      <c r="BE62" s="145"/>
      <c r="BF62" s="145"/>
      <c r="BG62" s="145"/>
      <c r="BH62" s="145"/>
      <c r="BI62" s="145"/>
    </row>
    <row r="63" spans="4:63" ht="15" customHeight="1">
      <c r="D63" s="147"/>
      <c r="E63" s="180">
        <v>40633</v>
      </c>
      <c r="G63" s="156" t="s">
        <v>657</v>
      </c>
      <c r="H63" s="149"/>
      <c r="I63" s="145">
        <f t="shared" si="3"/>
        <v>168.84150388749299</v>
      </c>
      <c r="J63" s="31" t="s">
        <v>54</v>
      </c>
      <c r="K63" s="147"/>
      <c r="L63" s="145"/>
      <c r="M63" s="145"/>
      <c r="N63" s="145"/>
      <c r="O63" s="145"/>
      <c r="P63" s="145"/>
      <c r="Q63" s="145"/>
      <c r="R63" s="145"/>
      <c r="S63" s="145"/>
      <c r="T63" s="145"/>
      <c r="U63" s="145"/>
      <c r="V63" s="145"/>
      <c r="W63" s="145"/>
      <c r="X63" s="145"/>
      <c r="Y63" s="145"/>
      <c r="Z63" s="145"/>
      <c r="AA63" s="145"/>
      <c r="AB63" s="145"/>
      <c r="AC63" s="145"/>
      <c r="AD63" s="145"/>
      <c r="AE63" s="145"/>
      <c r="AF63" s="107">
        <f>$I63/AE$37</f>
        <v>8.4420751943746488</v>
      </c>
      <c r="AG63" s="145">
        <f>IF($I63 &gt;0, MIN(AF63,$I63-SUM($L63:AF63)), MAX(AF63,$I63-SUM($L63:AF63)))</f>
        <v>8.4420751943746488</v>
      </c>
      <c r="AH63" s="145">
        <f>IF($I63 &gt;0, MIN(AG63,$I63-SUM($L63:AG63)), MAX(AG63,$I63-SUM($L63:AG63)))</f>
        <v>8.4420751943746488</v>
      </c>
      <c r="AI63" s="145">
        <f>IF($I63 &gt;0, MIN(AH63,$I63-SUM($L63:AH63)), MAX(AH63,$I63-SUM($L63:AH63)))</f>
        <v>8.4420751943746488</v>
      </c>
      <c r="AJ63" s="145">
        <f>IF($I63 &gt;0, MIN(AI63,$I63-SUM($L63:AI63)), MAX(AI63,$I63-SUM($L63:AI63)))</f>
        <v>8.4420751943746488</v>
      </c>
      <c r="AK63" s="145">
        <f>IF($I63 &gt;0, MIN(AJ63,$I63-SUM($L63:AJ63)), MAX(AJ63,$I63-SUM($L63:AJ63)))</f>
        <v>8.4420751943746488</v>
      </c>
      <c r="AL63" s="145">
        <f>IF($I63 &gt;0, MIN(AK63,$I63-SUM($L63:AK63)), MAX(AK63,$I63-SUM($L63:AK63)))</f>
        <v>8.4420751943746488</v>
      </c>
      <c r="AM63" s="145">
        <f>IF($I63 &gt;0, MIN(AL63,$I63-SUM($L63:AL63)), MAX(AL63,$I63-SUM($L63:AL63)))</f>
        <v>8.4420751943746488</v>
      </c>
      <c r="AN63" s="145">
        <f>IF($I63 &gt;0, MIN(AM63,$I63-SUM($L63:AM63)), MAX(AM63,$I63-SUM($L63:AM63)))</f>
        <v>8.4420751943746488</v>
      </c>
      <c r="AO63" s="145">
        <f>IF($I63 &gt;0, MIN(AN63,$I63-SUM($L63:AN63)), MAX(AN63,$I63-SUM($L63:AN63)))</f>
        <v>8.4420751943746488</v>
      </c>
      <c r="AP63" s="145">
        <f>IF($I63 &gt;0, MIN(AO63,$I63-SUM($L63:AO63)), MAX(AO63,$I63-SUM($L63:AO63)))</f>
        <v>8.4420751943746488</v>
      </c>
      <c r="AQ63" s="145">
        <f>IF($I63 &gt;0, MIN(AP63,$I63-SUM($L63:AP63)), MAX(AP63,$I63-SUM($L63:AP63)))</f>
        <v>8.4420751943746488</v>
      </c>
      <c r="AR63" s="145">
        <f>IF($I63 &gt;0, MIN(AQ63,$I63-SUM($L63:AQ63)), MAX(AQ63,$I63-SUM($L63:AQ63)))</f>
        <v>8.4420751943746488</v>
      </c>
      <c r="AS63" s="145"/>
      <c r="AT63" s="145"/>
      <c r="AU63" s="145"/>
      <c r="AV63" s="145"/>
      <c r="AW63" s="145"/>
      <c r="AX63" s="145"/>
      <c r="AY63" s="145"/>
      <c r="AZ63" s="145"/>
      <c r="BA63" s="145"/>
      <c r="BB63" s="145"/>
      <c r="BC63" s="145"/>
      <c r="BD63" s="145"/>
      <c r="BE63" s="145"/>
      <c r="BF63" s="145"/>
      <c r="BG63" s="145"/>
      <c r="BH63" s="145"/>
      <c r="BI63" s="145"/>
      <c r="BJ63" s="145"/>
    </row>
    <row r="64" spans="4:63" ht="15" customHeight="1">
      <c r="D64" s="147"/>
      <c r="E64" s="180">
        <v>40999</v>
      </c>
      <c r="G64" s="156" t="s">
        <v>657</v>
      </c>
      <c r="H64" s="149"/>
      <c r="I64" s="145">
        <f t="shared" si="3"/>
        <v>190.27311408313142</v>
      </c>
      <c r="J64" s="31" t="s">
        <v>54</v>
      </c>
      <c r="K64" s="147"/>
      <c r="L64" s="145"/>
      <c r="M64" s="145"/>
      <c r="N64" s="145"/>
      <c r="O64" s="145"/>
      <c r="P64" s="145"/>
      <c r="Q64" s="145"/>
      <c r="R64" s="145"/>
      <c r="S64" s="145"/>
      <c r="T64" s="145"/>
      <c r="U64" s="145"/>
      <c r="V64" s="145"/>
      <c r="W64" s="145"/>
      <c r="X64" s="145"/>
      <c r="Y64" s="145"/>
      <c r="Z64" s="145"/>
      <c r="AA64" s="145"/>
      <c r="AB64" s="145"/>
      <c r="AC64" s="145"/>
      <c r="AD64" s="145"/>
      <c r="AE64" s="145"/>
      <c r="AF64" s="145"/>
      <c r="AG64" s="107">
        <f>$I64/AF$37</f>
        <v>9.5136557041565712</v>
      </c>
      <c r="AH64" s="145">
        <f>IF($I64 &gt;0, MIN(AG64,$I64-SUM($L64:AG64)), MAX(AG64,$I64-SUM($L64:AG64)))</f>
        <v>9.5136557041565712</v>
      </c>
      <c r="AI64" s="145">
        <f>IF($I64 &gt;0, MIN(AH64,$I64-SUM($L64:AH64)), MAX(AH64,$I64-SUM($L64:AH64)))</f>
        <v>9.5136557041565712</v>
      </c>
      <c r="AJ64" s="145">
        <f>IF($I64 &gt;0, MIN(AI64,$I64-SUM($L64:AI64)), MAX(AI64,$I64-SUM($L64:AI64)))</f>
        <v>9.5136557041565712</v>
      </c>
      <c r="AK64" s="145">
        <f>IF($I64 &gt;0, MIN(AJ64,$I64-SUM($L64:AJ64)), MAX(AJ64,$I64-SUM($L64:AJ64)))</f>
        <v>9.5136557041565712</v>
      </c>
      <c r="AL64" s="145">
        <f>IF($I64 &gt;0, MIN(AK64,$I64-SUM($L64:AK64)), MAX(AK64,$I64-SUM($L64:AK64)))</f>
        <v>9.5136557041565712</v>
      </c>
      <c r="AM64" s="145">
        <f>IF($I64 &gt;0, MIN(AL64,$I64-SUM($L64:AL64)), MAX(AL64,$I64-SUM($L64:AL64)))</f>
        <v>9.5136557041565712</v>
      </c>
      <c r="AN64" s="145">
        <f>IF($I64 &gt;0, MIN(AM64,$I64-SUM($L64:AM64)), MAX(AM64,$I64-SUM($L64:AM64)))</f>
        <v>9.5136557041565712</v>
      </c>
      <c r="AO64" s="145">
        <f>IF($I64 &gt;0, MIN(AN64,$I64-SUM($L64:AN64)), MAX(AN64,$I64-SUM($L64:AN64)))</f>
        <v>9.5136557041565712</v>
      </c>
      <c r="AP64" s="145">
        <f>IF($I64 &gt;0, MIN(AO64,$I64-SUM($L64:AO64)), MAX(AO64,$I64-SUM($L64:AO64)))</f>
        <v>9.5136557041565712</v>
      </c>
      <c r="AQ64" s="145">
        <f>IF($I64 &gt;0, MIN(AP64,$I64-SUM($L64:AP64)), MAX(AP64,$I64-SUM($L64:AP64)))</f>
        <v>9.5136557041565712</v>
      </c>
      <c r="AR64" s="145">
        <f>IF($I64 &gt;0, MIN(AQ64,$I64-SUM($L64:AQ64)), MAX(AQ64,$I64-SUM($L64:AQ64)))</f>
        <v>9.5136557041565712</v>
      </c>
      <c r="AS64" s="145"/>
      <c r="AT64" s="145"/>
      <c r="AU64" s="145"/>
      <c r="AV64" s="145"/>
      <c r="AW64" s="145"/>
      <c r="AX64" s="145"/>
      <c r="AY64" s="145"/>
      <c r="AZ64" s="145"/>
      <c r="BA64" s="145"/>
      <c r="BB64" s="145"/>
      <c r="BC64" s="145"/>
      <c r="BD64" s="145"/>
      <c r="BE64" s="145"/>
      <c r="BF64" s="145"/>
      <c r="BG64" s="145"/>
      <c r="BH64" s="145"/>
      <c r="BI64" s="145"/>
      <c r="BJ64" s="145"/>
      <c r="BK64" s="145"/>
    </row>
    <row r="65" spans="2:73" ht="15" customHeight="1">
      <c r="D65" s="147"/>
      <c r="E65" s="180">
        <v>41364</v>
      </c>
      <c r="G65" s="156" t="s">
        <v>657</v>
      </c>
      <c r="H65" s="149"/>
      <c r="I65" s="145">
        <f t="shared" si="3"/>
        <v>215.06223577807756</v>
      </c>
      <c r="J65" s="31"/>
      <c r="K65" s="147"/>
      <c r="L65" s="145"/>
      <c r="M65" s="145"/>
      <c r="N65" s="145"/>
      <c r="O65" s="145"/>
      <c r="P65" s="145"/>
      <c r="Q65" s="145"/>
      <c r="R65" s="145"/>
      <c r="S65" s="145"/>
      <c r="T65" s="145"/>
      <c r="U65" s="145"/>
      <c r="V65" s="145"/>
      <c r="W65" s="145"/>
      <c r="X65" s="145"/>
      <c r="Y65" s="145"/>
      <c r="Z65" s="145"/>
      <c r="AA65" s="145"/>
      <c r="AB65" s="145"/>
      <c r="AC65" s="145"/>
      <c r="AD65" s="145"/>
      <c r="AE65" s="145"/>
      <c r="AF65" s="145"/>
      <c r="AG65" s="145"/>
      <c r="AH65" s="107">
        <f>$I65/AG$37</f>
        <v>10.753111788903878</v>
      </c>
      <c r="AI65" s="145">
        <f>IF($I65 &gt;0, MIN(AH65,$I65-SUM($L65:AH65)), MAX(AH65,$I65-SUM($L65:AH65)))</f>
        <v>10.753111788903878</v>
      </c>
      <c r="AJ65" s="145">
        <f>IF($I65 &gt;0, MIN(AI65,$I65-SUM($L65:AI65)), MAX(AI65,$I65-SUM($L65:AI65)))</f>
        <v>10.753111788903878</v>
      </c>
      <c r="AK65" s="145">
        <f>IF($I65 &gt;0, MIN(AJ65,$I65-SUM($L65:AJ65)), MAX(AJ65,$I65-SUM($L65:AJ65)))</f>
        <v>10.753111788903878</v>
      </c>
      <c r="AL65" s="145">
        <f>IF($I65 &gt;0, MIN(AK65,$I65-SUM($L65:AK65)), MAX(AK65,$I65-SUM($L65:AK65)))</f>
        <v>10.753111788903878</v>
      </c>
      <c r="AM65" s="145">
        <f>IF($I65 &gt;0, MIN(AL65,$I65-SUM($L65:AL65)), MAX(AL65,$I65-SUM($L65:AL65)))</f>
        <v>10.753111788903878</v>
      </c>
      <c r="AN65" s="145">
        <f>IF($I65 &gt;0, MIN(AM65,$I65-SUM($L65:AM65)), MAX(AM65,$I65-SUM($L65:AM65)))</f>
        <v>10.753111788903878</v>
      </c>
      <c r="AO65" s="145">
        <f>IF($I65 &gt;0, MIN(AN65,$I65-SUM($L65:AN65)), MAX(AN65,$I65-SUM($L65:AN65)))</f>
        <v>10.753111788903878</v>
      </c>
      <c r="AP65" s="145">
        <f>IF($I65 &gt;0, MIN(AO65,$I65-SUM($L65:AO65)), MAX(AO65,$I65-SUM($L65:AO65)))</f>
        <v>10.753111788903878</v>
      </c>
      <c r="AQ65" s="145">
        <f>IF($I65 &gt;0, MIN(AP65,$I65-SUM($L65:AP65)), MAX(AP65,$I65-SUM($L65:AP65)))</f>
        <v>10.753111788903878</v>
      </c>
      <c r="AR65" s="145">
        <f>IF($I65 &gt;0, MIN(AQ65,$I65-SUM($L65:AQ65)), MAX(AQ65,$I65-SUM($L65:AQ65)))</f>
        <v>10.753111788903878</v>
      </c>
      <c r="AS65" s="145"/>
      <c r="AT65" s="145"/>
      <c r="AU65" s="145"/>
      <c r="AV65" s="145"/>
      <c r="AW65" s="145"/>
      <c r="AX65" s="145"/>
      <c r="AY65" s="145"/>
      <c r="AZ65" s="145"/>
      <c r="BA65" s="145"/>
      <c r="BB65" s="145"/>
      <c r="BC65" s="145"/>
      <c r="BD65" s="145"/>
      <c r="BE65" s="145"/>
      <c r="BF65" s="145"/>
      <c r="BG65" s="145"/>
      <c r="BH65" s="145"/>
      <c r="BI65" s="145"/>
      <c r="BJ65" s="145"/>
      <c r="BK65" s="145"/>
      <c r="BL65" s="145"/>
    </row>
    <row r="66" spans="2:73" ht="15" customHeight="1">
      <c r="D66" s="147"/>
      <c r="E66" s="180">
        <v>41729</v>
      </c>
      <c r="G66" s="156" t="s">
        <v>657</v>
      </c>
      <c r="H66" s="149"/>
      <c r="I66" s="145">
        <f t="shared" si="3"/>
        <v>241.2930578422361</v>
      </c>
      <c r="J66" s="31"/>
      <c r="K66" s="147"/>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07">
        <f>$I66/AH$37</f>
        <v>12.064652892111805</v>
      </c>
      <c r="AJ66" s="145">
        <f>IF($I66 &gt;0, MIN(AI66,$I66-SUM($L66:AI66)), MAX(AI66,$I66-SUM($L66:AI66)))</f>
        <v>12.064652892111805</v>
      </c>
      <c r="AK66" s="145">
        <f>IF($I66 &gt;0, MIN(AJ66,$I66-SUM($L66:AJ66)), MAX(AJ66,$I66-SUM($L66:AJ66)))</f>
        <v>12.064652892111805</v>
      </c>
      <c r="AL66" s="145">
        <f>IF($I66 &gt;0, MIN(AK66,$I66-SUM($L66:AK66)), MAX(AK66,$I66-SUM($L66:AK66)))</f>
        <v>12.064652892111805</v>
      </c>
      <c r="AM66" s="145">
        <f>IF($I66 &gt;0, MIN(AL66,$I66-SUM($L66:AL66)), MAX(AL66,$I66-SUM($L66:AL66)))</f>
        <v>12.064652892111805</v>
      </c>
      <c r="AN66" s="145">
        <f>IF($I66 &gt;0, MIN(AM66,$I66-SUM($L66:AM66)), MAX(AM66,$I66-SUM($L66:AM66)))</f>
        <v>12.064652892111805</v>
      </c>
      <c r="AO66" s="145">
        <f>IF($I66 &gt;0, MIN(AN66,$I66-SUM($L66:AN66)), MAX(AN66,$I66-SUM($L66:AN66)))</f>
        <v>12.064652892111805</v>
      </c>
      <c r="AP66" s="145">
        <f>IF($I66 &gt;0, MIN(AO66,$I66-SUM($L66:AO66)), MAX(AO66,$I66-SUM($L66:AO66)))</f>
        <v>12.064652892111805</v>
      </c>
      <c r="AQ66" s="145">
        <f>IF($I66 &gt;0, MIN(AP66,$I66-SUM($L66:AP66)), MAX(AP66,$I66-SUM($L66:AP66)))</f>
        <v>12.064652892111805</v>
      </c>
      <c r="AR66" s="145">
        <f>IF($I66 &gt;0, MIN(AQ66,$I66-SUM($L66:AQ66)), MAX(AQ66,$I66-SUM($L66:AQ66)))</f>
        <v>12.064652892111805</v>
      </c>
      <c r="AS66" s="145"/>
      <c r="AT66" s="145"/>
      <c r="AU66" s="145"/>
      <c r="AV66" s="145"/>
      <c r="AW66" s="145"/>
      <c r="AX66" s="145"/>
      <c r="AY66" s="145"/>
      <c r="AZ66" s="145"/>
      <c r="BA66" s="145"/>
      <c r="BB66" s="145"/>
      <c r="BC66" s="145"/>
      <c r="BD66" s="145"/>
      <c r="BE66" s="145"/>
      <c r="BF66" s="145"/>
      <c r="BG66" s="145"/>
      <c r="BH66" s="145"/>
      <c r="BI66" s="145"/>
      <c r="BJ66" s="145"/>
      <c r="BK66" s="145"/>
      <c r="BL66" s="145"/>
      <c r="BM66" s="145"/>
    </row>
    <row r="67" spans="2:73" ht="15" customHeight="1">
      <c r="D67" s="147"/>
      <c r="E67" s="180">
        <v>42094</v>
      </c>
      <c r="G67" s="156" t="s">
        <v>657</v>
      </c>
      <c r="H67" s="149"/>
      <c r="I67" s="145">
        <f t="shared" si="3"/>
        <v>252.92877731841884</v>
      </c>
      <c r="J67" s="31"/>
      <c r="K67" s="147"/>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07">
        <f>$I67/AI$37</f>
        <v>12.646438865920942</v>
      </c>
      <c r="AK67" s="145">
        <f>IF($I67 &gt;0, MIN(AJ67,$I67-SUM($L67:AJ67)), MAX(AJ67,$I67-SUM($L67:AJ67)))</f>
        <v>12.646438865920942</v>
      </c>
      <c r="AL67" s="145">
        <f>IF($I67 &gt;0, MIN(AK67,$I67-SUM($L67:AK67)), MAX(AK67,$I67-SUM($L67:AK67)))</f>
        <v>12.646438865920942</v>
      </c>
      <c r="AM67" s="145">
        <f>IF($I67 &gt;0, MIN(AL67,$I67-SUM($L67:AL67)), MAX(AL67,$I67-SUM($L67:AL67)))</f>
        <v>12.646438865920942</v>
      </c>
      <c r="AN67" s="145">
        <f>IF($I67 &gt;0, MIN(AM67,$I67-SUM($L67:AM67)), MAX(AM67,$I67-SUM($L67:AM67)))</f>
        <v>12.646438865920942</v>
      </c>
      <c r="AO67" s="145">
        <f>IF($I67 &gt;0, MIN(AN67,$I67-SUM($L67:AN67)), MAX(AN67,$I67-SUM($L67:AN67)))</f>
        <v>12.646438865920942</v>
      </c>
      <c r="AP67" s="145">
        <f>IF($I67 &gt;0, MIN(AO67,$I67-SUM($L67:AO67)), MAX(AO67,$I67-SUM($L67:AO67)))</f>
        <v>12.646438865920942</v>
      </c>
      <c r="AQ67" s="145">
        <f>IF($I67 &gt;0, MIN(AP67,$I67-SUM($L67:AP67)), MAX(AP67,$I67-SUM($L67:AP67)))</f>
        <v>12.646438865920942</v>
      </c>
      <c r="AR67" s="145">
        <f>IF($I67 &gt;0, MIN(AQ67,$I67-SUM($L67:AQ67)), MAX(AQ67,$I67-SUM($L67:AQ67)))</f>
        <v>12.646438865920942</v>
      </c>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row>
    <row r="68" spans="2:73" ht="15" customHeight="1">
      <c r="D68" s="147"/>
      <c r="E68" s="180">
        <v>42460</v>
      </c>
      <c r="G68" s="156" t="s">
        <v>657</v>
      </c>
      <c r="H68" s="149"/>
      <c r="I68" s="145">
        <f t="shared" si="3"/>
        <v>214.30283536876493</v>
      </c>
      <c r="J68" s="31"/>
      <c r="K68" s="147"/>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45"/>
      <c r="AJ68" s="145"/>
      <c r="AK68" s="107">
        <f>$I68/AJ$37</f>
        <v>9.2671496375682132</v>
      </c>
      <c r="AL68" s="145">
        <f>IF($I68 &gt;0, MIN(AK68,$I68-SUM($L68:AK68)), MAX(AK68,$I68-SUM($L68:AK68)))</f>
        <v>9.2671496375682132</v>
      </c>
      <c r="AM68" s="145">
        <f>IF($I68 &gt;0, MIN(AL68,$I68-SUM($L68:AL68)), MAX(AL68,$I68-SUM($L68:AL68)))</f>
        <v>9.2671496375682132</v>
      </c>
      <c r="AN68" s="145">
        <f>IF($I68 &gt;0, MIN(AM68,$I68-SUM($L68:AM68)), MAX(AM68,$I68-SUM($L68:AM68)))</f>
        <v>9.2671496375682132</v>
      </c>
      <c r="AO68" s="145">
        <f>IF($I68 &gt;0, MIN(AN68,$I68-SUM($L68:AN68)), MAX(AN68,$I68-SUM($L68:AN68)))</f>
        <v>9.2671496375682132</v>
      </c>
      <c r="AP68" s="145">
        <f>IF($I68 &gt;0, MIN(AO68,$I68-SUM($L68:AO68)), MAX(AO68,$I68-SUM($L68:AO68)))</f>
        <v>9.2671496375682132</v>
      </c>
      <c r="AQ68" s="145">
        <f>IF($I68 &gt;0, MIN(AP68,$I68-SUM($L68:AP68)), MAX(AP68,$I68-SUM($L68:AP68)))</f>
        <v>9.2671496375682132</v>
      </c>
      <c r="AR68" s="145">
        <f>IF($I68 &gt;0, MIN(AQ68,$I68-SUM($L68:AQ68)), MAX(AQ68,$I68-SUM($L68:AQ68)))</f>
        <v>9.2671496375682132</v>
      </c>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row>
    <row r="69" spans="2:73" ht="15" customHeight="1">
      <c r="D69" s="147"/>
      <c r="E69" s="180">
        <v>42825</v>
      </c>
      <c r="G69" s="156" t="s">
        <v>657</v>
      </c>
      <c r="H69" s="149"/>
      <c r="I69" s="145">
        <f t="shared" si="3"/>
        <v>218.74958717835483</v>
      </c>
      <c r="J69" s="31"/>
      <c r="K69" s="147"/>
      <c r="L69" s="145"/>
      <c r="M69" s="145"/>
      <c r="N69" s="145"/>
      <c r="O69" s="145"/>
      <c r="P69" s="145"/>
      <c r="Q69" s="145"/>
      <c r="R69" s="145"/>
      <c r="S69" s="145"/>
      <c r="T69" s="145"/>
      <c r="U69" s="145"/>
      <c r="V69" s="145"/>
      <c r="W69" s="145"/>
      <c r="X69" s="145"/>
      <c r="Y69" s="145"/>
      <c r="Z69" s="145"/>
      <c r="AA69" s="145"/>
      <c r="AB69" s="145"/>
      <c r="AC69" s="145"/>
      <c r="AD69" s="145"/>
      <c r="AE69" s="145"/>
      <c r="AF69" s="145"/>
      <c r="AG69" s="145"/>
      <c r="AH69" s="145"/>
      <c r="AI69" s="145"/>
      <c r="AJ69" s="145"/>
      <c r="AK69" s="145"/>
      <c r="AL69" s="107">
        <f>$I69/AK$37</f>
        <v>8.3333176067944699</v>
      </c>
      <c r="AM69" s="145">
        <f>IF($I69 &gt;0, MIN(AL69,$I69-SUM($L69:AL69)), MAX(AL69,$I69-SUM($L69:AL69)))</f>
        <v>8.3333176067944699</v>
      </c>
      <c r="AN69" s="145">
        <f>IF($I69 &gt;0, MIN(AM69,$I69-SUM($L69:AM69)), MAX(AM69,$I69-SUM($L69:AM69)))</f>
        <v>8.3333176067944699</v>
      </c>
      <c r="AO69" s="145">
        <f>IF($I69 &gt;0, MIN(AN69,$I69-SUM($L69:AN69)), MAX(AN69,$I69-SUM($L69:AN69)))</f>
        <v>8.3333176067944699</v>
      </c>
      <c r="AP69" s="145">
        <f>IF($I69 &gt;0, MIN(AO69,$I69-SUM($L69:AO69)), MAX(AO69,$I69-SUM($L69:AO69)))</f>
        <v>8.3333176067944699</v>
      </c>
      <c r="AQ69" s="145">
        <f>IF($I69 &gt;0, MIN(AP69,$I69-SUM($L69:AP69)), MAX(AP69,$I69-SUM($L69:AP69)))</f>
        <v>8.3333176067944699</v>
      </c>
      <c r="AR69" s="145">
        <f>IF($I69 &gt;0, MIN(AQ69,$I69-SUM($L69:AQ69)), MAX(AQ69,$I69-SUM($L69:AQ69)))</f>
        <v>8.3333176067944699</v>
      </c>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row>
    <row r="70" spans="2:73" ht="15" customHeight="1">
      <c r="D70" s="147"/>
      <c r="E70" s="180">
        <v>43190</v>
      </c>
      <c r="G70" s="156" t="s">
        <v>657</v>
      </c>
      <c r="H70" s="149"/>
      <c r="I70" s="145">
        <f t="shared" si="3"/>
        <v>213.07955677040144</v>
      </c>
      <c r="J70" s="31"/>
      <c r="K70" s="147"/>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07">
        <f>$I70/AL$37</f>
        <v>7.2537721453753683</v>
      </c>
      <c r="AN70" s="145">
        <f>IF($I70 &gt;0, MIN(AM70,$I70-SUM($L70:AM70)), MAX(AM70,$I70-SUM($L70:AM70)))</f>
        <v>7.2537721453753683</v>
      </c>
      <c r="AO70" s="145">
        <f>IF($I70 &gt;0, MIN(AN70,$I70-SUM($L70:AN70)), MAX(AN70,$I70-SUM($L70:AN70)))</f>
        <v>7.2537721453753683</v>
      </c>
      <c r="AP70" s="145">
        <f>IF($I70 &gt;0, MIN(AO70,$I70-SUM($L70:AO70)), MAX(AO70,$I70-SUM($L70:AO70)))</f>
        <v>7.2537721453753683</v>
      </c>
      <c r="AQ70" s="145">
        <f>IF($I70 &gt;0, MIN(AP70,$I70-SUM($L70:AP70)), MAX(AP70,$I70-SUM($L70:AP70)))</f>
        <v>7.2537721453753683</v>
      </c>
      <c r="AR70" s="145">
        <f>IF($I70 &gt;0, MIN(AQ70,$I70-SUM($L70:AQ70)), MAX(AQ70,$I70-SUM($L70:AQ70)))</f>
        <v>7.2537721453753683</v>
      </c>
      <c r="AS70" s="145"/>
      <c r="AT70" s="145"/>
      <c r="AU70" s="145"/>
      <c r="AV70" s="145"/>
      <c r="AW70" s="145"/>
      <c r="AX70" s="145"/>
      <c r="AY70" s="145"/>
      <c r="AZ70" s="145"/>
      <c r="BA70" s="145"/>
      <c r="BB70" s="145"/>
      <c r="BC70" s="145"/>
      <c r="BD70" s="145"/>
      <c r="BE70" s="145"/>
      <c r="BF70" s="145"/>
      <c r="BG70" s="145"/>
      <c r="BH70" s="145"/>
      <c r="BI70" s="145"/>
      <c r="BJ70" s="145"/>
      <c r="BK70" s="145"/>
      <c r="BL70" s="145"/>
      <c r="BM70" s="145"/>
      <c r="BN70" s="145"/>
      <c r="BO70" s="145"/>
      <c r="BP70" s="145"/>
      <c r="BQ70" s="145"/>
    </row>
    <row r="71" spans="2:73" ht="15" customHeight="1">
      <c r="D71" s="147"/>
      <c r="E71" s="180">
        <v>43555</v>
      </c>
      <c r="G71" s="156" t="s">
        <v>657</v>
      </c>
      <c r="H71" s="149"/>
      <c r="I71" s="145">
        <f t="shared" si="3"/>
        <v>212.77598368354523</v>
      </c>
      <c r="J71" s="31"/>
      <c r="K71" s="147"/>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07">
        <f>$I71/AM$37</f>
        <v>6.5469533441090846</v>
      </c>
      <c r="AO71" s="145">
        <f>IF($I71 &gt;0, MIN(AN71,$I71-SUM($L71:AN71)), MAX(AN71,$I71-SUM($L71:AN71)))</f>
        <v>6.5469533441090846</v>
      </c>
      <c r="AP71" s="145">
        <f>IF($I71 &gt;0, MIN(AO71,$I71-SUM($L71:AO71)), MAX(AO71,$I71-SUM($L71:AO71)))</f>
        <v>6.5469533441090846</v>
      </c>
      <c r="AQ71" s="145">
        <f>IF($I71 &gt;0, MIN(AP71,$I71-SUM($L71:AP71)), MAX(AP71,$I71-SUM($L71:AP71)))</f>
        <v>6.5469533441090846</v>
      </c>
      <c r="AR71" s="145">
        <f>IF($I71 &gt;0, MIN(AQ71,$I71-SUM($L71:AQ71)), MAX(AQ71,$I71-SUM($L71:AQ71)))</f>
        <v>6.5469533441090846</v>
      </c>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2:73" ht="15" customHeight="1">
      <c r="D72" s="147"/>
      <c r="E72" s="180">
        <v>43921</v>
      </c>
      <c r="G72" s="156" t="s">
        <v>657</v>
      </c>
      <c r="H72" s="149"/>
      <c r="I72" s="145">
        <f t="shared" si="3"/>
        <v>191.35412942848416</v>
      </c>
      <c r="J72" s="31"/>
      <c r="K72" s="147"/>
      <c r="L72" s="145"/>
      <c r="M72" s="145"/>
      <c r="N72" s="145"/>
      <c r="O72" s="145"/>
      <c r="P72" s="145"/>
      <c r="Q72" s="145"/>
      <c r="R72" s="145"/>
      <c r="S72" s="145"/>
      <c r="T72" s="145"/>
      <c r="U72" s="145"/>
      <c r="V72" s="145"/>
      <c r="W72" s="145"/>
      <c r="X72" s="145"/>
      <c r="Y72" s="145"/>
      <c r="Z72" s="145"/>
      <c r="AA72" s="145"/>
      <c r="AB72" s="145"/>
      <c r="AC72" s="145"/>
      <c r="AD72" s="145"/>
      <c r="AE72" s="145"/>
      <c r="AF72" s="145"/>
      <c r="AG72" s="145"/>
      <c r="AH72" s="145"/>
      <c r="AI72" s="145"/>
      <c r="AJ72" s="145"/>
      <c r="AK72" s="145"/>
      <c r="AL72" s="145"/>
      <c r="AM72" s="145"/>
      <c r="AN72" s="145"/>
      <c r="AO72" s="107">
        <f>$I72/AN$37</f>
        <v>5.3713439839574502</v>
      </c>
      <c r="AP72" s="145">
        <f>IF($I72 &gt;0, MIN(AO72,$I72-SUM($L72:AO72)), MAX(AO72,$I72-SUM($L72:AO72)))</f>
        <v>5.3713439839574502</v>
      </c>
      <c r="AQ72" s="145">
        <f>IF($I72 &gt;0, MIN(AP72,$I72-SUM($L72:AP72)), MAX(AP72,$I72-SUM($L72:AP72)))</f>
        <v>5.3713439839574502</v>
      </c>
      <c r="AR72" s="145">
        <f>IF($I72 &gt;0, MIN(AQ72,$I72-SUM($L72:AQ72)), MAX(AQ72,$I72-SUM($L72:AQ72)))</f>
        <v>5.3713439839574502</v>
      </c>
      <c r="AS72" s="145"/>
      <c r="AT72" s="145"/>
      <c r="AU72" s="145"/>
      <c r="AV72" s="145"/>
      <c r="AW72" s="145"/>
      <c r="AX72" s="145"/>
      <c r="AY72" s="145"/>
      <c r="AZ72" s="145"/>
      <c r="BA72" s="145"/>
      <c r="BB72" s="145"/>
      <c r="BC72" s="145"/>
      <c r="BD72" s="145"/>
      <c r="BE72" s="145"/>
      <c r="BF72" s="145"/>
      <c r="BG72" s="145"/>
      <c r="BH72" s="145"/>
      <c r="BI72" s="145"/>
      <c r="BJ72" s="145"/>
      <c r="BK72" s="145"/>
      <c r="BL72" s="145"/>
      <c r="BM72" s="145"/>
      <c r="BN72" s="145"/>
      <c r="BO72" s="145"/>
      <c r="BP72" s="145"/>
      <c r="BQ72" s="145"/>
      <c r="BR72" s="145"/>
      <c r="BS72" s="145"/>
    </row>
    <row r="73" spans="2:73" ht="15" customHeight="1">
      <c r="D73" s="147"/>
      <c r="E73" s="180">
        <v>44286</v>
      </c>
      <c r="G73" s="156" t="s">
        <v>657</v>
      </c>
      <c r="H73" s="149"/>
      <c r="I73" s="145">
        <f t="shared" si="3"/>
        <v>191.61771831702322</v>
      </c>
      <c r="J73" s="31"/>
      <c r="K73" s="147"/>
      <c r="L73" s="145"/>
      <c r="M73" s="145"/>
      <c r="N73" s="145"/>
      <c r="O73" s="145"/>
      <c r="P73" s="145"/>
      <c r="Q73" s="145"/>
      <c r="R73" s="145"/>
      <c r="S73" s="145"/>
      <c r="T73" s="145"/>
      <c r="U73" s="145"/>
      <c r="V73" s="145"/>
      <c r="W73" s="145"/>
      <c r="X73" s="145"/>
      <c r="Y73" s="145"/>
      <c r="Z73" s="145"/>
      <c r="AA73" s="145"/>
      <c r="AB73" s="145"/>
      <c r="AC73" s="145"/>
      <c r="AD73" s="145"/>
      <c r="AE73" s="145"/>
      <c r="AF73" s="145"/>
      <c r="AG73" s="145"/>
      <c r="AH73" s="145"/>
      <c r="AI73" s="145"/>
      <c r="AJ73" s="145"/>
      <c r="AK73" s="145"/>
      <c r="AL73" s="145"/>
      <c r="AM73" s="145"/>
      <c r="AN73" s="145"/>
      <c r="AO73" s="145"/>
      <c r="AP73" s="107">
        <f>$I73/AO$37</f>
        <v>4.9449733759231798</v>
      </c>
      <c r="AQ73" s="145">
        <f>IF($I73 &gt;0, MIN(AP73,$I73-SUM($L73:AP73)), MAX(AP73,$I73-SUM($L73:AP73)))</f>
        <v>4.9449733759231798</v>
      </c>
      <c r="AR73" s="145">
        <f>IF($I73 &gt;0, MIN(AQ73,$I73-SUM($L73:AQ73)), MAX(AQ73,$I73-SUM($L73:AQ73)))</f>
        <v>4.9449733759231798</v>
      </c>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row>
    <row r="74" spans="2:73" ht="15" customHeight="1">
      <c r="D74" s="147"/>
      <c r="E74" s="267">
        <v>44651</v>
      </c>
      <c r="F74" s="152"/>
      <c r="G74" s="152" t="s">
        <v>657</v>
      </c>
      <c r="H74" s="154"/>
      <c r="I74" s="155">
        <f t="shared" si="3"/>
        <v>197.19301522840377</v>
      </c>
      <c r="J74" s="31"/>
      <c r="K74" s="147"/>
      <c r="L74" s="145"/>
      <c r="M74" s="145"/>
      <c r="N74" s="145"/>
      <c r="O74" s="145"/>
      <c r="P74" s="145"/>
      <c r="Q74" s="145"/>
      <c r="R74" s="145"/>
      <c r="S74" s="145"/>
      <c r="T74" s="145"/>
      <c r="U74" s="145"/>
      <c r="V74" s="145"/>
      <c r="W74" s="145"/>
      <c r="X74" s="145"/>
      <c r="Y74" s="145"/>
      <c r="Z74" s="145"/>
      <c r="AA74" s="145"/>
      <c r="AB74" s="145"/>
      <c r="AC74" s="145"/>
      <c r="AD74" s="145"/>
      <c r="AE74" s="145"/>
      <c r="AF74" s="145"/>
      <c r="AG74" s="145"/>
      <c r="AH74" s="145"/>
      <c r="AI74" s="145"/>
      <c r="AJ74" s="145"/>
      <c r="AK74" s="145"/>
      <c r="AL74" s="145"/>
      <c r="AM74" s="145"/>
      <c r="AN74" s="145"/>
      <c r="AO74" s="145"/>
      <c r="AP74" s="145"/>
      <c r="AQ74" s="107">
        <f>$I74/AP$37</f>
        <v>4.7090869308275529</v>
      </c>
      <c r="AR74" s="145">
        <f>IF($I74 &gt;0, MIN(AQ74,$I74-SUM($L74:AQ74)), MAX(AQ74,$I74-SUM($L74:AQ74)))</f>
        <v>4.7090869308275529</v>
      </c>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row>
    <row r="75" spans="2:73" ht="15" customHeight="1">
      <c r="D75" s="147"/>
      <c r="E75" s="267">
        <v>45016</v>
      </c>
      <c r="F75" s="152"/>
      <c r="G75" s="152" t="s">
        <v>657</v>
      </c>
      <c r="H75" s="154"/>
      <c r="I75" s="155">
        <f t="shared" si="3"/>
        <v>192.13875531318419</v>
      </c>
      <c r="J75" s="31"/>
      <c r="K75" s="147"/>
      <c r="L75" s="145"/>
      <c r="M75" s="145"/>
      <c r="N75" s="145"/>
      <c r="O75" s="145"/>
      <c r="P75" s="145"/>
      <c r="Q75" s="145"/>
      <c r="R75" s="145"/>
      <c r="S75" s="145"/>
      <c r="T75" s="145"/>
      <c r="U75" s="145"/>
      <c r="V75" s="145"/>
      <c r="W75" s="145"/>
      <c r="X75" s="145"/>
      <c r="Y75" s="145"/>
      <c r="Z75" s="145"/>
      <c r="AA75" s="145"/>
      <c r="AB75" s="145"/>
      <c r="AC75" s="145"/>
      <c r="AD75" s="145"/>
      <c r="AE75" s="145"/>
      <c r="AF75" s="145"/>
      <c r="AG75" s="145"/>
      <c r="AH75" s="145"/>
      <c r="AI75" s="145"/>
      <c r="AJ75" s="145"/>
      <c r="AK75" s="145"/>
      <c r="AL75" s="145"/>
      <c r="AM75" s="145"/>
      <c r="AN75" s="145"/>
      <c r="AO75" s="145"/>
      <c r="AP75" s="145"/>
      <c r="AQ75" s="145"/>
    </row>
    <row r="76" spans="2:73" ht="15" customHeight="1">
      <c r="H76" s="145"/>
      <c r="I76" s="145"/>
      <c r="J76" s="31"/>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145"/>
      <c r="AL76" s="145"/>
      <c r="AM76" s="145"/>
      <c r="AN76" s="145"/>
      <c r="AO76" s="145"/>
      <c r="AP76" s="145"/>
      <c r="AQ76" s="145"/>
    </row>
    <row r="77" spans="2:73" s="149" customFormat="1" ht="15" customHeight="1">
      <c r="B77" s="145"/>
      <c r="C77" s="17" t="s">
        <v>531</v>
      </c>
      <c r="D77" s="17"/>
      <c r="E77" s="17"/>
      <c r="F77" s="17"/>
      <c r="G77" s="17"/>
      <c r="H77" s="17"/>
      <c r="I77" s="292"/>
      <c r="J77" s="303"/>
      <c r="K77" s="292"/>
      <c r="L77" s="292"/>
      <c r="M77" s="292"/>
      <c r="N77" s="292"/>
      <c r="O77" s="292"/>
      <c r="P77" s="292"/>
      <c r="Q77" s="292"/>
      <c r="R77" s="292"/>
      <c r="S77" s="292"/>
      <c r="T77" s="292"/>
      <c r="U77" s="292"/>
      <c r="V77" s="292"/>
      <c r="W77" s="292"/>
      <c r="X77" s="292"/>
      <c r="Y77" s="292"/>
      <c r="Z77" s="292"/>
      <c r="AA77" s="292"/>
      <c r="AB77" s="292"/>
      <c r="AC77" s="292"/>
      <c r="AD77" s="292"/>
      <c r="AE77" s="292"/>
      <c r="AF77" s="292"/>
      <c r="AG77" s="292"/>
      <c r="AH77" s="292"/>
      <c r="AI77" s="292"/>
      <c r="AJ77" s="292"/>
      <c r="AK77" s="292"/>
      <c r="AL77" s="292"/>
      <c r="AM77" s="292"/>
      <c r="AN77" s="292"/>
      <c r="AO77" s="292"/>
      <c r="AP77" s="292"/>
      <c r="AQ77" s="292"/>
    </row>
    <row r="78" spans="2:73" s="149" customFormat="1" ht="15" customHeight="1">
      <c r="B78" s="145"/>
      <c r="C78" s="164" t="s">
        <v>530</v>
      </c>
      <c r="D78" s="164"/>
      <c r="E78" s="164"/>
      <c r="F78" s="164"/>
      <c r="G78" s="164"/>
      <c r="H78" s="164"/>
      <c r="I78" s="192"/>
      <c r="J78" s="192"/>
      <c r="K78" s="192"/>
      <c r="L78" s="192"/>
      <c r="M78" s="192"/>
      <c r="N78" s="192"/>
      <c r="O78" s="192"/>
      <c r="P78" s="192"/>
      <c r="Q78" s="192"/>
      <c r="R78" s="192"/>
      <c r="S78" s="192"/>
      <c r="T78" s="192"/>
      <c r="U78" s="192"/>
      <c r="V78" s="192"/>
      <c r="W78" s="192"/>
      <c r="X78" s="192"/>
      <c r="Y78" s="192"/>
      <c r="Z78" s="192"/>
      <c r="AA78" s="192"/>
      <c r="AB78" s="192"/>
      <c r="AC78" s="192"/>
      <c r="AD78" s="192"/>
      <c r="AE78" s="192"/>
      <c r="AF78" s="192"/>
      <c r="AG78" s="192"/>
      <c r="AH78" s="192"/>
      <c r="AI78" s="192"/>
      <c r="AJ78" s="192"/>
      <c r="AK78" s="192"/>
      <c r="AL78" s="192"/>
      <c r="AM78" s="192"/>
      <c r="AN78" s="192"/>
      <c r="AO78" s="192"/>
      <c r="AP78" s="192"/>
      <c r="AQ78" s="192"/>
    </row>
    <row r="79" spans="2:73" s="149" customFormat="1" ht="15" customHeight="1">
      <c r="B79" s="145"/>
      <c r="D79" s="145"/>
      <c r="E79" s="145"/>
      <c r="F79" s="145"/>
      <c r="G79" s="145"/>
      <c r="H79" s="145"/>
      <c r="I79" s="145"/>
      <c r="J79" s="31"/>
      <c r="K79" s="145"/>
      <c r="L79" s="145"/>
      <c r="M79" s="145"/>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row>
    <row r="80" spans="2:73" s="149" customFormat="1" ht="15" customHeight="1">
      <c r="B80" s="145"/>
      <c r="D80" s="36" t="s">
        <v>117</v>
      </c>
      <c r="E80" s="36"/>
      <c r="F80" s="36"/>
      <c r="G80" s="36"/>
      <c r="H80" s="36"/>
      <c r="I80" s="196"/>
      <c r="J80" s="305"/>
      <c r="K80" s="196"/>
      <c r="L80" s="196"/>
      <c r="M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c r="AP80" s="196"/>
      <c r="AQ80" s="196"/>
    </row>
    <row r="81" spans="2:44" s="149" customFormat="1" ht="15" customHeight="1">
      <c r="B81" s="145"/>
      <c r="D81" s="145"/>
      <c r="E81" s="145"/>
      <c r="F81" s="145"/>
      <c r="G81" s="145"/>
      <c r="H81" s="145"/>
      <c r="I81" s="145"/>
      <c r="J81" s="31"/>
      <c r="K81" s="145"/>
      <c r="L81" s="145"/>
      <c r="M81" s="145"/>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row>
    <row r="82" spans="2:44" s="149" customFormat="1" ht="15" customHeight="1">
      <c r="E82" s="145" t="s">
        <v>529</v>
      </c>
      <c r="F82" s="145"/>
      <c r="G82" s="145" t="s">
        <v>49</v>
      </c>
      <c r="H82" s="145"/>
      <c r="I82" s="145"/>
      <c r="J82" s="31" t="s">
        <v>54</v>
      </c>
      <c r="K82" s="269">
        <f>Input!K359</f>
        <v>33.299999999999997</v>
      </c>
      <c r="L82" s="269">
        <f>Input!L359</f>
        <v>33.299999999999997</v>
      </c>
      <c r="M82" s="269">
        <f>Input!M359</f>
        <v>33.299999999999997</v>
      </c>
      <c r="N82" s="269">
        <f>Input!N359</f>
        <v>33.299999999999997</v>
      </c>
      <c r="O82" s="269">
        <f>Input!O359</f>
        <v>33.299999999999997</v>
      </c>
      <c r="P82" s="269">
        <f>Input!P359</f>
        <v>33.299999999999997</v>
      </c>
      <c r="Q82" s="269">
        <f>Input!Q359</f>
        <v>33.299999999999997</v>
      </c>
      <c r="R82" s="269">
        <f>Input!R359</f>
        <v>33.299999999999997</v>
      </c>
      <c r="S82" s="269">
        <f>Input!S359</f>
        <v>33.299999999999997</v>
      </c>
      <c r="T82" s="269">
        <f>Input!T359</f>
        <v>33.299999999999997</v>
      </c>
      <c r="U82" s="269">
        <f>Input!U359</f>
        <v>33.299999999999997</v>
      </c>
      <c r="V82" s="269">
        <f>Input!V359</f>
        <v>33.299999999999997</v>
      </c>
      <c r="W82" s="269">
        <f>Input!W359</f>
        <v>33.299999999999997</v>
      </c>
      <c r="X82" s="269">
        <f>Input!X359</f>
        <v>33.299999999999997</v>
      </c>
      <c r="Y82" s="269">
        <f>Input!Y359</f>
        <v>33.299999999999997</v>
      </c>
      <c r="Z82" s="269">
        <f>Input!Z359</f>
        <v>33.299999999999997</v>
      </c>
      <c r="AA82" s="269">
        <f>Input!AA359</f>
        <v>33.299999999999997</v>
      </c>
      <c r="AB82" s="269">
        <f>Input!AB359</f>
        <v>33.299999999999997</v>
      </c>
      <c r="AC82" s="269">
        <f>Input!AC359</f>
        <v>33.299999999999997</v>
      </c>
      <c r="AD82" s="269">
        <f>Input!AD359</f>
        <v>33.299999999999997</v>
      </c>
      <c r="AE82" s="269">
        <f>Input!AE359</f>
        <v>33.299999999999997</v>
      </c>
      <c r="AF82" s="269">
        <f>Input!AF359</f>
        <v>33.299999999999997</v>
      </c>
      <c r="AG82" s="269">
        <f>Input!AG359</f>
        <v>33.299999999999997</v>
      </c>
      <c r="AH82" s="269">
        <f>Input!AH359</f>
        <v>33.299999999999997</v>
      </c>
      <c r="AI82" s="269">
        <f>Input!AI359</f>
        <v>33.299999999999997</v>
      </c>
      <c r="AJ82" s="269">
        <f>Input!AJ359</f>
        <v>23.125</v>
      </c>
      <c r="AK82" s="269">
        <f>Input!AK359</f>
        <v>26.25</v>
      </c>
      <c r="AL82" s="269">
        <f>Input!AL359</f>
        <v>29.375</v>
      </c>
      <c r="AM82" s="269">
        <f>Input!AM359</f>
        <v>32.5</v>
      </c>
      <c r="AN82" s="269">
        <f>Input!AN359</f>
        <v>35.625</v>
      </c>
      <c r="AO82" s="269">
        <f>Input!AO359</f>
        <v>38.75</v>
      </c>
      <c r="AP82" s="269">
        <f>Input!AP359</f>
        <v>41.875</v>
      </c>
      <c r="AQ82" s="269">
        <f>Input!AQ359</f>
        <v>45</v>
      </c>
    </row>
    <row r="83" spans="2:44" s="149" customFormat="1" ht="15" customHeight="1">
      <c r="E83" s="145" t="s">
        <v>528</v>
      </c>
      <c r="F83" s="145"/>
      <c r="G83" s="145" t="s">
        <v>59</v>
      </c>
      <c r="H83" s="145"/>
      <c r="I83" s="145"/>
      <c r="J83" s="31" t="s">
        <v>54</v>
      </c>
      <c r="K83" s="107"/>
      <c r="L83" s="145" t="b">
        <f t="shared" ref="L83:Y83" si="4">YEAR(L$7) &lt; YEAR($I$28) +  IF($I$30=12,$I$29,$I$29+1)</f>
        <v>1</v>
      </c>
      <c r="M83" s="145" t="b">
        <f t="shared" si="4"/>
        <v>1</v>
      </c>
      <c r="N83" s="145" t="b">
        <f t="shared" si="4"/>
        <v>1</v>
      </c>
      <c r="O83" s="145" t="b">
        <f t="shared" si="4"/>
        <v>1</v>
      </c>
      <c r="P83" s="145" t="b">
        <f t="shared" si="4"/>
        <v>1</v>
      </c>
      <c r="Q83" s="145" t="b">
        <f t="shared" si="4"/>
        <v>1</v>
      </c>
      <c r="R83" s="145" t="b">
        <f t="shared" si="4"/>
        <v>1</v>
      </c>
      <c r="S83" s="145" t="b">
        <f t="shared" si="4"/>
        <v>1</v>
      </c>
      <c r="T83" s="145" t="b">
        <f t="shared" si="4"/>
        <v>1</v>
      </c>
      <c r="U83" s="145" t="b">
        <f t="shared" si="4"/>
        <v>1</v>
      </c>
      <c r="V83" s="145" t="b">
        <f t="shared" si="4"/>
        <v>1</v>
      </c>
      <c r="W83" s="145" t="b">
        <f t="shared" si="4"/>
        <v>1</v>
      </c>
      <c r="X83" s="145" t="b">
        <f t="shared" si="4"/>
        <v>1</v>
      </c>
      <c r="Y83" s="145" t="b">
        <f t="shared" si="4"/>
        <v>1</v>
      </c>
      <c r="Z83" s="155" t="b">
        <f>YEAR(Z$7) &lt; YEAR($I$28) +  IF($I$30=12,$I$29,$I$29+1)</f>
        <v>1</v>
      </c>
      <c r="AA83" s="145" t="b">
        <f t="shared" ref="AA83:AQ83" si="5">YEAR(AA$7) &lt; YEAR($I$28) +  IF($I$30=12,$I$29,$I$29+1)</f>
        <v>0</v>
      </c>
      <c r="AB83" s="145" t="b">
        <f t="shared" si="5"/>
        <v>0</v>
      </c>
      <c r="AC83" s="145" t="b">
        <f t="shared" si="5"/>
        <v>0</v>
      </c>
      <c r="AD83" s="145" t="b">
        <f t="shared" si="5"/>
        <v>0</v>
      </c>
      <c r="AE83" s="145" t="b">
        <f t="shared" si="5"/>
        <v>0</v>
      </c>
      <c r="AF83" s="145" t="b">
        <f t="shared" si="5"/>
        <v>0</v>
      </c>
      <c r="AG83" s="145" t="b">
        <f t="shared" si="5"/>
        <v>0</v>
      </c>
      <c r="AH83" s="145" t="b">
        <f t="shared" si="5"/>
        <v>0</v>
      </c>
      <c r="AI83" s="145" t="b">
        <f t="shared" si="5"/>
        <v>0</v>
      </c>
      <c r="AJ83" s="145" t="b">
        <f t="shared" si="5"/>
        <v>0</v>
      </c>
      <c r="AK83" s="145" t="b">
        <f t="shared" si="5"/>
        <v>0</v>
      </c>
      <c r="AL83" s="145" t="b">
        <f t="shared" si="5"/>
        <v>0</v>
      </c>
      <c r="AM83" s="145" t="b">
        <f t="shared" si="5"/>
        <v>0</v>
      </c>
      <c r="AN83" s="145" t="b">
        <f t="shared" si="5"/>
        <v>0</v>
      </c>
      <c r="AO83" s="145" t="b">
        <f t="shared" si="5"/>
        <v>0</v>
      </c>
      <c r="AP83" s="145" t="b">
        <f t="shared" si="5"/>
        <v>0</v>
      </c>
      <c r="AQ83" s="145" t="b">
        <f t="shared" si="5"/>
        <v>0</v>
      </c>
    </row>
    <row r="84" spans="2:44" s="149" customFormat="1" ht="15" customHeight="1">
      <c r="E84" s="145"/>
      <c r="F84" s="145"/>
      <c r="G84" s="145"/>
      <c r="H84" s="145"/>
      <c r="I84" s="145"/>
      <c r="J84" s="31"/>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row>
    <row r="85" spans="2:44" ht="15" customHeight="1">
      <c r="D85" s="36" t="s">
        <v>115</v>
      </c>
      <c r="E85" s="36"/>
      <c r="F85" s="36"/>
      <c r="G85" s="36"/>
      <c r="H85" s="36"/>
      <c r="I85" s="196"/>
      <c r="J85" s="305"/>
      <c r="K85" s="196"/>
      <c r="L85" s="196"/>
      <c r="M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c r="AP85" s="196"/>
      <c r="AQ85" s="196"/>
    </row>
    <row r="86" spans="2:44" ht="15" customHeight="1">
      <c r="D86" s="147"/>
      <c r="E86" s="147"/>
      <c r="I86" s="147"/>
      <c r="J86" s="151"/>
      <c r="K86" s="145"/>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row>
    <row r="87" spans="2:44" ht="15" customHeight="1">
      <c r="D87" s="147"/>
      <c r="E87" s="106" t="s">
        <v>527</v>
      </c>
      <c r="I87" s="106" t="s">
        <v>26</v>
      </c>
      <c r="J87" s="151"/>
      <c r="K87" s="145"/>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row>
    <row r="88" spans="2:44" ht="15" customHeight="1">
      <c r="D88" s="147"/>
      <c r="E88" s="180">
        <v>33328</v>
      </c>
      <c r="G88" s="156" t="s">
        <v>657</v>
      </c>
      <c r="H88" s="149"/>
      <c r="I88" s="145">
        <f>INDEX($K$18:$AQ$18,1,MATCH(E88,$K$7:$AQ$7,0))</f>
        <v>38.825481450385681</v>
      </c>
      <c r="J88" s="31" t="s">
        <v>54</v>
      </c>
      <c r="K88" s="147"/>
      <c r="L88" s="107">
        <f>$I88/K$82</f>
        <v>1.1659303738854561</v>
      </c>
      <c r="M88" s="145">
        <f>IF($I88 &gt;0, MIN(L88,$I88-SUM($L88:L88)), MAX(L88,$I88-SUM($L88:L88)))</f>
        <v>1.1659303738854561</v>
      </c>
      <c r="N88" s="145">
        <f>IF($I88 &gt;0, MIN(M88,$I88-SUM($L88:M88)), MAX(M88,$I88-SUM($L88:M88)))</f>
        <v>1.1659303738854561</v>
      </c>
      <c r="O88" s="145">
        <f>IF($I88 &gt;0, MIN(N88,$I88-SUM($L88:N88)), MAX(N88,$I88-SUM($L88:N88)))</f>
        <v>1.1659303738854561</v>
      </c>
      <c r="P88" s="145">
        <f>IF($I88 &gt;0, MIN(O88,$I88-SUM($L88:O88)), MAX(O88,$I88-SUM($L88:O88)))</f>
        <v>1.1659303738854561</v>
      </c>
      <c r="Q88" s="145">
        <f>IF($I88 &gt;0, MIN(P88,$I88-SUM($L88:P88)), MAX(P88,$I88-SUM($L88:P88)))</f>
        <v>1.1659303738854561</v>
      </c>
      <c r="R88" s="145">
        <f>IF($I88 &gt;0, MIN(Q88,$I88-SUM($L88:Q88)), MAX(Q88,$I88-SUM($L88:Q88)))</f>
        <v>1.1659303738854561</v>
      </c>
      <c r="S88" s="145">
        <f>IF($I88 &gt;0, MIN(R88,$I88-SUM($L88:R88)), MAX(R88,$I88-SUM($L88:R88)))</f>
        <v>1.1659303738854561</v>
      </c>
      <c r="T88" s="145">
        <f>IF($I88 &gt;0, MIN(S88,$I88-SUM($L88:S88)), MAX(S88,$I88-SUM($L88:S88)))</f>
        <v>1.1659303738854561</v>
      </c>
      <c r="U88" s="145">
        <f>IF($I88 &gt;0, MIN(T88,$I88-SUM($L88:T88)), MAX(T88,$I88-SUM($L88:T88)))</f>
        <v>1.1659303738854561</v>
      </c>
      <c r="V88" s="145">
        <f>IF($I88 &gt;0, MIN(U88,$I88-SUM($L88:U88)), MAX(U88,$I88-SUM($L88:U88)))</f>
        <v>1.1659303738854561</v>
      </c>
      <c r="W88" s="145">
        <f>IF($I88 &gt;0, MIN(V88,$I88-SUM($L88:V88)), MAX(V88,$I88-SUM($L88:V88)))</f>
        <v>1.1659303738854561</v>
      </c>
      <c r="X88" s="145">
        <f>IF($I88 &gt;0, MIN(W88,$I88-SUM($L88:W88)), MAX(W88,$I88-SUM($L88:W88)))</f>
        <v>1.1659303738854561</v>
      </c>
      <c r="Y88" s="145">
        <f>IF($I88 &gt;0, MIN(X88,$I88-SUM($L88:X88)), MAX(X88,$I88-SUM($L88:X88)))</f>
        <v>1.1659303738854561</v>
      </c>
      <c r="Z88" s="145">
        <f>IF($I88 &gt;0, MIN(Y88,$I88-SUM($L88:Y88)), MAX(Y88,$I88-SUM($L88:Y88)))</f>
        <v>1.1659303738854561</v>
      </c>
      <c r="AA88" s="145">
        <f>IF($I88 &gt;0, MIN(Z88,$I88-SUM($L88:Z88)), MAX(Z88,$I88-SUM($L88:Z88)))</f>
        <v>1.1659303738854561</v>
      </c>
      <c r="AB88" s="145">
        <f>IF($I88 &gt;0, MIN(AA88,$I88-SUM($L88:AA88)), MAX(AA88,$I88-SUM($L88:AA88)))</f>
        <v>1.1659303738854561</v>
      </c>
      <c r="AC88" s="145">
        <f>IF($I88 &gt;0, MIN(AB88,$I88-SUM($L88:AB88)), MAX(AB88,$I88-SUM($L88:AB88)))</f>
        <v>1.1659303738854561</v>
      </c>
      <c r="AD88" s="145">
        <f>IF($I88 &gt;0, MIN(AC88,$I88-SUM($L88:AC88)), MAX(AC88,$I88-SUM($L88:AC88)))</f>
        <v>1.1659303738854561</v>
      </c>
      <c r="AE88" s="145">
        <f>IF($I88 &gt;0, MIN(AD88,$I88-SUM($L88:AD88)), MAX(AD88,$I88-SUM($L88:AD88)))</f>
        <v>1.1659303738854561</v>
      </c>
      <c r="AF88" s="145">
        <f>IF($I88 &gt;0, MIN(AE88,$I88-SUM($L88:AE88)), MAX(AE88,$I88-SUM($L88:AE88)))</f>
        <v>1.1659303738854561</v>
      </c>
      <c r="AG88" s="145">
        <f>IF($I88 &gt;0, MIN(AF88,$I88-SUM($L88:AF88)), MAX(AF88,$I88-SUM($L88:AF88)))</f>
        <v>1.1659303738854561</v>
      </c>
      <c r="AH88" s="145">
        <f>IF($I88 &gt;0, MIN(AG88,$I88-SUM($L88:AG88)), MAX(AG88,$I88-SUM($L88:AG88)))</f>
        <v>1.1659303738854561</v>
      </c>
      <c r="AI88" s="145">
        <f>IF($I88 &gt;0, MIN(AH88,$I88-SUM($L88:AH88)), MAX(AH88,$I88-SUM($L88:AH88)))</f>
        <v>1.1659303738854561</v>
      </c>
      <c r="AJ88" s="145">
        <f>IF($I88 &gt;0, MIN(AI88,$I88-SUM($L88:AI88)), MAX(AI88,$I88-SUM($L88:AI88)))</f>
        <v>1.1659303738854561</v>
      </c>
      <c r="AK88" s="145">
        <f>IF($I88 &gt;0, MIN(AJ88,$I88-SUM($L88:AJ88)), MAX(AJ88,$I88-SUM($L88:AJ88)))</f>
        <v>1.1659303738854561</v>
      </c>
      <c r="AL88" s="145">
        <f>IF($I88 &gt;0, MIN(AK88,$I88-SUM($L88:AK88)), MAX(AK88,$I88-SUM($L88:AK88)))</f>
        <v>1.1659303738854561</v>
      </c>
      <c r="AM88" s="145">
        <f>IF($I88 &gt;0, MIN(AL88,$I88-SUM($L88:AL88)), MAX(AL88,$I88-SUM($L88:AL88)))</f>
        <v>1.1659303738854561</v>
      </c>
      <c r="AN88" s="145">
        <f>IF($I88 &gt;0, MIN(AM88,$I88-SUM($L88:AM88)), MAX(AM88,$I88-SUM($L88:AM88)))</f>
        <v>1.1659303738854561</v>
      </c>
      <c r="AO88" s="145">
        <f>IF($I88 &gt;0, MIN(AN88,$I88-SUM($L88:AN88)), MAX(AN88,$I88-SUM($L88:AN88)))</f>
        <v>1.1659303738854561</v>
      </c>
      <c r="AP88" s="145">
        <f>IF($I88 &gt;0, MIN(AO88,$I88-SUM($L88:AO88)), MAX(AO88,$I88-SUM($L88:AO88)))</f>
        <v>1.1659303738854561</v>
      </c>
      <c r="AQ88" s="145">
        <f>IF($I88 &gt;0, MIN(AP88,$I88-SUM($L88:AP88)), MAX(AP88,$I88-SUM($L88:AP88)))</f>
        <v>1.1659303738854561</v>
      </c>
    </row>
    <row r="89" spans="2:44" ht="15" customHeight="1">
      <c r="D89" s="147"/>
      <c r="E89" s="180">
        <v>33694</v>
      </c>
      <c r="G89" s="156" t="s">
        <v>657</v>
      </c>
      <c r="H89" s="149"/>
      <c r="I89" s="145">
        <f t="shared" ref="I89:I118" si="6">INDEX($K$18:$AQ$18,1,MATCH(E89,$K$7:$AQ$7,0))</f>
        <v>140.66533557223065</v>
      </c>
      <c r="J89" s="31" t="s">
        <v>54</v>
      </c>
      <c r="K89" s="147"/>
      <c r="L89" s="147"/>
      <c r="M89" s="107">
        <f>$I89/L$82</f>
        <v>4.2241842514183379</v>
      </c>
      <c r="N89" s="145">
        <f>IF($I89 &gt;0, MIN(M89,$I89-SUM($L89:M89)), MAX(M89,$I89-SUM($L89:M89)))</f>
        <v>4.2241842514183379</v>
      </c>
      <c r="O89" s="145">
        <f>IF($I89 &gt;0, MIN(N89,$I89-SUM($L89:N89)), MAX(N89,$I89-SUM($L89:N89)))</f>
        <v>4.2241842514183379</v>
      </c>
      <c r="P89" s="145">
        <f>IF($I89 &gt;0, MIN(O89,$I89-SUM($L89:O89)), MAX(O89,$I89-SUM($L89:O89)))</f>
        <v>4.2241842514183379</v>
      </c>
      <c r="Q89" s="145">
        <f>IF($I89 &gt;0, MIN(P89,$I89-SUM($L89:P89)), MAX(P89,$I89-SUM($L89:P89)))</f>
        <v>4.2241842514183379</v>
      </c>
      <c r="R89" s="145">
        <f>IF($I89 &gt;0, MIN(Q89,$I89-SUM($L89:Q89)), MAX(Q89,$I89-SUM($L89:Q89)))</f>
        <v>4.2241842514183379</v>
      </c>
      <c r="S89" s="145">
        <f>IF($I89 &gt;0, MIN(R89,$I89-SUM($L89:R89)), MAX(R89,$I89-SUM($L89:R89)))</f>
        <v>4.2241842514183379</v>
      </c>
      <c r="T89" s="145">
        <f>IF($I89 &gt;0, MIN(S89,$I89-SUM($L89:S89)), MAX(S89,$I89-SUM($L89:S89)))</f>
        <v>4.2241842514183379</v>
      </c>
      <c r="U89" s="145">
        <f>IF($I89 &gt;0, MIN(T89,$I89-SUM($L89:T89)), MAX(T89,$I89-SUM($L89:T89)))</f>
        <v>4.2241842514183379</v>
      </c>
      <c r="V89" s="145">
        <f>IF($I89 &gt;0, MIN(U89,$I89-SUM($L89:U89)), MAX(U89,$I89-SUM($L89:U89)))</f>
        <v>4.2241842514183379</v>
      </c>
      <c r="W89" s="145">
        <f>IF($I89 &gt;0, MIN(V89,$I89-SUM($L89:V89)), MAX(V89,$I89-SUM($L89:V89)))</f>
        <v>4.2241842514183379</v>
      </c>
      <c r="X89" s="145">
        <f>IF($I89 &gt;0, MIN(W89,$I89-SUM($L89:W89)), MAX(W89,$I89-SUM($L89:W89)))</f>
        <v>4.2241842514183379</v>
      </c>
      <c r="Y89" s="145">
        <f>IF($I89 &gt;0, MIN(X89,$I89-SUM($L89:X89)), MAX(X89,$I89-SUM($L89:X89)))</f>
        <v>4.2241842514183379</v>
      </c>
      <c r="Z89" s="145">
        <f>IF($I89 &gt;0, MIN(Y89,$I89-SUM($L89:Y89)), MAX(Y89,$I89-SUM($L89:Y89)))</f>
        <v>4.2241842514183379</v>
      </c>
      <c r="AA89" s="145">
        <f>IF($I89 &gt;0, MIN(Z89,$I89-SUM($L89:Z89)), MAX(Z89,$I89-SUM($L89:Z89)))</f>
        <v>4.2241842514183379</v>
      </c>
      <c r="AB89" s="145">
        <f>IF($I89 &gt;0, MIN(AA89,$I89-SUM($L89:AA89)), MAX(AA89,$I89-SUM($L89:AA89)))</f>
        <v>4.2241842514183379</v>
      </c>
      <c r="AC89" s="145">
        <f>IF($I89 &gt;0, MIN(AB89,$I89-SUM($L89:AB89)), MAX(AB89,$I89-SUM($L89:AB89)))</f>
        <v>4.2241842514183379</v>
      </c>
      <c r="AD89" s="145">
        <f>IF($I89 &gt;0, MIN(AC89,$I89-SUM($L89:AC89)), MAX(AC89,$I89-SUM($L89:AC89)))</f>
        <v>4.2241842514183379</v>
      </c>
      <c r="AE89" s="145">
        <f>IF($I89 &gt;0, MIN(AD89,$I89-SUM($L89:AD89)), MAX(AD89,$I89-SUM($L89:AD89)))</f>
        <v>4.2241842514183379</v>
      </c>
      <c r="AF89" s="145">
        <f>IF($I89 &gt;0, MIN(AE89,$I89-SUM($L89:AE89)), MAX(AE89,$I89-SUM($L89:AE89)))</f>
        <v>4.2241842514183379</v>
      </c>
      <c r="AG89" s="145">
        <f>IF($I89 &gt;0, MIN(AF89,$I89-SUM($L89:AF89)), MAX(AF89,$I89-SUM($L89:AF89)))</f>
        <v>4.2241842514183379</v>
      </c>
      <c r="AH89" s="145">
        <f>IF($I89 &gt;0, MIN(AG89,$I89-SUM($L89:AG89)), MAX(AG89,$I89-SUM($L89:AG89)))</f>
        <v>4.2241842514183379</v>
      </c>
      <c r="AI89" s="145">
        <f>IF($I89 &gt;0, MIN(AH89,$I89-SUM($L89:AH89)), MAX(AH89,$I89-SUM($L89:AH89)))</f>
        <v>4.2241842514183379</v>
      </c>
      <c r="AJ89" s="145">
        <f>IF($I89 &gt;0, MIN(AI89,$I89-SUM($L89:AI89)), MAX(AI89,$I89-SUM($L89:AI89)))</f>
        <v>4.2241842514183379</v>
      </c>
      <c r="AK89" s="145">
        <f>IF($I89 &gt;0, MIN(AJ89,$I89-SUM($L89:AJ89)), MAX(AJ89,$I89-SUM($L89:AJ89)))</f>
        <v>4.2241842514183379</v>
      </c>
      <c r="AL89" s="145">
        <f>IF($I89 &gt;0, MIN(AK89,$I89-SUM($L89:AK89)), MAX(AK89,$I89-SUM($L89:AK89)))</f>
        <v>4.2241842514183379</v>
      </c>
      <c r="AM89" s="145">
        <f>IF($I89 &gt;0, MIN(AL89,$I89-SUM($L89:AL89)), MAX(AL89,$I89-SUM($L89:AL89)))</f>
        <v>4.2241842514183379</v>
      </c>
      <c r="AN89" s="145">
        <f>IF($I89 &gt;0, MIN(AM89,$I89-SUM($L89:AM89)), MAX(AM89,$I89-SUM($L89:AM89)))</f>
        <v>4.2241842514183379</v>
      </c>
      <c r="AO89" s="145">
        <f>IF($I89 &gt;0, MIN(AN89,$I89-SUM($L89:AN89)), MAX(AN89,$I89-SUM($L89:AN89)))</f>
        <v>4.2241842514183379</v>
      </c>
      <c r="AP89" s="145">
        <f>IF($I89 &gt;0, MIN(AO89,$I89-SUM($L89:AO89)), MAX(AO89,$I89-SUM($L89:AO89)))</f>
        <v>4.2241842514183379</v>
      </c>
      <c r="AQ89" s="145">
        <f>IF($I89 &gt;0, MIN(AP89,$I89-SUM($L89:AP89)), MAX(AP89,$I89-SUM($L89:AP89)))</f>
        <v>4.2241842514183379</v>
      </c>
      <c r="AR89" s="145">
        <f>IF($I89 &gt;0, MIN(AQ89,$I89-SUM($L89:AQ89)), MAX(AQ89,$I89-SUM($L89:AQ89)))</f>
        <v>4.2241842514183379</v>
      </c>
    </row>
    <row r="90" spans="2:44" ht="15" customHeight="1">
      <c r="D90" s="147"/>
      <c r="E90" s="180">
        <v>34059</v>
      </c>
      <c r="G90" s="156" t="s">
        <v>657</v>
      </c>
      <c r="H90" s="149"/>
      <c r="I90" s="145">
        <f t="shared" si="6"/>
        <v>164.7001574224694</v>
      </c>
      <c r="J90" s="31" t="s">
        <v>54</v>
      </c>
      <c r="K90" s="147"/>
      <c r="L90" s="145"/>
      <c r="M90" s="145"/>
      <c r="N90" s="107">
        <f>$I90/M$82</f>
        <v>4.9459506733474301</v>
      </c>
      <c r="O90" s="145">
        <f>IF($I90 &gt;0, MIN(N90,$I90-SUM($L90:N90)), MAX(N90,$I90-SUM($L90:N90)))</f>
        <v>4.9459506733474301</v>
      </c>
      <c r="P90" s="145">
        <f>IF($I90 &gt;0, MIN(O90,$I90-SUM($L90:O90)), MAX(O90,$I90-SUM($L90:O90)))</f>
        <v>4.9459506733474301</v>
      </c>
      <c r="Q90" s="145">
        <f>IF($I90 &gt;0, MIN(P90,$I90-SUM($L90:P90)), MAX(P90,$I90-SUM($L90:P90)))</f>
        <v>4.9459506733474301</v>
      </c>
      <c r="R90" s="145">
        <f>IF($I90 &gt;0, MIN(Q90,$I90-SUM($L90:Q90)), MAX(Q90,$I90-SUM($L90:Q90)))</f>
        <v>4.9459506733474301</v>
      </c>
      <c r="S90" s="145">
        <f>IF($I90 &gt;0, MIN(R90,$I90-SUM($L90:R90)), MAX(R90,$I90-SUM($L90:R90)))</f>
        <v>4.9459506733474301</v>
      </c>
      <c r="T90" s="145">
        <f>IF($I90 &gt;0, MIN(S90,$I90-SUM($L90:S90)), MAX(S90,$I90-SUM($L90:S90)))</f>
        <v>4.9459506733474301</v>
      </c>
      <c r="U90" s="145">
        <f>IF($I90 &gt;0, MIN(T90,$I90-SUM($L90:T90)), MAX(T90,$I90-SUM($L90:T90)))</f>
        <v>4.9459506733474301</v>
      </c>
      <c r="V90" s="145">
        <f>IF($I90 &gt;0, MIN(U90,$I90-SUM($L90:U90)), MAX(U90,$I90-SUM($L90:U90)))</f>
        <v>4.9459506733474301</v>
      </c>
      <c r="W90" s="145">
        <f>IF($I90 &gt;0, MIN(V90,$I90-SUM($L90:V90)), MAX(V90,$I90-SUM($L90:V90)))</f>
        <v>4.9459506733474301</v>
      </c>
      <c r="X90" s="145">
        <f>IF($I90 &gt;0, MIN(W90,$I90-SUM($L90:W90)), MAX(W90,$I90-SUM($L90:W90)))</f>
        <v>4.9459506733474301</v>
      </c>
      <c r="Y90" s="145">
        <f>IF($I90 &gt;0, MIN(X90,$I90-SUM($L90:X90)), MAX(X90,$I90-SUM($L90:X90)))</f>
        <v>4.9459506733474301</v>
      </c>
      <c r="Z90" s="145">
        <f>IF($I90 &gt;0, MIN(Y90,$I90-SUM($L90:Y90)), MAX(Y90,$I90-SUM($L90:Y90)))</f>
        <v>4.9459506733474301</v>
      </c>
      <c r="AA90" s="145">
        <f>IF($I90 &gt;0, MIN(Z90,$I90-SUM($L90:Z90)), MAX(Z90,$I90-SUM($L90:Z90)))</f>
        <v>4.9459506733474301</v>
      </c>
      <c r="AB90" s="145">
        <f>IF($I90 &gt;0, MIN(AA90,$I90-SUM($L90:AA90)), MAX(AA90,$I90-SUM($L90:AA90)))</f>
        <v>4.9459506733474301</v>
      </c>
      <c r="AC90" s="145">
        <f>IF($I90 &gt;0, MIN(AB90,$I90-SUM($L90:AB90)), MAX(AB90,$I90-SUM($L90:AB90)))</f>
        <v>4.9459506733474301</v>
      </c>
      <c r="AD90" s="145">
        <f>IF($I90 &gt;0, MIN(AC90,$I90-SUM($L90:AC90)), MAX(AC90,$I90-SUM($L90:AC90)))</f>
        <v>4.9459506733474301</v>
      </c>
      <c r="AE90" s="145">
        <f>IF($I90 &gt;0, MIN(AD90,$I90-SUM($L90:AD90)), MAX(AD90,$I90-SUM($L90:AD90)))</f>
        <v>4.9459506733474301</v>
      </c>
      <c r="AF90" s="145">
        <f>IF($I90 &gt;0, MIN(AE90,$I90-SUM($L90:AE90)), MAX(AE90,$I90-SUM($L90:AE90)))</f>
        <v>4.9459506733474301</v>
      </c>
      <c r="AG90" s="145">
        <f>IF($I90 &gt;0, MIN(AF90,$I90-SUM($L90:AF90)), MAX(AF90,$I90-SUM($L90:AF90)))</f>
        <v>4.9459506733474301</v>
      </c>
      <c r="AH90" s="145">
        <f>IF($I90 &gt;0, MIN(AG90,$I90-SUM($L90:AG90)), MAX(AG90,$I90-SUM($L90:AG90)))</f>
        <v>4.9459506733474301</v>
      </c>
      <c r="AI90" s="145">
        <f>IF($I90 &gt;0, MIN(AH90,$I90-SUM($L90:AH90)), MAX(AH90,$I90-SUM($L90:AH90)))</f>
        <v>4.9459506733474301</v>
      </c>
      <c r="AJ90" s="145">
        <f>IF($I90 &gt;0, MIN(AI90,$I90-SUM($L90:AI90)), MAX(AI90,$I90-SUM($L90:AI90)))</f>
        <v>4.9459506733474301</v>
      </c>
      <c r="AK90" s="145">
        <f>IF($I90 &gt;0, MIN(AJ90,$I90-SUM($L90:AJ90)), MAX(AJ90,$I90-SUM($L90:AJ90)))</f>
        <v>4.9459506733474301</v>
      </c>
      <c r="AL90" s="145">
        <f>IF($I90 &gt;0, MIN(AK90,$I90-SUM($L90:AK90)), MAX(AK90,$I90-SUM($L90:AK90)))</f>
        <v>4.9459506733474301</v>
      </c>
      <c r="AM90" s="145">
        <f>IF($I90 &gt;0, MIN(AL90,$I90-SUM($L90:AL90)), MAX(AL90,$I90-SUM($L90:AL90)))</f>
        <v>4.9459506733474301</v>
      </c>
      <c r="AN90" s="145">
        <f>IF($I90 &gt;0, MIN(AM90,$I90-SUM($L90:AM90)), MAX(AM90,$I90-SUM($L90:AM90)))</f>
        <v>4.9459506733474301</v>
      </c>
      <c r="AO90" s="145">
        <f>IF($I90 &gt;0, MIN(AN90,$I90-SUM($L90:AN90)), MAX(AN90,$I90-SUM($L90:AN90)))</f>
        <v>4.9459506733474301</v>
      </c>
      <c r="AP90" s="145">
        <f>IF($I90 &gt;0, MIN(AO90,$I90-SUM($L90:AO90)), MAX(AO90,$I90-SUM($L90:AO90)))</f>
        <v>4.9459506733474301</v>
      </c>
      <c r="AQ90" s="145">
        <f>IF($I90 &gt;0, MIN(AP90,$I90-SUM($L90:AP90)), MAX(AP90,$I90-SUM($L90:AP90)))</f>
        <v>4.9459506733474301</v>
      </c>
      <c r="AR90" s="145">
        <f>IF($I90 &gt;0, MIN(AQ90,$I90-SUM($L90:AQ90)), MAX(AQ90,$I90-SUM($L90:AQ90)))</f>
        <v>4.9459506733474301</v>
      </c>
    </row>
    <row r="91" spans="2:44" ht="15" customHeight="1">
      <c r="D91" s="147"/>
      <c r="E91" s="180">
        <v>34424</v>
      </c>
      <c r="G91" s="156" t="s">
        <v>657</v>
      </c>
      <c r="H91" s="149"/>
      <c r="I91" s="145">
        <f t="shared" si="6"/>
        <v>196.13030907278159</v>
      </c>
      <c r="J91" s="31" t="s">
        <v>54</v>
      </c>
      <c r="K91" s="147"/>
      <c r="L91" s="145"/>
      <c r="M91" s="145"/>
      <c r="N91" s="145"/>
      <c r="O91" s="107">
        <f>$I91/N$82</f>
        <v>5.8897990712547026</v>
      </c>
      <c r="P91" s="145">
        <f>IF($I91 &gt;0, MIN(O91,$I91-SUM($L91:O91)), MAX(O91,$I91-SUM($L91:O91)))</f>
        <v>5.8897990712547026</v>
      </c>
      <c r="Q91" s="145">
        <f>IF($I91 &gt;0, MIN(P91,$I91-SUM($L91:P91)), MAX(P91,$I91-SUM($L91:P91)))</f>
        <v>5.8897990712547026</v>
      </c>
      <c r="R91" s="145">
        <f>IF($I91 &gt;0, MIN(Q91,$I91-SUM($L91:Q91)), MAX(Q91,$I91-SUM($L91:Q91)))</f>
        <v>5.8897990712547026</v>
      </c>
      <c r="S91" s="145">
        <f>IF($I91 &gt;0, MIN(R91,$I91-SUM($L91:R91)), MAX(R91,$I91-SUM($L91:R91)))</f>
        <v>5.8897990712547026</v>
      </c>
      <c r="T91" s="145">
        <f>IF($I91 &gt;0, MIN(S91,$I91-SUM($L91:S91)), MAX(S91,$I91-SUM($L91:S91)))</f>
        <v>5.8897990712547026</v>
      </c>
      <c r="U91" s="145">
        <f>IF($I91 &gt;0, MIN(T91,$I91-SUM($L91:T91)), MAX(T91,$I91-SUM($L91:T91)))</f>
        <v>5.8897990712547026</v>
      </c>
      <c r="V91" s="145">
        <f>IF($I91 &gt;0, MIN(U91,$I91-SUM($L91:U91)), MAX(U91,$I91-SUM($L91:U91)))</f>
        <v>5.8897990712547026</v>
      </c>
      <c r="W91" s="145">
        <f>IF($I91 &gt;0, MIN(V91,$I91-SUM($L91:V91)), MAX(V91,$I91-SUM($L91:V91)))</f>
        <v>5.8897990712547026</v>
      </c>
      <c r="X91" s="145">
        <f>IF($I91 &gt;0, MIN(W91,$I91-SUM($L91:W91)), MAX(W91,$I91-SUM($L91:W91)))</f>
        <v>5.8897990712547026</v>
      </c>
      <c r="Y91" s="145">
        <f>IF($I91 &gt;0, MIN(X91,$I91-SUM($L91:X91)), MAX(X91,$I91-SUM($L91:X91)))</f>
        <v>5.8897990712547026</v>
      </c>
      <c r="Z91" s="145">
        <f>IF($I91 &gt;0, MIN(Y91,$I91-SUM($L91:Y91)), MAX(Y91,$I91-SUM($L91:Y91)))</f>
        <v>5.8897990712547026</v>
      </c>
      <c r="AA91" s="145">
        <f>IF($I91 &gt;0, MIN(Z91,$I91-SUM($L91:Z91)), MAX(Z91,$I91-SUM($L91:Z91)))</f>
        <v>5.8897990712547026</v>
      </c>
      <c r="AB91" s="145">
        <f>IF($I91 &gt;0, MIN(AA91,$I91-SUM($L91:AA91)), MAX(AA91,$I91-SUM($L91:AA91)))</f>
        <v>5.8897990712547026</v>
      </c>
      <c r="AC91" s="145">
        <f>IF($I91 &gt;0, MIN(AB91,$I91-SUM($L91:AB91)), MAX(AB91,$I91-SUM($L91:AB91)))</f>
        <v>5.8897990712547026</v>
      </c>
      <c r="AD91" s="145">
        <f>IF($I91 &gt;0, MIN(AC91,$I91-SUM($L91:AC91)), MAX(AC91,$I91-SUM($L91:AC91)))</f>
        <v>5.8897990712547026</v>
      </c>
      <c r="AE91" s="145">
        <f>IF($I91 &gt;0, MIN(AD91,$I91-SUM($L91:AD91)), MAX(AD91,$I91-SUM($L91:AD91)))</f>
        <v>5.8897990712547026</v>
      </c>
      <c r="AF91" s="145">
        <f>IF($I91 &gt;0, MIN(AE91,$I91-SUM($L91:AE91)), MAX(AE91,$I91-SUM($L91:AE91)))</f>
        <v>5.8897990712547026</v>
      </c>
      <c r="AG91" s="145">
        <f>IF($I91 &gt;0, MIN(AF91,$I91-SUM($L91:AF91)), MAX(AF91,$I91-SUM($L91:AF91)))</f>
        <v>5.8897990712547026</v>
      </c>
      <c r="AH91" s="145">
        <f>IF($I91 &gt;0, MIN(AG91,$I91-SUM($L91:AG91)), MAX(AG91,$I91-SUM($L91:AG91)))</f>
        <v>5.8897990712547026</v>
      </c>
      <c r="AI91" s="145">
        <f>IF($I91 &gt;0, MIN(AH91,$I91-SUM($L91:AH91)), MAX(AH91,$I91-SUM($L91:AH91)))</f>
        <v>5.8897990712547026</v>
      </c>
      <c r="AJ91" s="145">
        <f>IF($I91 &gt;0, MIN(AI91,$I91-SUM($L91:AI91)), MAX(AI91,$I91-SUM($L91:AI91)))</f>
        <v>5.8897990712547026</v>
      </c>
      <c r="AK91" s="145">
        <f>IF($I91 &gt;0, MIN(AJ91,$I91-SUM($L91:AJ91)), MAX(AJ91,$I91-SUM($L91:AJ91)))</f>
        <v>5.8897990712547026</v>
      </c>
      <c r="AL91" s="145">
        <f>IF($I91 &gt;0, MIN(AK91,$I91-SUM($L91:AK91)), MAX(AK91,$I91-SUM($L91:AK91)))</f>
        <v>5.8897990712547026</v>
      </c>
      <c r="AM91" s="145">
        <f>IF($I91 &gt;0, MIN(AL91,$I91-SUM($L91:AL91)), MAX(AL91,$I91-SUM($L91:AL91)))</f>
        <v>5.8897990712547026</v>
      </c>
      <c r="AN91" s="145">
        <f>IF($I91 &gt;0, MIN(AM91,$I91-SUM($L91:AM91)), MAX(AM91,$I91-SUM($L91:AM91)))</f>
        <v>5.8897990712547026</v>
      </c>
      <c r="AO91" s="145">
        <f>IF($I91 &gt;0, MIN(AN91,$I91-SUM($L91:AN91)), MAX(AN91,$I91-SUM($L91:AN91)))</f>
        <v>5.8897990712547026</v>
      </c>
      <c r="AP91" s="145">
        <f>IF($I91 &gt;0, MIN(AO91,$I91-SUM($L91:AO91)), MAX(AO91,$I91-SUM($L91:AO91)))</f>
        <v>5.8897990712547026</v>
      </c>
      <c r="AQ91" s="145">
        <f>IF($I91 &gt;0, MIN(AP91,$I91-SUM($L91:AP91)), MAX(AP91,$I91-SUM($L91:AP91)))</f>
        <v>5.8897990712547026</v>
      </c>
      <c r="AR91" s="145">
        <f>IF($I91 &gt;0, MIN(AQ91,$I91-SUM($L91:AQ91)), MAX(AQ91,$I91-SUM($L91:AQ91)))</f>
        <v>5.8897990712547026</v>
      </c>
    </row>
    <row r="92" spans="2:44" ht="15" customHeight="1">
      <c r="D92" s="147"/>
      <c r="E92" s="180">
        <v>34789</v>
      </c>
      <c r="G92" s="156" t="s">
        <v>657</v>
      </c>
      <c r="H92" s="149"/>
      <c r="I92" s="145">
        <f t="shared" si="6"/>
        <v>190.89195046439625</v>
      </c>
      <c r="J92" s="31" t="s">
        <v>54</v>
      </c>
      <c r="K92" s="147"/>
      <c r="L92" s="145"/>
      <c r="M92" s="145"/>
      <c r="N92" s="145"/>
      <c r="O92" s="147"/>
      <c r="P92" s="107">
        <f>$I92/O$82</f>
        <v>5.7324910049368247</v>
      </c>
      <c r="Q92" s="145">
        <f>IF($I92 &gt;0, MIN(P92,$I92-SUM($L92:P92)), MAX(P92,$I92-SUM($L92:P92)))</f>
        <v>5.7324910049368247</v>
      </c>
      <c r="R92" s="145">
        <f>IF($I92 &gt;0, MIN(Q92,$I92-SUM($L92:Q92)), MAX(Q92,$I92-SUM($L92:Q92)))</f>
        <v>5.7324910049368247</v>
      </c>
      <c r="S92" s="145">
        <f>IF($I92 &gt;0, MIN(R92,$I92-SUM($L92:R92)), MAX(R92,$I92-SUM($L92:R92)))</f>
        <v>5.7324910049368247</v>
      </c>
      <c r="T92" s="145">
        <f>IF($I92 &gt;0, MIN(S92,$I92-SUM($L92:S92)), MAX(S92,$I92-SUM($L92:S92)))</f>
        <v>5.7324910049368247</v>
      </c>
      <c r="U92" s="145">
        <f>IF($I92 &gt;0, MIN(T92,$I92-SUM($L92:T92)), MAX(T92,$I92-SUM($L92:T92)))</f>
        <v>5.7324910049368247</v>
      </c>
      <c r="V92" s="145">
        <f>IF($I92 &gt;0, MIN(U92,$I92-SUM($L92:U92)), MAX(U92,$I92-SUM($L92:U92)))</f>
        <v>5.7324910049368247</v>
      </c>
      <c r="W92" s="145">
        <f>IF($I92 &gt;0, MIN(V92,$I92-SUM($L92:V92)), MAX(V92,$I92-SUM($L92:V92)))</f>
        <v>5.7324910049368247</v>
      </c>
      <c r="X92" s="145">
        <f>IF($I92 &gt;0, MIN(W92,$I92-SUM($L92:W92)), MAX(W92,$I92-SUM($L92:W92)))</f>
        <v>5.7324910049368247</v>
      </c>
      <c r="Y92" s="145">
        <f>IF($I92 &gt;0, MIN(X92,$I92-SUM($L92:X92)), MAX(X92,$I92-SUM($L92:X92)))</f>
        <v>5.7324910049368247</v>
      </c>
      <c r="Z92" s="145">
        <f>IF($I92 &gt;0, MIN(Y92,$I92-SUM($L92:Y92)), MAX(Y92,$I92-SUM($L92:Y92)))</f>
        <v>5.7324910049368247</v>
      </c>
      <c r="AA92" s="145">
        <f>IF($I92 &gt;0, MIN(Z92,$I92-SUM($L92:Z92)), MAX(Z92,$I92-SUM($L92:Z92)))</f>
        <v>5.7324910049368247</v>
      </c>
      <c r="AB92" s="145">
        <f>IF($I92 &gt;0, MIN(AA92,$I92-SUM($L92:AA92)), MAX(AA92,$I92-SUM($L92:AA92)))</f>
        <v>5.7324910049368247</v>
      </c>
      <c r="AC92" s="145">
        <f>IF($I92 &gt;0, MIN(AB92,$I92-SUM($L92:AB92)), MAX(AB92,$I92-SUM($L92:AB92)))</f>
        <v>5.7324910049368247</v>
      </c>
      <c r="AD92" s="145">
        <f>IF($I92 &gt;0, MIN(AC92,$I92-SUM($L92:AC92)), MAX(AC92,$I92-SUM($L92:AC92)))</f>
        <v>5.7324910049368247</v>
      </c>
      <c r="AE92" s="145">
        <f>IF($I92 &gt;0, MIN(AD92,$I92-SUM($L92:AD92)), MAX(AD92,$I92-SUM($L92:AD92)))</f>
        <v>5.7324910049368247</v>
      </c>
      <c r="AF92" s="145">
        <f>IF($I92 &gt;0, MIN(AE92,$I92-SUM($L92:AE92)), MAX(AE92,$I92-SUM($L92:AE92)))</f>
        <v>5.7324910049368247</v>
      </c>
      <c r="AG92" s="145">
        <f>IF($I92 &gt;0, MIN(AF92,$I92-SUM($L92:AF92)), MAX(AF92,$I92-SUM($L92:AF92)))</f>
        <v>5.7324910049368247</v>
      </c>
      <c r="AH92" s="145">
        <f>IF($I92 &gt;0, MIN(AG92,$I92-SUM($L92:AG92)), MAX(AG92,$I92-SUM($L92:AG92)))</f>
        <v>5.7324910049368247</v>
      </c>
      <c r="AI92" s="145">
        <f>IF($I92 &gt;0, MIN(AH92,$I92-SUM($L92:AH92)), MAX(AH92,$I92-SUM($L92:AH92)))</f>
        <v>5.7324910049368247</v>
      </c>
      <c r="AJ92" s="145">
        <f>IF($I92 &gt;0, MIN(AI92,$I92-SUM($L92:AI92)), MAX(AI92,$I92-SUM($L92:AI92)))</f>
        <v>5.7324910049368247</v>
      </c>
      <c r="AK92" s="145">
        <f>IF($I92 &gt;0, MIN(AJ92,$I92-SUM($L92:AJ92)), MAX(AJ92,$I92-SUM($L92:AJ92)))</f>
        <v>5.7324910049368247</v>
      </c>
      <c r="AL92" s="145">
        <f>IF($I92 &gt;0, MIN(AK92,$I92-SUM($L92:AK92)), MAX(AK92,$I92-SUM($L92:AK92)))</f>
        <v>5.7324910049368247</v>
      </c>
      <c r="AM92" s="145">
        <f>IF($I92 &gt;0, MIN(AL92,$I92-SUM($L92:AL92)), MAX(AL92,$I92-SUM($L92:AL92)))</f>
        <v>5.7324910049368247</v>
      </c>
      <c r="AN92" s="145">
        <f>IF($I92 &gt;0, MIN(AM92,$I92-SUM($L92:AM92)), MAX(AM92,$I92-SUM($L92:AM92)))</f>
        <v>5.7324910049368247</v>
      </c>
      <c r="AO92" s="145">
        <f>IF($I92 &gt;0, MIN(AN92,$I92-SUM($L92:AN92)), MAX(AN92,$I92-SUM($L92:AN92)))</f>
        <v>5.7324910049368247</v>
      </c>
      <c r="AP92" s="145">
        <f>IF($I92 &gt;0, MIN(AO92,$I92-SUM($L92:AO92)), MAX(AO92,$I92-SUM($L92:AO92)))</f>
        <v>5.7324910049368247</v>
      </c>
      <c r="AQ92" s="145">
        <f>IF($I92 &gt;0, MIN(AP92,$I92-SUM($L92:AP92)), MAX(AP92,$I92-SUM($L92:AP92)))</f>
        <v>5.7324910049368247</v>
      </c>
      <c r="AR92" s="145">
        <f>IF($I92 &gt;0, MIN(AQ92,$I92-SUM($L92:AQ92)), MAX(AQ92,$I92-SUM($L92:AQ92)))</f>
        <v>5.7324910049368247</v>
      </c>
    </row>
    <row r="93" spans="2:44" ht="15" customHeight="1">
      <c r="D93" s="147"/>
      <c r="E93" s="180">
        <v>35155</v>
      </c>
      <c r="G93" s="156" t="s">
        <v>657</v>
      </c>
      <c r="H93" s="149"/>
      <c r="I93" s="145">
        <f t="shared" si="6"/>
        <v>198.59541900613948</v>
      </c>
      <c r="J93" s="31" t="s">
        <v>54</v>
      </c>
      <c r="K93" s="147"/>
      <c r="L93" s="145"/>
      <c r="M93" s="145"/>
      <c r="N93" s="145"/>
      <c r="O93" s="147"/>
      <c r="P93" s="147"/>
      <c r="Q93" s="107">
        <f>$I93/P$82</f>
        <v>5.9638263965807656</v>
      </c>
      <c r="R93" s="145">
        <f>IF($I93 &gt;0, MIN(Q93,$I93-SUM($L93:Q93)), MAX(Q93,$I93-SUM($L93:Q93)))</f>
        <v>5.9638263965807656</v>
      </c>
      <c r="S93" s="145">
        <f>IF($I93 &gt;0, MIN(R93,$I93-SUM($L93:R93)), MAX(R93,$I93-SUM($L93:R93)))</f>
        <v>5.9638263965807656</v>
      </c>
      <c r="T93" s="145">
        <f>IF($I93 &gt;0, MIN(S93,$I93-SUM($L93:S93)), MAX(S93,$I93-SUM($L93:S93)))</f>
        <v>5.9638263965807656</v>
      </c>
      <c r="U93" s="145">
        <f>IF($I93 &gt;0, MIN(T93,$I93-SUM($L93:T93)), MAX(T93,$I93-SUM($L93:T93)))</f>
        <v>5.9638263965807656</v>
      </c>
      <c r="V93" s="145">
        <f>IF($I93 &gt;0, MIN(U93,$I93-SUM($L93:U93)), MAX(U93,$I93-SUM($L93:U93)))</f>
        <v>5.9638263965807656</v>
      </c>
      <c r="W93" s="145">
        <f>IF($I93 &gt;0, MIN(V93,$I93-SUM($L93:V93)), MAX(V93,$I93-SUM($L93:V93)))</f>
        <v>5.9638263965807656</v>
      </c>
      <c r="X93" s="145">
        <f>IF($I93 &gt;0, MIN(W93,$I93-SUM($L93:W93)), MAX(W93,$I93-SUM($L93:W93)))</f>
        <v>5.9638263965807656</v>
      </c>
      <c r="Y93" s="145">
        <f>IF($I93 &gt;0, MIN(X93,$I93-SUM($L93:X93)), MAX(X93,$I93-SUM($L93:X93)))</f>
        <v>5.9638263965807656</v>
      </c>
      <c r="Z93" s="145">
        <f>IF($I93 &gt;0, MIN(Y93,$I93-SUM($L93:Y93)), MAX(Y93,$I93-SUM($L93:Y93)))</f>
        <v>5.9638263965807656</v>
      </c>
      <c r="AA93" s="145">
        <f>IF($I93 &gt;0, MIN(Z93,$I93-SUM($L93:Z93)), MAX(Z93,$I93-SUM($L93:Z93)))</f>
        <v>5.9638263965807656</v>
      </c>
      <c r="AB93" s="145">
        <f>IF($I93 &gt;0, MIN(AA93,$I93-SUM($L93:AA93)), MAX(AA93,$I93-SUM($L93:AA93)))</f>
        <v>5.9638263965807656</v>
      </c>
      <c r="AC93" s="145">
        <f>IF($I93 &gt;0, MIN(AB93,$I93-SUM($L93:AB93)), MAX(AB93,$I93-SUM($L93:AB93)))</f>
        <v>5.9638263965807656</v>
      </c>
      <c r="AD93" s="145">
        <f>IF($I93 &gt;0, MIN(AC93,$I93-SUM($L93:AC93)), MAX(AC93,$I93-SUM($L93:AC93)))</f>
        <v>5.9638263965807656</v>
      </c>
      <c r="AE93" s="145">
        <f>IF($I93 &gt;0, MIN(AD93,$I93-SUM($L93:AD93)), MAX(AD93,$I93-SUM($L93:AD93)))</f>
        <v>5.9638263965807656</v>
      </c>
      <c r="AF93" s="145">
        <f>IF($I93 &gt;0, MIN(AE93,$I93-SUM($L93:AE93)), MAX(AE93,$I93-SUM($L93:AE93)))</f>
        <v>5.9638263965807656</v>
      </c>
      <c r="AG93" s="145">
        <f>IF($I93 &gt;0, MIN(AF93,$I93-SUM($L93:AF93)), MAX(AF93,$I93-SUM($L93:AF93)))</f>
        <v>5.9638263965807656</v>
      </c>
      <c r="AH93" s="145">
        <f>IF($I93 &gt;0, MIN(AG93,$I93-SUM($L93:AG93)), MAX(AG93,$I93-SUM($L93:AG93)))</f>
        <v>5.9638263965807656</v>
      </c>
      <c r="AI93" s="145">
        <f>IF($I93 &gt;0, MIN(AH93,$I93-SUM($L93:AH93)), MAX(AH93,$I93-SUM($L93:AH93)))</f>
        <v>5.9638263965807656</v>
      </c>
      <c r="AJ93" s="145">
        <f>IF($I93 &gt;0, MIN(AI93,$I93-SUM($L93:AI93)), MAX(AI93,$I93-SUM($L93:AI93)))</f>
        <v>5.9638263965807656</v>
      </c>
      <c r="AK93" s="145">
        <f>IF($I93 &gt;0, MIN(AJ93,$I93-SUM($L93:AJ93)), MAX(AJ93,$I93-SUM($L93:AJ93)))</f>
        <v>5.9638263965807656</v>
      </c>
      <c r="AL93" s="145">
        <f>IF($I93 &gt;0, MIN(AK93,$I93-SUM($L93:AK93)), MAX(AK93,$I93-SUM($L93:AK93)))</f>
        <v>5.9638263965807656</v>
      </c>
      <c r="AM93" s="145">
        <f>IF($I93 &gt;0, MIN(AL93,$I93-SUM($L93:AL93)), MAX(AL93,$I93-SUM($L93:AL93)))</f>
        <v>5.9638263965807656</v>
      </c>
      <c r="AN93" s="145">
        <f>IF($I93 &gt;0, MIN(AM93,$I93-SUM($L93:AM93)), MAX(AM93,$I93-SUM($L93:AM93)))</f>
        <v>5.9638263965807656</v>
      </c>
      <c r="AO93" s="145">
        <f>IF($I93 &gt;0, MIN(AN93,$I93-SUM($L93:AN93)), MAX(AN93,$I93-SUM($L93:AN93)))</f>
        <v>5.9638263965807656</v>
      </c>
      <c r="AP93" s="145">
        <f>IF($I93 &gt;0, MIN(AO93,$I93-SUM($L93:AO93)), MAX(AO93,$I93-SUM($L93:AO93)))</f>
        <v>5.9638263965807656</v>
      </c>
      <c r="AQ93" s="145">
        <f>IF($I93 &gt;0, MIN(AP93,$I93-SUM($L93:AP93)), MAX(AP93,$I93-SUM($L93:AP93)))</f>
        <v>5.9638263965807656</v>
      </c>
      <c r="AR93" s="145">
        <f>IF($I93 &gt;0, MIN(AQ93,$I93-SUM($L93:AQ93)), MAX(AQ93,$I93-SUM($L93:AQ93)))</f>
        <v>5.9638263965807656</v>
      </c>
    </row>
    <row r="94" spans="2:44" ht="15" customHeight="1">
      <c r="D94" s="147"/>
      <c r="E94" s="180">
        <v>35520</v>
      </c>
      <c r="G94" s="156" t="s">
        <v>657</v>
      </c>
      <c r="H94" s="149"/>
      <c r="I94" s="145">
        <f t="shared" si="6"/>
        <v>211.22910741459825</v>
      </c>
      <c r="J94" s="31" t="s">
        <v>54</v>
      </c>
      <c r="K94" s="147"/>
      <c r="L94" s="145"/>
      <c r="M94" s="145"/>
      <c r="N94" s="145"/>
      <c r="O94" s="147"/>
      <c r="P94" s="147"/>
      <c r="Q94" s="147"/>
      <c r="R94" s="107">
        <f>$I94/Q$82</f>
        <v>6.3432164388768246</v>
      </c>
      <c r="S94" s="145">
        <f>IF($I94 &gt;0, MIN(R94,$I94-SUM($L94:R94)), MAX(R94,$I94-SUM($L94:R94)))</f>
        <v>6.3432164388768246</v>
      </c>
      <c r="T94" s="145">
        <f>IF($I94 &gt;0, MIN(S94,$I94-SUM($L94:S94)), MAX(S94,$I94-SUM($L94:S94)))</f>
        <v>6.3432164388768246</v>
      </c>
      <c r="U94" s="145">
        <f>IF($I94 &gt;0, MIN(T94,$I94-SUM($L94:T94)), MAX(T94,$I94-SUM($L94:T94)))</f>
        <v>6.3432164388768246</v>
      </c>
      <c r="V94" s="145">
        <f>IF($I94 &gt;0, MIN(U94,$I94-SUM($L94:U94)), MAX(U94,$I94-SUM($L94:U94)))</f>
        <v>6.3432164388768246</v>
      </c>
      <c r="W94" s="145">
        <f>IF($I94 &gt;0, MIN(V94,$I94-SUM($L94:V94)), MAX(V94,$I94-SUM($L94:V94)))</f>
        <v>6.3432164388768246</v>
      </c>
      <c r="X94" s="145">
        <f>IF($I94 &gt;0, MIN(W94,$I94-SUM($L94:W94)), MAX(W94,$I94-SUM($L94:W94)))</f>
        <v>6.3432164388768246</v>
      </c>
      <c r="Y94" s="145">
        <f>IF($I94 &gt;0, MIN(X94,$I94-SUM($L94:X94)), MAX(X94,$I94-SUM($L94:X94)))</f>
        <v>6.3432164388768246</v>
      </c>
      <c r="Z94" s="145">
        <f>IF($I94 &gt;0, MIN(Y94,$I94-SUM($L94:Y94)), MAX(Y94,$I94-SUM($L94:Y94)))</f>
        <v>6.3432164388768246</v>
      </c>
      <c r="AA94" s="145">
        <f>IF($I94 &gt;0, MIN(Z94,$I94-SUM($L94:Z94)), MAX(Z94,$I94-SUM($L94:Z94)))</f>
        <v>6.3432164388768246</v>
      </c>
      <c r="AB94" s="145">
        <f>IF($I94 &gt;0, MIN(AA94,$I94-SUM($L94:AA94)), MAX(AA94,$I94-SUM($L94:AA94)))</f>
        <v>6.3432164388768246</v>
      </c>
      <c r="AC94" s="145">
        <f>IF($I94 &gt;0, MIN(AB94,$I94-SUM($L94:AB94)), MAX(AB94,$I94-SUM($L94:AB94)))</f>
        <v>6.3432164388768246</v>
      </c>
      <c r="AD94" s="145">
        <f>IF($I94 &gt;0, MIN(AC94,$I94-SUM($L94:AC94)), MAX(AC94,$I94-SUM($L94:AC94)))</f>
        <v>6.3432164388768246</v>
      </c>
      <c r="AE94" s="145">
        <f>IF($I94 &gt;0, MIN(AD94,$I94-SUM($L94:AD94)), MAX(AD94,$I94-SUM($L94:AD94)))</f>
        <v>6.3432164388768246</v>
      </c>
      <c r="AF94" s="145">
        <f>IF($I94 &gt;0, MIN(AE94,$I94-SUM($L94:AE94)), MAX(AE94,$I94-SUM($L94:AE94)))</f>
        <v>6.3432164388768246</v>
      </c>
      <c r="AG94" s="145">
        <f>IF($I94 &gt;0, MIN(AF94,$I94-SUM($L94:AF94)), MAX(AF94,$I94-SUM($L94:AF94)))</f>
        <v>6.3432164388768246</v>
      </c>
      <c r="AH94" s="145">
        <f>IF($I94 &gt;0, MIN(AG94,$I94-SUM($L94:AG94)), MAX(AG94,$I94-SUM($L94:AG94)))</f>
        <v>6.3432164388768246</v>
      </c>
      <c r="AI94" s="145">
        <f>IF($I94 &gt;0, MIN(AH94,$I94-SUM($L94:AH94)), MAX(AH94,$I94-SUM($L94:AH94)))</f>
        <v>6.3432164388768246</v>
      </c>
      <c r="AJ94" s="145">
        <f>IF($I94 &gt;0, MIN(AI94,$I94-SUM($L94:AI94)), MAX(AI94,$I94-SUM($L94:AI94)))</f>
        <v>6.3432164388768246</v>
      </c>
      <c r="AK94" s="145">
        <f>IF($I94 &gt;0, MIN(AJ94,$I94-SUM($L94:AJ94)), MAX(AJ94,$I94-SUM($L94:AJ94)))</f>
        <v>6.3432164388768246</v>
      </c>
      <c r="AL94" s="145">
        <f>IF($I94 &gt;0, MIN(AK94,$I94-SUM($L94:AK94)), MAX(AK94,$I94-SUM($L94:AK94)))</f>
        <v>6.3432164388768246</v>
      </c>
      <c r="AM94" s="145">
        <f>IF($I94 &gt;0, MIN(AL94,$I94-SUM($L94:AL94)), MAX(AL94,$I94-SUM($L94:AL94)))</f>
        <v>6.3432164388768246</v>
      </c>
      <c r="AN94" s="145">
        <f>IF($I94 &gt;0, MIN(AM94,$I94-SUM($L94:AM94)), MAX(AM94,$I94-SUM($L94:AM94)))</f>
        <v>6.3432164388768246</v>
      </c>
      <c r="AO94" s="145">
        <f>IF($I94 &gt;0, MIN(AN94,$I94-SUM($L94:AN94)), MAX(AN94,$I94-SUM($L94:AN94)))</f>
        <v>6.3432164388768246</v>
      </c>
      <c r="AP94" s="145">
        <f>IF($I94 &gt;0, MIN(AO94,$I94-SUM($L94:AO94)), MAX(AO94,$I94-SUM($L94:AO94)))</f>
        <v>6.3432164388768246</v>
      </c>
      <c r="AQ94" s="145">
        <f>IF($I94 &gt;0, MIN(AP94,$I94-SUM($L94:AP94)), MAX(AP94,$I94-SUM($L94:AP94)))</f>
        <v>6.3432164388768246</v>
      </c>
      <c r="AR94" s="145">
        <f>IF($I94 &gt;0, MIN(AQ94,$I94-SUM($L94:AQ94)), MAX(AQ94,$I94-SUM($L94:AQ94)))</f>
        <v>6.3432164388768246</v>
      </c>
    </row>
    <row r="95" spans="2:44" ht="15" customHeight="1">
      <c r="D95" s="147"/>
      <c r="E95" s="180">
        <v>35885</v>
      </c>
      <c r="G95" s="156" t="s">
        <v>657</v>
      </c>
      <c r="H95" s="149"/>
      <c r="I95" s="145">
        <f t="shared" si="6"/>
        <v>194.74368473526786</v>
      </c>
      <c r="J95" s="31" t="s">
        <v>54</v>
      </c>
      <c r="K95" s="147"/>
      <c r="L95" s="145"/>
      <c r="M95" s="145"/>
      <c r="N95" s="145"/>
      <c r="O95" s="147"/>
      <c r="P95" s="147"/>
      <c r="Q95" s="147"/>
      <c r="R95" s="147"/>
      <c r="S95" s="107">
        <f>$I95/R$82</f>
        <v>5.8481587007587947</v>
      </c>
      <c r="T95" s="145">
        <f>IF($I95 &gt;0, MIN(S95,$I95-SUM($L95:S95)), MAX(S95,$I95-SUM($L95:S95)))</f>
        <v>5.8481587007587947</v>
      </c>
      <c r="U95" s="145">
        <f>IF($I95 &gt;0, MIN(T95,$I95-SUM($L95:T95)), MAX(T95,$I95-SUM($L95:T95)))</f>
        <v>5.8481587007587947</v>
      </c>
      <c r="V95" s="145">
        <f>IF($I95 &gt;0, MIN(U95,$I95-SUM($L95:U95)), MAX(U95,$I95-SUM($L95:U95)))</f>
        <v>5.8481587007587947</v>
      </c>
      <c r="W95" s="145">
        <f>IF($I95 &gt;0, MIN(V95,$I95-SUM($L95:V95)), MAX(V95,$I95-SUM($L95:V95)))</f>
        <v>5.8481587007587947</v>
      </c>
      <c r="X95" s="145">
        <f>IF($I95 &gt;0, MIN(W95,$I95-SUM($L95:W95)), MAX(W95,$I95-SUM($L95:W95)))</f>
        <v>5.8481587007587947</v>
      </c>
      <c r="Y95" s="145">
        <f>IF($I95 &gt;0, MIN(X95,$I95-SUM($L95:X95)), MAX(X95,$I95-SUM($L95:X95)))</f>
        <v>5.8481587007587947</v>
      </c>
      <c r="Z95" s="145">
        <f>IF($I95 &gt;0, MIN(Y95,$I95-SUM($L95:Y95)), MAX(Y95,$I95-SUM($L95:Y95)))</f>
        <v>5.8481587007587947</v>
      </c>
      <c r="AA95" s="145">
        <f>IF($I95 &gt;0, MIN(Z95,$I95-SUM($L95:Z95)), MAX(Z95,$I95-SUM($L95:Z95)))</f>
        <v>5.8481587007587947</v>
      </c>
      <c r="AB95" s="145">
        <f>IF($I95 &gt;0, MIN(AA95,$I95-SUM($L95:AA95)), MAX(AA95,$I95-SUM($L95:AA95)))</f>
        <v>5.8481587007587947</v>
      </c>
      <c r="AC95" s="145">
        <f>IF($I95 &gt;0, MIN(AB95,$I95-SUM($L95:AB95)), MAX(AB95,$I95-SUM($L95:AB95)))</f>
        <v>5.8481587007587947</v>
      </c>
      <c r="AD95" s="145">
        <f>IF($I95 &gt;0, MIN(AC95,$I95-SUM($L95:AC95)), MAX(AC95,$I95-SUM($L95:AC95)))</f>
        <v>5.8481587007587947</v>
      </c>
      <c r="AE95" s="145">
        <f>IF($I95 &gt;0, MIN(AD95,$I95-SUM($L95:AD95)), MAX(AD95,$I95-SUM($L95:AD95)))</f>
        <v>5.8481587007587947</v>
      </c>
      <c r="AF95" s="145">
        <f>IF($I95 &gt;0, MIN(AE95,$I95-SUM($L95:AE95)), MAX(AE95,$I95-SUM($L95:AE95)))</f>
        <v>5.8481587007587947</v>
      </c>
      <c r="AG95" s="145">
        <f>IF($I95 &gt;0, MIN(AF95,$I95-SUM($L95:AF95)), MAX(AF95,$I95-SUM($L95:AF95)))</f>
        <v>5.8481587007587947</v>
      </c>
      <c r="AH95" s="145">
        <f>IF($I95 &gt;0, MIN(AG95,$I95-SUM($L95:AG95)), MAX(AG95,$I95-SUM($L95:AG95)))</f>
        <v>5.8481587007587947</v>
      </c>
      <c r="AI95" s="145">
        <f>IF($I95 &gt;0, MIN(AH95,$I95-SUM($L95:AH95)), MAX(AH95,$I95-SUM($L95:AH95)))</f>
        <v>5.8481587007587947</v>
      </c>
      <c r="AJ95" s="145">
        <f>IF($I95 &gt;0, MIN(AI95,$I95-SUM($L95:AI95)), MAX(AI95,$I95-SUM($L95:AI95)))</f>
        <v>5.8481587007587947</v>
      </c>
      <c r="AK95" s="145">
        <f>IF($I95 &gt;0, MIN(AJ95,$I95-SUM($L95:AJ95)), MAX(AJ95,$I95-SUM($L95:AJ95)))</f>
        <v>5.8481587007587947</v>
      </c>
      <c r="AL95" s="145">
        <f>IF($I95 &gt;0, MIN(AK95,$I95-SUM($L95:AK95)), MAX(AK95,$I95-SUM($L95:AK95)))</f>
        <v>5.8481587007587947</v>
      </c>
      <c r="AM95" s="145">
        <f>IF($I95 &gt;0, MIN(AL95,$I95-SUM($L95:AL95)), MAX(AL95,$I95-SUM($L95:AL95)))</f>
        <v>5.8481587007587947</v>
      </c>
      <c r="AN95" s="145">
        <f>IF($I95 &gt;0, MIN(AM95,$I95-SUM($L95:AM95)), MAX(AM95,$I95-SUM($L95:AM95)))</f>
        <v>5.8481587007587947</v>
      </c>
      <c r="AO95" s="145">
        <f>IF($I95 &gt;0, MIN(AN95,$I95-SUM($L95:AN95)), MAX(AN95,$I95-SUM($L95:AN95)))</f>
        <v>5.8481587007587947</v>
      </c>
      <c r="AP95" s="145">
        <f>IF($I95 &gt;0, MIN(AO95,$I95-SUM($L95:AO95)), MAX(AO95,$I95-SUM($L95:AO95)))</f>
        <v>5.8481587007587947</v>
      </c>
      <c r="AQ95" s="145">
        <f>IF($I95 &gt;0, MIN(AP95,$I95-SUM($L95:AP95)), MAX(AP95,$I95-SUM($L95:AP95)))</f>
        <v>5.8481587007587947</v>
      </c>
      <c r="AR95" s="145">
        <f>IF($I95 &gt;0, MIN(AQ95,$I95-SUM($L95:AQ95)), MAX(AQ95,$I95-SUM($L95:AQ95)))</f>
        <v>5.8481587007587947</v>
      </c>
    </row>
    <row r="96" spans="2:44" ht="15" customHeight="1">
      <c r="D96" s="147"/>
      <c r="E96" s="180">
        <v>36250</v>
      </c>
      <c r="G96" s="156" t="s">
        <v>657</v>
      </c>
      <c r="H96" s="149"/>
      <c r="I96" s="145">
        <f t="shared" si="6"/>
        <v>175.87346563991051</v>
      </c>
      <c r="J96" s="31" t="s">
        <v>54</v>
      </c>
      <c r="K96" s="147"/>
      <c r="L96" s="145"/>
      <c r="M96" s="145"/>
      <c r="N96" s="145"/>
      <c r="O96" s="147"/>
      <c r="P96" s="147"/>
      <c r="Q96" s="147"/>
      <c r="R96" s="147"/>
      <c r="S96" s="147"/>
      <c r="T96" s="107">
        <f>$I96/S$82</f>
        <v>5.2814854546519676</v>
      </c>
      <c r="U96" s="145">
        <f>IF($I96 &gt;0, MIN(T96,$I96-SUM($L96:T96)), MAX(T96,$I96-SUM($L96:T96)))</f>
        <v>5.2814854546519676</v>
      </c>
      <c r="V96" s="145">
        <f>IF($I96 &gt;0, MIN(U96,$I96-SUM($L96:U96)), MAX(U96,$I96-SUM($L96:U96)))</f>
        <v>5.2814854546519676</v>
      </c>
      <c r="W96" s="145">
        <f>IF($I96 &gt;0, MIN(V96,$I96-SUM($L96:V96)), MAX(V96,$I96-SUM($L96:V96)))</f>
        <v>5.2814854546519676</v>
      </c>
      <c r="X96" s="145">
        <f>IF($I96 &gt;0, MIN(W96,$I96-SUM($L96:W96)), MAX(W96,$I96-SUM($L96:W96)))</f>
        <v>5.2814854546519676</v>
      </c>
      <c r="Y96" s="145">
        <f>IF($I96 &gt;0, MIN(X96,$I96-SUM($L96:X96)), MAX(X96,$I96-SUM($L96:X96)))</f>
        <v>5.2814854546519676</v>
      </c>
      <c r="Z96" s="145">
        <f>IF($I96 &gt;0, MIN(Y96,$I96-SUM($L96:Y96)), MAX(Y96,$I96-SUM($L96:Y96)))</f>
        <v>5.2814854546519676</v>
      </c>
      <c r="AA96" s="145">
        <f>IF($I96 &gt;0, MIN(Z96,$I96-SUM($L96:Z96)), MAX(Z96,$I96-SUM($L96:Z96)))</f>
        <v>5.2814854546519676</v>
      </c>
      <c r="AB96" s="145">
        <f>IF($I96 &gt;0, MIN(AA96,$I96-SUM($L96:AA96)), MAX(AA96,$I96-SUM($L96:AA96)))</f>
        <v>5.2814854546519676</v>
      </c>
      <c r="AC96" s="145">
        <f>IF($I96 &gt;0, MIN(AB96,$I96-SUM($L96:AB96)), MAX(AB96,$I96-SUM($L96:AB96)))</f>
        <v>5.2814854546519676</v>
      </c>
      <c r="AD96" s="145">
        <f>IF($I96 &gt;0, MIN(AC96,$I96-SUM($L96:AC96)), MAX(AC96,$I96-SUM($L96:AC96)))</f>
        <v>5.2814854546519676</v>
      </c>
      <c r="AE96" s="145">
        <f>IF($I96 &gt;0, MIN(AD96,$I96-SUM($L96:AD96)), MAX(AD96,$I96-SUM($L96:AD96)))</f>
        <v>5.2814854546519676</v>
      </c>
      <c r="AF96" s="145">
        <f>IF($I96 &gt;0, MIN(AE96,$I96-SUM($L96:AE96)), MAX(AE96,$I96-SUM($L96:AE96)))</f>
        <v>5.2814854546519676</v>
      </c>
      <c r="AG96" s="145">
        <f>IF($I96 &gt;0, MIN(AF96,$I96-SUM($L96:AF96)), MAX(AF96,$I96-SUM($L96:AF96)))</f>
        <v>5.2814854546519676</v>
      </c>
      <c r="AH96" s="145">
        <f>IF($I96 &gt;0, MIN(AG96,$I96-SUM($L96:AG96)), MAX(AG96,$I96-SUM($L96:AG96)))</f>
        <v>5.2814854546519676</v>
      </c>
      <c r="AI96" s="145">
        <f>IF($I96 &gt;0, MIN(AH96,$I96-SUM($L96:AH96)), MAX(AH96,$I96-SUM($L96:AH96)))</f>
        <v>5.2814854546519676</v>
      </c>
      <c r="AJ96" s="145">
        <f>IF($I96 &gt;0, MIN(AI96,$I96-SUM($L96:AI96)), MAX(AI96,$I96-SUM($L96:AI96)))</f>
        <v>5.2814854546519676</v>
      </c>
      <c r="AK96" s="145">
        <f>IF($I96 &gt;0, MIN(AJ96,$I96-SUM($L96:AJ96)), MAX(AJ96,$I96-SUM($L96:AJ96)))</f>
        <v>5.2814854546519676</v>
      </c>
      <c r="AL96" s="145">
        <f>IF($I96 &gt;0, MIN(AK96,$I96-SUM($L96:AK96)), MAX(AK96,$I96-SUM($L96:AK96)))</f>
        <v>5.2814854546519676</v>
      </c>
      <c r="AM96" s="145">
        <f>IF($I96 &gt;0, MIN(AL96,$I96-SUM($L96:AL96)), MAX(AL96,$I96-SUM($L96:AL96)))</f>
        <v>5.2814854546519676</v>
      </c>
      <c r="AN96" s="145">
        <f>IF($I96 &gt;0, MIN(AM96,$I96-SUM($L96:AM96)), MAX(AM96,$I96-SUM($L96:AM96)))</f>
        <v>5.2814854546519676</v>
      </c>
      <c r="AO96" s="145">
        <f>IF($I96 &gt;0, MIN(AN96,$I96-SUM($L96:AN96)), MAX(AN96,$I96-SUM($L96:AN96)))</f>
        <v>5.2814854546519676</v>
      </c>
      <c r="AP96" s="145">
        <f>IF($I96 &gt;0, MIN(AO96,$I96-SUM($L96:AO96)), MAX(AO96,$I96-SUM($L96:AO96)))</f>
        <v>5.2814854546519676</v>
      </c>
      <c r="AQ96" s="145">
        <f>IF($I96 &gt;0, MIN(AP96,$I96-SUM($L96:AP96)), MAX(AP96,$I96-SUM($L96:AP96)))</f>
        <v>5.2814854546519676</v>
      </c>
      <c r="AR96" s="145">
        <f>IF($I96 &gt;0, MIN(AQ96,$I96-SUM($L96:AQ96)), MAX(AQ96,$I96-SUM($L96:AQ96)))</f>
        <v>5.2814854546519676</v>
      </c>
    </row>
    <row r="97" spans="4:44" ht="15" customHeight="1">
      <c r="D97" s="147"/>
      <c r="E97" s="180">
        <v>36616</v>
      </c>
      <c r="G97" s="156" t="s">
        <v>657</v>
      </c>
      <c r="H97" s="149"/>
      <c r="I97" s="145">
        <f t="shared" si="6"/>
        <v>147.08446047490233</v>
      </c>
      <c r="J97" s="31" t="s">
        <v>54</v>
      </c>
      <c r="K97" s="147"/>
      <c r="L97" s="145"/>
      <c r="M97" s="145"/>
      <c r="N97" s="145"/>
      <c r="O97" s="147"/>
      <c r="P97" s="147"/>
      <c r="Q97" s="147"/>
      <c r="R97" s="147"/>
      <c r="S97" s="147"/>
      <c r="T97" s="147"/>
      <c r="U97" s="107">
        <f>$I97/T$82</f>
        <v>4.4169507650120821</v>
      </c>
      <c r="V97" s="145">
        <f>IF($I97 &gt;0, MIN(U97,$I97-SUM($L97:U97)), MAX(U97,$I97-SUM($L97:U97)))</f>
        <v>4.4169507650120821</v>
      </c>
      <c r="W97" s="145">
        <f>IF($I97 &gt;0, MIN(V97,$I97-SUM($L97:V97)), MAX(V97,$I97-SUM($L97:V97)))</f>
        <v>4.4169507650120821</v>
      </c>
      <c r="X97" s="145">
        <f>IF($I97 &gt;0, MIN(W97,$I97-SUM($L97:W97)), MAX(W97,$I97-SUM($L97:W97)))</f>
        <v>4.4169507650120821</v>
      </c>
      <c r="Y97" s="145">
        <f>IF($I97 &gt;0, MIN(X97,$I97-SUM($L97:X97)), MAX(X97,$I97-SUM($L97:X97)))</f>
        <v>4.4169507650120821</v>
      </c>
      <c r="Z97" s="145">
        <f>IF($I97 &gt;0, MIN(Y97,$I97-SUM($L97:Y97)), MAX(Y97,$I97-SUM($L97:Y97)))</f>
        <v>4.4169507650120821</v>
      </c>
      <c r="AA97" s="145">
        <f>IF($I97 &gt;0, MIN(Z97,$I97-SUM($L97:Z97)), MAX(Z97,$I97-SUM($L97:Z97)))</f>
        <v>4.4169507650120821</v>
      </c>
      <c r="AB97" s="145">
        <f>IF($I97 &gt;0, MIN(AA97,$I97-SUM($L97:AA97)), MAX(AA97,$I97-SUM($L97:AA97)))</f>
        <v>4.4169507650120821</v>
      </c>
      <c r="AC97" s="145">
        <f>IF($I97 &gt;0, MIN(AB97,$I97-SUM($L97:AB97)), MAX(AB97,$I97-SUM($L97:AB97)))</f>
        <v>4.4169507650120821</v>
      </c>
      <c r="AD97" s="145">
        <f>IF($I97 &gt;0, MIN(AC97,$I97-SUM($L97:AC97)), MAX(AC97,$I97-SUM($L97:AC97)))</f>
        <v>4.4169507650120821</v>
      </c>
      <c r="AE97" s="145">
        <f>IF($I97 &gt;0, MIN(AD97,$I97-SUM($L97:AD97)), MAX(AD97,$I97-SUM($L97:AD97)))</f>
        <v>4.4169507650120821</v>
      </c>
      <c r="AF97" s="145">
        <f>IF($I97 &gt;0, MIN(AE97,$I97-SUM($L97:AE97)), MAX(AE97,$I97-SUM($L97:AE97)))</f>
        <v>4.4169507650120821</v>
      </c>
      <c r="AG97" s="145">
        <f>IF($I97 &gt;0, MIN(AF97,$I97-SUM($L97:AF97)), MAX(AF97,$I97-SUM($L97:AF97)))</f>
        <v>4.4169507650120821</v>
      </c>
      <c r="AH97" s="145">
        <f>IF($I97 &gt;0, MIN(AG97,$I97-SUM($L97:AG97)), MAX(AG97,$I97-SUM($L97:AG97)))</f>
        <v>4.4169507650120821</v>
      </c>
      <c r="AI97" s="145">
        <f>IF($I97 &gt;0, MIN(AH97,$I97-SUM($L97:AH97)), MAX(AH97,$I97-SUM($L97:AH97)))</f>
        <v>4.4169507650120821</v>
      </c>
      <c r="AJ97" s="145">
        <f>IF($I97 &gt;0, MIN(AI97,$I97-SUM($L97:AI97)), MAX(AI97,$I97-SUM($L97:AI97)))</f>
        <v>4.4169507650120821</v>
      </c>
      <c r="AK97" s="145">
        <f>IF($I97 &gt;0, MIN(AJ97,$I97-SUM($L97:AJ97)), MAX(AJ97,$I97-SUM($L97:AJ97)))</f>
        <v>4.4169507650120821</v>
      </c>
      <c r="AL97" s="145">
        <f>IF($I97 &gt;0, MIN(AK97,$I97-SUM($L97:AK97)), MAX(AK97,$I97-SUM($L97:AK97)))</f>
        <v>4.4169507650120821</v>
      </c>
      <c r="AM97" s="145">
        <f>IF($I97 &gt;0, MIN(AL97,$I97-SUM($L97:AL97)), MAX(AL97,$I97-SUM($L97:AL97)))</f>
        <v>4.4169507650120821</v>
      </c>
      <c r="AN97" s="145">
        <f>IF($I97 &gt;0, MIN(AM97,$I97-SUM($L97:AM97)), MAX(AM97,$I97-SUM($L97:AM97)))</f>
        <v>4.4169507650120821</v>
      </c>
      <c r="AO97" s="145">
        <f>IF($I97 &gt;0, MIN(AN97,$I97-SUM($L97:AN97)), MAX(AN97,$I97-SUM($L97:AN97)))</f>
        <v>4.4169507650120821</v>
      </c>
      <c r="AP97" s="145">
        <f>IF($I97 &gt;0, MIN(AO97,$I97-SUM($L97:AO97)), MAX(AO97,$I97-SUM($L97:AO97)))</f>
        <v>4.4169507650120821</v>
      </c>
      <c r="AQ97" s="145">
        <f>IF($I97 &gt;0, MIN(AP97,$I97-SUM($L97:AP97)), MAX(AP97,$I97-SUM($L97:AP97)))</f>
        <v>4.4169507650120821</v>
      </c>
      <c r="AR97" s="145">
        <f>IF($I97 &gt;0, MIN(AQ97,$I97-SUM($L97:AQ97)), MAX(AQ97,$I97-SUM($L97:AQ97)))</f>
        <v>4.4169507650120821</v>
      </c>
    </row>
    <row r="98" spans="4:44" ht="15" customHeight="1">
      <c r="D98" s="147"/>
      <c r="E98" s="180">
        <v>36981</v>
      </c>
      <c r="G98" s="156" t="s">
        <v>657</v>
      </c>
      <c r="H98" s="149"/>
      <c r="I98" s="145">
        <f t="shared" si="6"/>
        <v>125.97832883611149</v>
      </c>
      <c r="J98" s="31" t="s">
        <v>54</v>
      </c>
      <c r="K98" s="147"/>
      <c r="L98" s="145"/>
      <c r="M98" s="145"/>
      <c r="N98" s="145"/>
      <c r="O98" s="147"/>
      <c r="P98" s="147"/>
      <c r="Q98" s="147"/>
      <c r="R98" s="147"/>
      <c r="S98" s="147"/>
      <c r="T98" s="147"/>
      <c r="U98" s="147"/>
      <c r="V98" s="107">
        <f>$I98/U$82</f>
        <v>3.7831329980814266</v>
      </c>
      <c r="W98" s="145">
        <f>IF($I98 &gt;0, MIN(V98,$I98-SUM($L98:V98)), MAX(V98,$I98-SUM($L98:V98)))</f>
        <v>3.7831329980814266</v>
      </c>
      <c r="X98" s="145">
        <f>IF($I98 &gt;0, MIN(W98,$I98-SUM($L98:W98)), MAX(W98,$I98-SUM($L98:W98)))</f>
        <v>3.7831329980814266</v>
      </c>
      <c r="Y98" s="145">
        <f>IF($I98 &gt;0, MIN(X98,$I98-SUM($L98:X98)), MAX(X98,$I98-SUM($L98:X98)))</f>
        <v>3.7831329980814266</v>
      </c>
      <c r="Z98" s="145">
        <f>IF($I98 &gt;0, MIN(Y98,$I98-SUM($L98:Y98)), MAX(Y98,$I98-SUM($L98:Y98)))</f>
        <v>3.7831329980814266</v>
      </c>
      <c r="AA98" s="145">
        <f>IF($I98 &gt;0, MIN(Z98,$I98-SUM($L98:Z98)), MAX(Z98,$I98-SUM($L98:Z98)))</f>
        <v>3.7831329980814266</v>
      </c>
      <c r="AB98" s="145">
        <f>IF($I98 &gt;0, MIN(AA98,$I98-SUM($L98:AA98)), MAX(AA98,$I98-SUM($L98:AA98)))</f>
        <v>3.7831329980814266</v>
      </c>
      <c r="AC98" s="145">
        <f>IF($I98 &gt;0, MIN(AB98,$I98-SUM($L98:AB98)), MAX(AB98,$I98-SUM($L98:AB98)))</f>
        <v>3.7831329980814266</v>
      </c>
      <c r="AD98" s="145">
        <f>IF($I98 &gt;0, MIN(AC98,$I98-SUM($L98:AC98)), MAX(AC98,$I98-SUM($L98:AC98)))</f>
        <v>3.7831329980814266</v>
      </c>
      <c r="AE98" s="145">
        <f>IF($I98 &gt;0, MIN(AD98,$I98-SUM($L98:AD98)), MAX(AD98,$I98-SUM($L98:AD98)))</f>
        <v>3.7831329980814266</v>
      </c>
      <c r="AF98" s="145">
        <f>IF($I98 &gt;0, MIN(AE98,$I98-SUM($L98:AE98)), MAX(AE98,$I98-SUM($L98:AE98)))</f>
        <v>3.7831329980814266</v>
      </c>
      <c r="AG98" s="145">
        <f>IF($I98 &gt;0, MIN(AF98,$I98-SUM($L98:AF98)), MAX(AF98,$I98-SUM($L98:AF98)))</f>
        <v>3.7831329980814266</v>
      </c>
      <c r="AH98" s="145">
        <f>IF($I98 &gt;0, MIN(AG98,$I98-SUM($L98:AG98)), MAX(AG98,$I98-SUM($L98:AG98)))</f>
        <v>3.7831329980814266</v>
      </c>
      <c r="AI98" s="145">
        <f>IF($I98 &gt;0, MIN(AH98,$I98-SUM($L98:AH98)), MAX(AH98,$I98-SUM($L98:AH98)))</f>
        <v>3.7831329980814266</v>
      </c>
      <c r="AJ98" s="145">
        <f>IF($I98 &gt;0, MIN(AI98,$I98-SUM($L98:AI98)), MAX(AI98,$I98-SUM($L98:AI98)))</f>
        <v>3.7831329980814266</v>
      </c>
      <c r="AK98" s="145">
        <f>IF($I98 &gt;0, MIN(AJ98,$I98-SUM($L98:AJ98)), MAX(AJ98,$I98-SUM($L98:AJ98)))</f>
        <v>3.7831329980814266</v>
      </c>
      <c r="AL98" s="145">
        <f>IF($I98 &gt;0, MIN(AK98,$I98-SUM($L98:AK98)), MAX(AK98,$I98-SUM($L98:AK98)))</f>
        <v>3.7831329980814266</v>
      </c>
      <c r="AM98" s="145">
        <f>IF($I98 &gt;0, MIN(AL98,$I98-SUM($L98:AL98)), MAX(AL98,$I98-SUM($L98:AL98)))</f>
        <v>3.7831329980814266</v>
      </c>
      <c r="AN98" s="145">
        <f>IF($I98 &gt;0, MIN(AM98,$I98-SUM($L98:AM98)), MAX(AM98,$I98-SUM($L98:AM98)))</f>
        <v>3.7831329980814266</v>
      </c>
      <c r="AO98" s="145">
        <f>IF($I98 &gt;0, MIN(AN98,$I98-SUM($L98:AN98)), MAX(AN98,$I98-SUM($L98:AN98)))</f>
        <v>3.7831329980814266</v>
      </c>
      <c r="AP98" s="145">
        <f>IF($I98 &gt;0, MIN(AO98,$I98-SUM($L98:AO98)), MAX(AO98,$I98-SUM($L98:AO98)))</f>
        <v>3.7831329980814266</v>
      </c>
      <c r="AQ98" s="145">
        <f>IF($I98 &gt;0, MIN(AP98,$I98-SUM($L98:AP98)), MAX(AP98,$I98-SUM($L98:AP98)))</f>
        <v>3.7831329980814266</v>
      </c>
      <c r="AR98" s="145">
        <f>IF($I98 &gt;0, MIN(AQ98,$I98-SUM($L98:AQ98)), MAX(AQ98,$I98-SUM($L98:AQ98)))</f>
        <v>3.7831329980814266</v>
      </c>
    </row>
    <row r="99" spans="4:44" ht="15" customHeight="1">
      <c r="D99" s="147"/>
      <c r="E99" s="180">
        <v>37346</v>
      </c>
      <c r="G99" s="156" t="s">
        <v>657</v>
      </c>
      <c r="H99" s="149"/>
      <c r="I99" s="145">
        <f t="shared" si="6"/>
        <v>130.80244427294289</v>
      </c>
      <c r="J99" s="31" t="s">
        <v>54</v>
      </c>
      <c r="K99" s="147"/>
      <c r="L99" s="145"/>
      <c r="M99" s="145"/>
      <c r="N99" s="145"/>
      <c r="O99" s="147"/>
      <c r="P99" s="147"/>
      <c r="Q99" s="147"/>
      <c r="R99" s="147"/>
      <c r="S99" s="147"/>
      <c r="T99" s="147"/>
      <c r="U99" s="147"/>
      <c r="V99" s="147"/>
      <c r="W99" s="107">
        <f>$I99/V$82</f>
        <v>3.9280013295178051</v>
      </c>
      <c r="X99" s="145">
        <f>IF($I99 &gt;0, MIN(W99,$I99-SUM($L99:W99)), MAX(W99,$I99-SUM($L99:W99)))</f>
        <v>3.9280013295178051</v>
      </c>
      <c r="Y99" s="145">
        <f>IF($I99 &gt;0, MIN(X99,$I99-SUM($L99:X99)), MAX(X99,$I99-SUM($L99:X99)))</f>
        <v>3.9280013295178051</v>
      </c>
      <c r="Z99" s="145">
        <f>IF($I99 &gt;0, MIN(Y99,$I99-SUM($L99:Y99)), MAX(Y99,$I99-SUM($L99:Y99)))</f>
        <v>3.9280013295178051</v>
      </c>
      <c r="AA99" s="145">
        <f>IF($I99 &gt;0, MIN(Z99,$I99-SUM($L99:Z99)), MAX(Z99,$I99-SUM($L99:Z99)))</f>
        <v>3.9280013295178051</v>
      </c>
      <c r="AB99" s="145">
        <f>IF($I99 &gt;0, MIN(AA99,$I99-SUM($L99:AA99)), MAX(AA99,$I99-SUM($L99:AA99)))</f>
        <v>3.9280013295178051</v>
      </c>
      <c r="AC99" s="145">
        <f>IF($I99 &gt;0, MIN(AB99,$I99-SUM($L99:AB99)), MAX(AB99,$I99-SUM($L99:AB99)))</f>
        <v>3.9280013295178051</v>
      </c>
      <c r="AD99" s="145">
        <f>IF($I99 &gt;0, MIN(AC99,$I99-SUM($L99:AC99)), MAX(AC99,$I99-SUM($L99:AC99)))</f>
        <v>3.9280013295178051</v>
      </c>
      <c r="AE99" s="145">
        <f>IF($I99 &gt;0, MIN(AD99,$I99-SUM($L99:AD99)), MAX(AD99,$I99-SUM($L99:AD99)))</f>
        <v>3.9280013295178051</v>
      </c>
      <c r="AF99" s="145">
        <f>IF($I99 &gt;0, MIN(AE99,$I99-SUM($L99:AE99)), MAX(AE99,$I99-SUM($L99:AE99)))</f>
        <v>3.9280013295178051</v>
      </c>
      <c r="AG99" s="145">
        <f>IF($I99 &gt;0, MIN(AF99,$I99-SUM($L99:AF99)), MAX(AF99,$I99-SUM($L99:AF99)))</f>
        <v>3.9280013295178051</v>
      </c>
      <c r="AH99" s="145">
        <f>IF($I99 &gt;0, MIN(AG99,$I99-SUM($L99:AG99)), MAX(AG99,$I99-SUM($L99:AG99)))</f>
        <v>3.9280013295178051</v>
      </c>
      <c r="AI99" s="145">
        <f>IF($I99 &gt;0, MIN(AH99,$I99-SUM($L99:AH99)), MAX(AH99,$I99-SUM($L99:AH99)))</f>
        <v>3.9280013295178051</v>
      </c>
      <c r="AJ99" s="145">
        <f>IF($I99 &gt;0, MIN(AI99,$I99-SUM($L99:AI99)), MAX(AI99,$I99-SUM($L99:AI99)))</f>
        <v>3.9280013295178051</v>
      </c>
      <c r="AK99" s="145">
        <f>IF($I99 &gt;0, MIN(AJ99,$I99-SUM($L99:AJ99)), MAX(AJ99,$I99-SUM($L99:AJ99)))</f>
        <v>3.9280013295178051</v>
      </c>
      <c r="AL99" s="145">
        <f>IF($I99 &gt;0, MIN(AK99,$I99-SUM($L99:AK99)), MAX(AK99,$I99-SUM($L99:AK99)))</f>
        <v>3.9280013295178051</v>
      </c>
      <c r="AM99" s="145">
        <f>IF($I99 &gt;0, MIN(AL99,$I99-SUM($L99:AL99)), MAX(AL99,$I99-SUM($L99:AL99)))</f>
        <v>3.9280013295178051</v>
      </c>
      <c r="AN99" s="145">
        <f>IF($I99 &gt;0, MIN(AM99,$I99-SUM($L99:AM99)), MAX(AM99,$I99-SUM($L99:AM99)))</f>
        <v>3.9280013295178051</v>
      </c>
      <c r="AO99" s="145">
        <f>IF($I99 &gt;0, MIN(AN99,$I99-SUM($L99:AN99)), MAX(AN99,$I99-SUM($L99:AN99)))</f>
        <v>3.9280013295178051</v>
      </c>
      <c r="AP99" s="145">
        <f>IF($I99 &gt;0, MIN(AO99,$I99-SUM($L99:AO99)), MAX(AO99,$I99-SUM($L99:AO99)))</f>
        <v>3.9280013295178051</v>
      </c>
      <c r="AQ99" s="145">
        <f>IF($I99 &gt;0, MIN(AP99,$I99-SUM($L99:AP99)), MAX(AP99,$I99-SUM($L99:AP99)))</f>
        <v>3.9280013295178051</v>
      </c>
      <c r="AR99" s="145">
        <f>IF($I99 &gt;0, MIN(AQ99,$I99-SUM($L99:AQ99)), MAX(AQ99,$I99-SUM($L99:AQ99)))</f>
        <v>3.9280013295178051</v>
      </c>
    </row>
    <row r="100" spans="4:44" ht="15" customHeight="1">
      <c r="D100" s="147"/>
      <c r="E100" s="180">
        <v>37711</v>
      </c>
      <c r="G100" s="156" t="s">
        <v>657</v>
      </c>
      <c r="H100" s="149"/>
      <c r="I100" s="145">
        <f t="shared" si="6"/>
        <v>110.541159438251</v>
      </c>
      <c r="J100" s="31" t="s">
        <v>54</v>
      </c>
      <c r="K100" s="147"/>
      <c r="L100" s="145"/>
      <c r="M100" s="145"/>
      <c r="N100" s="145"/>
      <c r="O100" s="147"/>
      <c r="P100" s="147"/>
      <c r="Q100" s="147"/>
      <c r="R100" s="147"/>
      <c r="S100" s="147"/>
      <c r="T100" s="147"/>
      <c r="U100" s="147"/>
      <c r="V100" s="147"/>
      <c r="W100" s="147"/>
      <c r="X100" s="107">
        <f>$I100/W$82</f>
        <v>3.3195543374850152</v>
      </c>
      <c r="Y100" s="145">
        <f>IF($I100 &gt;0, MIN(X100,$I100-SUM($L100:X100)), MAX(X100,$I100-SUM($L100:X100)))</f>
        <v>3.3195543374850152</v>
      </c>
      <c r="Z100" s="145">
        <f>IF($I100 &gt;0, MIN(Y100,$I100-SUM($L100:Y100)), MAX(Y100,$I100-SUM($L100:Y100)))</f>
        <v>3.3195543374850152</v>
      </c>
      <c r="AA100" s="145">
        <f>IF($I100 &gt;0, MIN(Z100,$I100-SUM($L100:Z100)), MAX(Z100,$I100-SUM($L100:Z100)))</f>
        <v>3.3195543374850152</v>
      </c>
      <c r="AB100" s="145">
        <f>IF($I100 &gt;0, MIN(AA100,$I100-SUM($L100:AA100)), MAX(AA100,$I100-SUM($L100:AA100)))</f>
        <v>3.3195543374850152</v>
      </c>
      <c r="AC100" s="145">
        <f>IF($I100 &gt;0, MIN(AB100,$I100-SUM($L100:AB100)), MAX(AB100,$I100-SUM($L100:AB100)))</f>
        <v>3.3195543374850152</v>
      </c>
      <c r="AD100" s="145">
        <f>IF($I100 &gt;0, MIN(AC100,$I100-SUM($L100:AC100)), MAX(AC100,$I100-SUM($L100:AC100)))</f>
        <v>3.3195543374850152</v>
      </c>
      <c r="AE100" s="145">
        <f>IF($I100 &gt;0, MIN(AD100,$I100-SUM($L100:AD100)), MAX(AD100,$I100-SUM($L100:AD100)))</f>
        <v>3.3195543374850152</v>
      </c>
      <c r="AF100" s="145">
        <f>IF($I100 &gt;0, MIN(AE100,$I100-SUM($L100:AE100)), MAX(AE100,$I100-SUM($L100:AE100)))</f>
        <v>3.3195543374850152</v>
      </c>
      <c r="AG100" s="145">
        <f>IF($I100 &gt;0, MIN(AF100,$I100-SUM($L100:AF100)), MAX(AF100,$I100-SUM($L100:AF100)))</f>
        <v>3.3195543374850152</v>
      </c>
      <c r="AH100" s="145">
        <f>IF($I100 &gt;0, MIN(AG100,$I100-SUM($L100:AG100)), MAX(AG100,$I100-SUM($L100:AG100)))</f>
        <v>3.3195543374850152</v>
      </c>
      <c r="AI100" s="145">
        <f>IF($I100 &gt;0, MIN(AH100,$I100-SUM($L100:AH100)), MAX(AH100,$I100-SUM($L100:AH100)))</f>
        <v>3.3195543374850152</v>
      </c>
      <c r="AJ100" s="145">
        <f>IF($I100 &gt;0, MIN(AI100,$I100-SUM($L100:AI100)), MAX(AI100,$I100-SUM($L100:AI100)))</f>
        <v>3.3195543374850152</v>
      </c>
      <c r="AK100" s="145">
        <f>IF($I100 &gt;0, MIN(AJ100,$I100-SUM($L100:AJ100)), MAX(AJ100,$I100-SUM($L100:AJ100)))</f>
        <v>3.3195543374850152</v>
      </c>
      <c r="AL100" s="145">
        <f>IF($I100 &gt;0, MIN(AK100,$I100-SUM($L100:AK100)), MAX(AK100,$I100-SUM($L100:AK100)))</f>
        <v>3.3195543374850152</v>
      </c>
      <c r="AM100" s="145">
        <f>IF($I100 &gt;0, MIN(AL100,$I100-SUM($L100:AL100)), MAX(AL100,$I100-SUM($L100:AL100)))</f>
        <v>3.3195543374850152</v>
      </c>
      <c r="AN100" s="145">
        <f>IF($I100 &gt;0, MIN(AM100,$I100-SUM($L100:AM100)), MAX(AM100,$I100-SUM($L100:AM100)))</f>
        <v>3.3195543374850152</v>
      </c>
      <c r="AO100" s="145">
        <f>IF($I100 &gt;0, MIN(AN100,$I100-SUM($L100:AN100)), MAX(AN100,$I100-SUM($L100:AN100)))</f>
        <v>3.3195543374850152</v>
      </c>
      <c r="AP100" s="145">
        <f>IF($I100 &gt;0, MIN(AO100,$I100-SUM($L100:AO100)), MAX(AO100,$I100-SUM($L100:AO100)))</f>
        <v>3.3195543374850152</v>
      </c>
      <c r="AQ100" s="145">
        <f>IF($I100 &gt;0, MIN(AP100,$I100-SUM($L100:AP100)), MAX(AP100,$I100-SUM($L100:AP100)))</f>
        <v>3.3195543374850152</v>
      </c>
      <c r="AR100" s="145">
        <f>IF($I100 &gt;0, MIN(AQ100,$I100-SUM($L100:AQ100)), MAX(AQ100,$I100-SUM($L100:AQ100)))</f>
        <v>3.3195543374850152</v>
      </c>
    </row>
    <row r="101" spans="4:44" ht="15" customHeight="1">
      <c r="D101" s="147"/>
      <c r="E101" s="180">
        <v>38077</v>
      </c>
      <c r="G101" s="156" t="s">
        <v>657</v>
      </c>
      <c r="H101" s="149"/>
      <c r="I101" s="145">
        <f t="shared" si="6"/>
        <v>125.77347581860529</v>
      </c>
      <c r="J101" s="31" t="s">
        <v>54</v>
      </c>
      <c r="K101" s="147"/>
      <c r="L101" s="145"/>
      <c r="M101" s="145"/>
      <c r="N101" s="145"/>
      <c r="O101" s="147"/>
      <c r="P101" s="147"/>
      <c r="Q101" s="147"/>
      <c r="R101" s="147"/>
      <c r="S101" s="147"/>
      <c r="T101" s="147"/>
      <c r="U101" s="147"/>
      <c r="V101" s="147"/>
      <c r="W101" s="147"/>
      <c r="X101" s="147"/>
      <c r="Y101" s="107">
        <f>$I101/X$82</f>
        <v>3.7769812558139733</v>
      </c>
      <c r="Z101" s="145">
        <f>IF($I101 &gt;0, MIN(Y101,$I101-SUM($L101:Y101)), MAX(Y101,$I101-SUM($L101:Y101)))</f>
        <v>3.7769812558139733</v>
      </c>
      <c r="AA101" s="145">
        <f>IF($I101 &gt;0, MIN(Z101,$I101-SUM($L101:Z101)), MAX(Z101,$I101-SUM($L101:Z101)))</f>
        <v>3.7769812558139733</v>
      </c>
      <c r="AB101" s="145">
        <f>IF($I101 &gt;0, MIN(AA101,$I101-SUM($L101:AA101)), MAX(AA101,$I101-SUM($L101:AA101)))</f>
        <v>3.7769812558139733</v>
      </c>
      <c r="AC101" s="145">
        <f>IF($I101 &gt;0, MIN(AB101,$I101-SUM($L101:AB101)), MAX(AB101,$I101-SUM($L101:AB101)))</f>
        <v>3.7769812558139733</v>
      </c>
      <c r="AD101" s="145">
        <f>IF($I101 &gt;0, MIN(AC101,$I101-SUM($L101:AC101)), MAX(AC101,$I101-SUM($L101:AC101)))</f>
        <v>3.7769812558139733</v>
      </c>
      <c r="AE101" s="145">
        <f>IF($I101 &gt;0, MIN(AD101,$I101-SUM($L101:AD101)), MAX(AD101,$I101-SUM($L101:AD101)))</f>
        <v>3.7769812558139733</v>
      </c>
      <c r="AF101" s="145">
        <f>IF($I101 &gt;0, MIN(AE101,$I101-SUM($L101:AE101)), MAX(AE101,$I101-SUM($L101:AE101)))</f>
        <v>3.7769812558139733</v>
      </c>
      <c r="AG101" s="145">
        <f>IF($I101 &gt;0, MIN(AF101,$I101-SUM($L101:AF101)), MAX(AF101,$I101-SUM($L101:AF101)))</f>
        <v>3.7769812558139733</v>
      </c>
      <c r="AH101" s="145">
        <f>IF($I101 &gt;0, MIN(AG101,$I101-SUM($L101:AG101)), MAX(AG101,$I101-SUM($L101:AG101)))</f>
        <v>3.7769812558139733</v>
      </c>
      <c r="AI101" s="145">
        <f>IF($I101 &gt;0, MIN(AH101,$I101-SUM($L101:AH101)), MAX(AH101,$I101-SUM($L101:AH101)))</f>
        <v>3.7769812558139733</v>
      </c>
      <c r="AJ101" s="145">
        <f>IF($I101 &gt;0, MIN(AI101,$I101-SUM($L101:AI101)), MAX(AI101,$I101-SUM($L101:AI101)))</f>
        <v>3.7769812558139733</v>
      </c>
      <c r="AK101" s="145">
        <f>IF($I101 &gt;0, MIN(AJ101,$I101-SUM($L101:AJ101)), MAX(AJ101,$I101-SUM($L101:AJ101)))</f>
        <v>3.7769812558139733</v>
      </c>
      <c r="AL101" s="145">
        <f>IF($I101 &gt;0, MIN(AK101,$I101-SUM($L101:AK101)), MAX(AK101,$I101-SUM($L101:AK101)))</f>
        <v>3.7769812558139733</v>
      </c>
      <c r="AM101" s="145">
        <f>IF($I101 &gt;0, MIN(AL101,$I101-SUM($L101:AL101)), MAX(AL101,$I101-SUM($L101:AL101)))</f>
        <v>3.7769812558139733</v>
      </c>
      <c r="AN101" s="145">
        <f>IF($I101 &gt;0, MIN(AM101,$I101-SUM($L101:AM101)), MAX(AM101,$I101-SUM($L101:AM101)))</f>
        <v>3.7769812558139733</v>
      </c>
      <c r="AO101" s="145">
        <f>IF($I101 &gt;0, MIN(AN101,$I101-SUM($L101:AN101)), MAX(AN101,$I101-SUM($L101:AN101)))</f>
        <v>3.7769812558139733</v>
      </c>
      <c r="AP101" s="145">
        <f>IF($I101 &gt;0, MIN(AO101,$I101-SUM($L101:AO101)), MAX(AO101,$I101-SUM($L101:AO101)))</f>
        <v>3.7769812558139733</v>
      </c>
      <c r="AQ101" s="145">
        <f>IF($I101 &gt;0, MIN(AP101,$I101-SUM($L101:AP101)), MAX(AP101,$I101-SUM($L101:AP101)))</f>
        <v>3.7769812558139733</v>
      </c>
      <c r="AR101" s="145">
        <f>IF($I101 &gt;0, MIN(AQ101,$I101-SUM($L101:AQ101)), MAX(AQ101,$I101-SUM($L101:AQ101)))</f>
        <v>3.7769812558139733</v>
      </c>
    </row>
    <row r="102" spans="4:44" ht="15" customHeight="1">
      <c r="D102" s="147"/>
      <c r="E102" s="180">
        <v>38442</v>
      </c>
      <c r="G102" s="156" t="s">
        <v>657</v>
      </c>
      <c r="H102" s="149"/>
      <c r="I102" s="145">
        <f t="shared" si="6"/>
        <v>136.48520298735869</v>
      </c>
      <c r="J102" s="31" t="s">
        <v>54</v>
      </c>
      <c r="K102" s="147"/>
      <c r="L102" s="145"/>
      <c r="M102" s="145"/>
      <c r="N102" s="145"/>
      <c r="O102" s="147"/>
      <c r="P102" s="147"/>
      <c r="Q102" s="147"/>
      <c r="R102" s="147"/>
      <c r="S102" s="147"/>
      <c r="T102" s="147"/>
      <c r="U102" s="147"/>
      <c r="V102" s="147"/>
      <c r="W102" s="147"/>
      <c r="X102" s="147"/>
      <c r="Y102" s="147"/>
      <c r="Z102" s="107">
        <f>$I102/Y$82</f>
        <v>4.0986547443651258</v>
      </c>
      <c r="AA102" s="145">
        <f>IF($I102 &gt;0, MIN(Z102,$I102-SUM($L102:Z102)), MAX(Z102,$I102-SUM($L102:Z102)))</f>
        <v>4.0986547443651258</v>
      </c>
      <c r="AB102" s="145">
        <f>IF($I102 &gt;0, MIN(AA102,$I102-SUM($L102:AA102)), MAX(AA102,$I102-SUM($L102:AA102)))</f>
        <v>4.0986547443651258</v>
      </c>
      <c r="AC102" s="145">
        <f>IF($I102 &gt;0, MIN(AB102,$I102-SUM($L102:AB102)), MAX(AB102,$I102-SUM($L102:AB102)))</f>
        <v>4.0986547443651258</v>
      </c>
      <c r="AD102" s="145">
        <f>IF($I102 &gt;0, MIN(AC102,$I102-SUM($L102:AC102)), MAX(AC102,$I102-SUM($L102:AC102)))</f>
        <v>4.0986547443651258</v>
      </c>
      <c r="AE102" s="145">
        <f>IF($I102 &gt;0, MIN(AD102,$I102-SUM($L102:AD102)), MAX(AD102,$I102-SUM($L102:AD102)))</f>
        <v>4.0986547443651258</v>
      </c>
      <c r="AF102" s="145">
        <f>IF($I102 &gt;0, MIN(AE102,$I102-SUM($L102:AE102)), MAX(AE102,$I102-SUM($L102:AE102)))</f>
        <v>4.0986547443651258</v>
      </c>
      <c r="AG102" s="145">
        <f>IF($I102 &gt;0, MIN(AF102,$I102-SUM($L102:AF102)), MAX(AF102,$I102-SUM($L102:AF102)))</f>
        <v>4.0986547443651258</v>
      </c>
      <c r="AH102" s="145">
        <f>IF($I102 &gt;0, MIN(AG102,$I102-SUM($L102:AG102)), MAX(AG102,$I102-SUM($L102:AG102)))</f>
        <v>4.0986547443651258</v>
      </c>
      <c r="AI102" s="145">
        <f>IF($I102 &gt;0, MIN(AH102,$I102-SUM($L102:AH102)), MAX(AH102,$I102-SUM($L102:AH102)))</f>
        <v>4.0986547443651258</v>
      </c>
      <c r="AJ102" s="145">
        <f>IF($I102 &gt;0, MIN(AI102,$I102-SUM($L102:AI102)), MAX(AI102,$I102-SUM($L102:AI102)))</f>
        <v>4.0986547443651258</v>
      </c>
      <c r="AK102" s="145">
        <f>IF($I102 &gt;0, MIN(AJ102,$I102-SUM($L102:AJ102)), MAX(AJ102,$I102-SUM($L102:AJ102)))</f>
        <v>4.0986547443651258</v>
      </c>
      <c r="AL102" s="145">
        <f>IF($I102 &gt;0, MIN(AK102,$I102-SUM($L102:AK102)), MAX(AK102,$I102-SUM($L102:AK102)))</f>
        <v>4.0986547443651258</v>
      </c>
      <c r="AM102" s="145">
        <f>IF($I102 &gt;0, MIN(AL102,$I102-SUM($L102:AL102)), MAX(AL102,$I102-SUM($L102:AL102)))</f>
        <v>4.0986547443651258</v>
      </c>
      <c r="AN102" s="145">
        <f>IF($I102 &gt;0, MIN(AM102,$I102-SUM($L102:AM102)), MAX(AM102,$I102-SUM($L102:AM102)))</f>
        <v>4.0986547443651258</v>
      </c>
      <c r="AO102" s="145">
        <f>IF($I102 &gt;0, MIN(AN102,$I102-SUM($L102:AN102)), MAX(AN102,$I102-SUM($L102:AN102)))</f>
        <v>4.0986547443651258</v>
      </c>
      <c r="AP102" s="145">
        <f>IF($I102 &gt;0, MIN(AO102,$I102-SUM($L102:AO102)), MAX(AO102,$I102-SUM($L102:AO102)))</f>
        <v>4.0986547443651258</v>
      </c>
      <c r="AQ102" s="145">
        <f>IF($I102 &gt;0, MIN(AP102,$I102-SUM($L102:AP102)), MAX(AP102,$I102-SUM($L102:AP102)))</f>
        <v>4.0986547443651258</v>
      </c>
      <c r="AR102" s="145">
        <f>IF($I102 &gt;0, MIN(AQ102,$I102-SUM($L102:AQ102)), MAX(AQ102,$I102-SUM($L102:AQ102)))</f>
        <v>4.0986547443651258</v>
      </c>
    </row>
    <row r="103" spans="4:44" ht="15" customHeight="1">
      <c r="D103" s="147"/>
      <c r="E103" s="180">
        <v>38807</v>
      </c>
      <c r="G103" s="156" t="s">
        <v>657</v>
      </c>
      <c r="H103" s="149"/>
      <c r="I103" s="145">
        <f t="shared" si="6"/>
        <v>133.16539216595041</v>
      </c>
      <c r="J103" s="31" t="s">
        <v>54</v>
      </c>
      <c r="K103" s="147"/>
      <c r="L103" s="145"/>
      <c r="M103" s="145"/>
      <c r="N103" s="145"/>
      <c r="O103" s="147"/>
      <c r="P103" s="147"/>
      <c r="Q103" s="147"/>
      <c r="R103" s="147"/>
      <c r="S103" s="147"/>
      <c r="T103" s="147"/>
      <c r="U103" s="147"/>
      <c r="V103" s="147"/>
      <c r="W103" s="147"/>
      <c r="X103" s="147"/>
      <c r="Y103" s="147"/>
      <c r="Z103" s="147"/>
      <c r="AA103" s="107">
        <f>$I103/Z$82</f>
        <v>3.998960725704217</v>
      </c>
      <c r="AB103" s="145">
        <f>IF($I103 &gt;0, MIN(AA103,$I103-SUM($L103:AA103)), MAX(AA103,$I103-SUM($L103:AA103)))</f>
        <v>3.998960725704217</v>
      </c>
      <c r="AC103" s="145">
        <f>IF($I103 &gt;0, MIN(AB103,$I103-SUM($L103:AB103)), MAX(AB103,$I103-SUM($L103:AB103)))</f>
        <v>3.998960725704217</v>
      </c>
      <c r="AD103" s="145">
        <f>IF($I103 &gt;0, MIN(AC103,$I103-SUM($L103:AC103)), MAX(AC103,$I103-SUM($L103:AC103)))</f>
        <v>3.998960725704217</v>
      </c>
      <c r="AE103" s="145">
        <f>IF($I103 &gt;0, MIN(AD103,$I103-SUM($L103:AD103)), MAX(AD103,$I103-SUM($L103:AD103)))</f>
        <v>3.998960725704217</v>
      </c>
      <c r="AF103" s="145">
        <f>IF($I103 &gt;0, MIN(AE103,$I103-SUM($L103:AE103)), MAX(AE103,$I103-SUM($L103:AE103)))</f>
        <v>3.998960725704217</v>
      </c>
      <c r="AG103" s="145">
        <f>IF($I103 &gt;0, MIN(AF103,$I103-SUM($L103:AF103)), MAX(AF103,$I103-SUM($L103:AF103)))</f>
        <v>3.998960725704217</v>
      </c>
      <c r="AH103" s="145">
        <f>IF($I103 &gt;0, MIN(AG103,$I103-SUM($L103:AG103)), MAX(AG103,$I103-SUM($L103:AG103)))</f>
        <v>3.998960725704217</v>
      </c>
      <c r="AI103" s="145">
        <f>IF($I103 &gt;0, MIN(AH103,$I103-SUM($L103:AH103)), MAX(AH103,$I103-SUM($L103:AH103)))</f>
        <v>3.998960725704217</v>
      </c>
      <c r="AJ103" s="145">
        <f>IF($I103 &gt;0, MIN(AI103,$I103-SUM($L103:AI103)), MAX(AI103,$I103-SUM($L103:AI103)))</f>
        <v>3.998960725704217</v>
      </c>
      <c r="AK103" s="145">
        <f>IF($I103 &gt;0, MIN(AJ103,$I103-SUM($L103:AJ103)), MAX(AJ103,$I103-SUM($L103:AJ103)))</f>
        <v>3.998960725704217</v>
      </c>
      <c r="AL103" s="145">
        <f>IF($I103 &gt;0, MIN(AK103,$I103-SUM($L103:AK103)), MAX(AK103,$I103-SUM($L103:AK103)))</f>
        <v>3.998960725704217</v>
      </c>
      <c r="AM103" s="145">
        <f>IF($I103 &gt;0, MIN(AL103,$I103-SUM($L103:AL103)), MAX(AL103,$I103-SUM($L103:AL103)))</f>
        <v>3.998960725704217</v>
      </c>
      <c r="AN103" s="145">
        <f>IF($I103 &gt;0, MIN(AM103,$I103-SUM($L103:AM103)), MAX(AM103,$I103-SUM($L103:AM103)))</f>
        <v>3.998960725704217</v>
      </c>
      <c r="AO103" s="145">
        <f>IF($I103 &gt;0, MIN(AN103,$I103-SUM($L103:AN103)), MAX(AN103,$I103-SUM($L103:AN103)))</f>
        <v>3.998960725704217</v>
      </c>
      <c r="AP103" s="145">
        <f>IF($I103 &gt;0, MIN(AO103,$I103-SUM($L103:AO103)), MAX(AO103,$I103-SUM($L103:AO103)))</f>
        <v>3.998960725704217</v>
      </c>
      <c r="AQ103" s="145">
        <f>IF($I103 &gt;0, MIN(AP103,$I103-SUM($L103:AP103)), MAX(AP103,$I103-SUM($L103:AP103)))</f>
        <v>3.998960725704217</v>
      </c>
      <c r="AR103" s="145">
        <f>IF($I103 &gt;0, MIN(AQ103,$I103-SUM($L103:AQ103)), MAX(AQ103,$I103-SUM($L103:AQ103)))</f>
        <v>3.998960725704217</v>
      </c>
    </row>
    <row r="104" spans="4:44" ht="15" customHeight="1">
      <c r="D104" s="147"/>
      <c r="E104" s="180">
        <v>39172</v>
      </c>
      <c r="G104" s="156" t="s">
        <v>657</v>
      </c>
      <c r="H104" s="149"/>
      <c r="I104" s="145">
        <f t="shared" si="6"/>
        <v>138.99996854980139</v>
      </c>
      <c r="J104" s="31" t="s">
        <v>54</v>
      </c>
      <c r="K104" s="147"/>
      <c r="L104" s="145"/>
      <c r="M104" s="145"/>
      <c r="N104" s="145"/>
      <c r="O104" s="147"/>
      <c r="P104" s="147"/>
      <c r="Q104" s="147"/>
      <c r="R104" s="147"/>
      <c r="S104" s="147"/>
      <c r="T104" s="147"/>
      <c r="U104" s="147"/>
      <c r="V104" s="147"/>
      <c r="W104" s="147"/>
      <c r="X104" s="147"/>
      <c r="Y104" s="147"/>
      <c r="Z104" s="147"/>
      <c r="AA104" s="147"/>
      <c r="AB104" s="107">
        <f>$I104/AA$82</f>
        <v>4.1741732297237659</v>
      </c>
      <c r="AC104" s="145">
        <f>IF($I104 &gt;0, MIN(AB104,$I104-SUM($L104:AB104)), MAX(AB104,$I104-SUM($L104:AB104)))</f>
        <v>4.1741732297237659</v>
      </c>
      <c r="AD104" s="145">
        <f>IF($I104 &gt;0, MIN(AC104,$I104-SUM($L104:AC104)), MAX(AC104,$I104-SUM($L104:AC104)))</f>
        <v>4.1741732297237659</v>
      </c>
      <c r="AE104" s="145">
        <f>IF($I104 &gt;0, MIN(AD104,$I104-SUM($L104:AD104)), MAX(AD104,$I104-SUM($L104:AD104)))</f>
        <v>4.1741732297237659</v>
      </c>
      <c r="AF104" s="145">
        <f>IF($I104 &gt;0, MIN(AE104,$I104-SUM($L104:AE104)), MAX(AE104,$I104-SUM($L104:AE104)))</f>
        <v>4.1741732297237659</v>
      </c>
      <c r="AG104" s="145">
        <f>IF($I104 &gt;0, MIN(AF104,$I104-SUM($L104:AF104)), MAX(AF104,$I104-SUM($L104:AF104)))</f>
        <v>4.1741732297237659</v>
      </c>
      <c r="AH104" s="145">
        <f>IF($I104 &gt;0, MIN(AG104,$I104-SUM($L104:AG104)), MAX(AG104,$I104-SUM($L104:AG104)))</f>
        <v>4.1741732297237659</v>
      </c>
      <c r="AI104" s="145">
        <f>IF($I104 &gt;0, MIN(AH104,$I104-SUM($L104:AH104)), MAX(AH104,$I104-SUM($L104:AH104)))</f>
        <v>4.1741732297237659</v>
      </c>
      <c r="AJ104" s="145">
        <f>IF($I104 &gt;0, MIN(AI104,$I104-SUM($L104:AI104)), MAX(AI104,$I104-SUM($L104:AI104)))</f>
        <v>4.1741732297237659</v>
      </c>
      <c r="AK104" s="145">
        <f>IF($I104 &gt;0, MIN(AJ104,$I104-SUM($L104:AJ104)), MAX(AJ104,$I104-SUM($L104:AJ104)))</f>
        <v>4.1741732297237659</v>
      </c>
      <c r="AL104" s="145">
        <f>IF($I104 &gt;0, MIN(AK104,$I104-SUM($L104:AK104)), MAX(AK104,$I104-SUM($L104:AK104)))</f>
        <v>4.1741732297237659</v>
      </c>
      <c r="AM104" s="145">
        <f>IF($I104 &gt;0, MIN(AL104,$I104-SUM($L104:AL104)), MAX(AL104,$I104-SUM($L104:AL104)))</f>
        <v>4.1741732297237659</v>
      </c>
      <c r="AN104" s="145">
        <f>IF($I104 &gt;0, MIN(AM104,$I104-SUM($L104:AM104)), MAX(AM104,$I104-SUM($L104:AM104)))</f>
        <v>4.1741732297237659</v>
      </c>
      <c r="AO104" s="145">
        <f>IF($I104 &gt;0, MIN(AN104,$I104-SUM($L104:AN104)), MAX(AN104,$I104-SUM($L104:AN104)))</f>
        <v>4.1741732297237659</v>
      </c>
      <c r="AP104" s="145">
        <f>IF($I104 &gt;0, MIN(AO104,$I104-SUM($L104:AO104)), MAX(AO104,$I104-SUM($L104:AO104)))</f>
        <v>4.1741732297237659</v>
      </c>
      <c r="AQ104" s="145">
        <f>IF($I104 &gt;0, MIN(AP104,$I104-SUM($L104:AP104)), MAX(AP104,$I104-SUM($L104:AP104)))</f>
        <v>4.1741732297237659</v>
      </c>
      <c r="AR104" s="145">
        <f>IF($I104 &gt;0, MIN(AQ104,$I104-SUM($L104:AQ104)), MAX(AQ104,$I104-SUM($L104:AQ104)))</f>
        <v>4.1741732297237659</v>
      </c>
    </row>
    <row r="105" spans="4:44" ht="15" customHeight="1">
      <c r="D105" s="147"/>
      <c r="E105" s="180">
        <v>39538</v>
      </c>
      <c r="G105" s="156" t="s">
        <v>657</v>
      </c>
      <c r="H105" s="149"/>
      <c r="I105" s="145">
        <f t="shared" si="6"/>
        <v>166.44661556524062</v>
      </c>
      <c r="J105" s="31" t="s">
        <v>54</v>
      </c>
      <c r="K105" s="147"/>
      <c r="L105" s="145"/>
      <c r="M105" s="145"/>
      <c r="N105" s="145"/>
      <c r="O105" s="147"/>
      <c r="P105" s="147"/>
      <c r="Q105" s="147"/>
      <c r="R105" s="147"/>
      <c r="S105" s="147"/>
      <c r="T105" s="147"/>
      <c r="U105" s="147"/>
      <c r="V105" s="147"/>
      <c r="W105" s="147"/>
      <c r="X105" s="147"/>
      <c r="Y105" s="147"/>
      <c r="Z105" s="147"/>
      <c r="AA105" s="147"/>
      <c r="AB105" s="147"/>
      <c r="AC105" s="107">
        <f>$I105/AB$82</f>
        <v>4.9983968638210401</v>
      </c>
      <c r="AD105" s="145">
        <f>IF($I105 &gt;0, MIN(AC105,$I105-SUM($L105:AC105)), MAX(AC105,$I105-SUM($L105:AC105)))</f>
        <v>4.9983968638210401</v>
      </c>
      <c r="AE105" s="145">
        <f>IF($I105 &gt;0, MIN(AD105,$I105-SUM($L105:AD105)), MAX(AD105,$I105-SUM($L105:AD105)))</f>
        <v>4.9983968638210401</v>
      </c>
      <c r="AF105" s="145">
        <f>IF($I105 &gt;0, MIN(AE105,$I105-SUM($L105:AE105)), MAX(AE105,$I105-SUM($L105:AE105)))</f>
        <v>4.9983968638210401</v>
      </c>
      <c r="AG105" s="145">
        <f>IF($I105 &gt;0, MIN(AF105,$I105-SUM($L105:AF105)), MAX(AF105,$I105-SUM($L105:AF105)))</f>
        <v>4.9983968638210401</v>
      </c>
      <c r="AH105" s="145">
        <f>IF($I105 &gt;0, MIN(AG105,$I105-SUM($L105:AG105)), MAX(AG105,$I105-SUM($L105:AG105)))</f>
        <v>4.9983968638210401</v>
      </c>
      <c r="AI105" s="145">
        <f>IF($I105 &gt;0, MIN(AH105,$I105-SUM($L105:AH105)), MAX(AH105,$I105-SUM($L105:AH105)))</f>
        <v>4.9983968638210401</v>
      </c>
      <c r="AJ105" s="145">
        <f>IF($I105 &gt;0, MIN(AI105,$I105-SUM($L105:AI105)), MAX(AI105,$I105-SUM($L105:AI105)))</f>
        <v>4.9983968638210401</v>
      </c>
      <c r="AK105" s="145">
        <f>IF($I105 &gt;0, MIN(AJ105,$I105-SUM($L105:AJ105)), MAX(AJ105,$I105-SUM($L105:AJ105)))</f>
        <v>4.9983968638210401</v>
      </c>
      <c r="AL105" s="145">
        <f>IF($I105 &gt;0, MIN(AK105,$I105-SUM($L105:AK105)), MAX(AK105,$I105-SUM($L105:AK105)))</f>
        <v>4.9983968638210401</v>
      </c>
      <c r="AM105" s="145">
        <f>IF($I105 &gt;0, MIN(AL105,$I105-SUM($L105:AL105)), MAX(AL105,$I105-SUM($L105:AL105)))</f>
        <v>4.9983968638210401</v>
      </c>
      <c r="AN105" s="145">
        <f>IF($I105 &gt;0, MIN(AM105,$I105-SUM($L105:AM105)), MAX(AM105,$I105-SUM($L105:AM105)))</f>
        <v>4.9983968638210401</v>
      </c>
      <c r="AO105" s="145">
        <f>IF($I105 &gt;0, MIN(AN105,$I105-SUM($L105:AN105)), MAX(AN105,$I105-SUM($L105:AN105)))</f>
        <v>4.9983968638210401</v>
      </c>
      <c r="AP105" s="145">
        <f>IF($I105 &gt;0, MIN(AO105,$I105-SUM($L105:AO105)), MAX(AO105,$I105-SUM($L105:AO105)))</f>
        <v>4.9983968638210401</v>
      </c>
      <c r="AQ105" s="145">
        <f>IF($I105 &gt;0, MIN(AP105,$I105-SUM($L105:AP105)), MAX(AP105,$I105-SUM($L105:AP105)))</f>
        <v>4.9983968638210401</v>
      </c>
      <c r="AR105" s="145">
        <f>IF($I105 &gt;0, MIN(AQ105,$I105-SUM($L105:AQ105)), MAX(AQ105,$I105-SUM($L105:AQ105)))</f>
        <v>4.9983968638210401</v>
      </c>
    </row>
    <row r="106" spans="4:44" ht="15" customHeight="1">
      <c r="D106" s="147"/>
      <c r="E106" s="180">
        <v>39903</v>
      </c>
      <c r="G106" s="156" t="s">
        <v>657</v>
      </c>
      <c r="H106" s="149"/>
      <c r="I106" s="145">
        <f t="shared" si="6"/>
        <v>200.72197563436023</v>
      </c>
      <c r="J106" s="31" t="s">
        <v>54</v>
      </c>
      <c r="K106" s="147"/>
      <c r="L106" s="145"/>
      <c r="M106" s="145"/>
      <c r="N106" s="145"/>
      <c r="O106" s="147"/>
      <c r="P106" s="147"/>
      <c r="Q106" s="147"/>
      <c r="R106" s="147"/>
      <c r="S106" s="147"/>
      <c r="T106" s="147"/>
      <c r="U106" s="147"/>
      <c r="V106" s="147"/>
      <c r="W106" s="147"/>
      <c r="X106" s="147"/>
      <c r="Y106" s="147"/>
      <c r="Z106" s="147"/>
      <c r="AA106" s="147"/>
      <c r="AB106" s="147"/>
      <c r="AC106" s="147"/>
      <c r="AD106" s="107">
        <f>$I106/AC$82</f>
        <v>6.0276869559867947</v>
      </c>
      <c r="AE106" s="145">
        <f>IF($I106 &gt;0, MIN(AD106,$I106-SUM($L106:AD106)), MAX(AD106,$I106-SUM($L106:AD106)))</f>
        <v>6.0276869559867947</v>
      </c>
      <c r="AF106" s="145">
        <f>IF($I106 &gt;0, MIN(AE106,$I106-SUM($L106:AE106)), MAX(AE106,$I106-SUM($L106:AE106)))</f>
        <v>6.0276869559867947</v>
      </c>
      <c r="AG106" s="145">
        <f>IF($I106 &gt;0, MIN(AF106,$I106-SUM($L106:AF106)), MAX(AF106,$I106-SUM($L106:AF106)))</f>
        <v>6.0276869559867947</v>
      </c>
      <c r="AH106" s="145">
        <f>IF($I106 &gt;0, MIN(AG106,$I106-SUM($L106:AG106)), MAX(AG106,$I106-SUM($L106:AG106)))</f>
        <v>6.0276869559867947</v>
      </c>
      <c r="AI106" s="145">
        <f>IF($I106 &gt;0, MIN(AH106,$I106-SUM($L106:AH106)), MAX(AH106,$I106-SUM($L106:AH106)))</f>
        <v>6.0276869559867947</v>
      </c>
      <c r="AJ106" s="145">
        <f>IF($I106 &gt;0, MIN(AI106,$I106-SUM($L106:AI106)), MAX(AI106,$I106-SUM($L106:AI106)))</f>
        <v>6.0276869559867947</v>
      </c>
      <c r="AK106" s="145">
        <f>IF($I106 &gt;0, MIN(AJ106,$I106-SUM($L106:AJ106)), MAX(AJ106,$I106-SUM($L106:AJ106)))</f>
        <v>6.0276869559867947</v>
      </c>
      <c r="AL106" s="145">
        <f>IF($I106 &gt;0, MIN(AK106,$I106-SUM($L106:AK106)), MAX(AK106,$I106-SUM($L106:AK106)))</f>
        <v>6.0276869559867947</v>
      </c>
      <c r="AM106" s="145">
        <f>IF($I106 &gt;0, MIN(AL106,$I106-SUM($L106:AL106)), MAX(AL106,$I106-SUM($L106:AL106)))</f>
        <v>6.0276869559867947</v>
      </c>
      <c r="AN106" s="145">
        <f>IF($I106 &gt;0, MIN(AM106,$I106-SUM($L106:AM106)), MAX(AM106,$I106-SUM($L106:AM106)))</f>
        <v>6.0276869559867947</v>
      </c>
      <c r="AO106" s="145">
        <f>IF($I106 &gt;0, MIN(AN106,$I106-SUM($L106:AN106)), MAX(AN106,$I106-SUM($L106:AN106)))</f>
        <v>6.0276869559867947</v>
      </c>
      <c r="AP106" s="145">
        <f>IF($I106 &gt;0, MIN(AO106,$I106-SUM($L106:AO106)), MAX(AO106,$I106-SUM($L106:AO106)))</f>
        <v>6.0276869559867947</v>
      </c>
      <c r="AQ106" s="145">
        <f>IF($I106 &gt;0, MIN(AP106,$I106-SUM($L106:AP106)), MAX(AP106,$I106-SUM($L106:AP106)))</f>
        <v>6.0276869559867947</v>
      </c>
      <c r="AR106" s="145">
        <f>IF($I106 &gt;0, MIN(AQ106,$I106-SUM($L106:AQ106)), MAX(AQ106,$I106-SUM($L106:AQ106)))</f>
        <v>6.0276869559867947</v>
      </c>
    </row>
    <row r="107" spans="4:44" ht="15" customHeight="1">
      <c r="D107" s="147"/>
      <c r="E107" s="180">
        <v>40268</v>
      </c>
      <c r="G107" s="156" t="s">
        <v>657</v>
      </c>
      <c r="H107" s="149"/>
      <c r="I107" s="145">
        <f t="shared" si="6"/>
        <v>215.32272941719307</v>
      </c>
      <c r="J107" s="31" t="s">
        <v>54</v>
      </c>
      <c r="K107" s="147"/>
      <c r="L107" s="145"/>
      <c r="M107" s="145"/>
      <c r="N107" s="145"/>
      <c r="O107" s="147"/>
      <c r="P107" s="147"/>
      <c r="Q107" s="147"/>
      <c r="R107" s="147"/>
      <c r="S107" s="147"/>
      <c r="T107" s="147"/>
      <c r="U107" s="147"/>
      <c r="V107" s="147"/>
      <c r="W107" s="147"/>
      <c r="X107" s="147"/>
      <c r="Y107" s="147"/>
      <c r="Z107" s="147"/>
      <c r="AA107" s="147"/>
      <c r="AB107" s="147"/>
      <c r="AC107" s="147"/>
      <c r="AD107" s="147"/>
      <c r="AE107" s="107">
        <f>$I107/AD$82</f>
        <v>6.4661480305463392</v>
      </c>
      <c r="AF107" s="145">
        <f>IF($I107 &gt;0, MIN(AE107,$I107-SUM($L107:AE107)), MAX(AE107,$I107-SUM($L107:AE107)))</f>
        <v>6.4661480305463392</v>
      </c>
      <c r="AG107" s="145">
        <f>IF($I107 &gt;0, MIN(AF107,$I107-SUM($L107:AF107)), MAX(AF107,$I107-SUM($L107:AF107)))</f>
        <v>6.4661480305463392</v>
      </c>
      <c r="AH107" s="145">
        <f>IF($I107 &gt;0, MIN(AG107,$I107-SUM($L107:AG107)), MAX(AG107,$I107-SUM($L107:AG107)))</f>
        <v>6.4661480305463392</v>
      </c>
      <c r="AI107" s="145">
        <f>IF($I107 &gt;0, MIN(AH107,$I107-SUM($L107:AH107)), MAX(AH107,$I107-SUM($L107:AH107)))</f>
        <v>6.4661480305463392</v>
      </c>
      <c r="AJ107" s="145">
        <f>IF($I107 &gt;0, MIN(AI107,$I107-SUM($L107:AI107)), MAX(AI107,$I107-SUM($L107:AI107)))</f>
        <v>6.4661480305463392</v>
      </c>
      <c r="AK107" s="145">
        <f>IF($I107 &gt;0, MIN(AJ107,$I107-SUM($L107:AJ107)), MAX(AJ107,$I107-SUM($L107:AJ107)))</f>
        <v>6.4661480305463392</v>
      </c>
      <c r="AL107" s="145">
        <f>IF($I107 &gt;0, MIN(AK107,$I107-SUM($L107:AK107)), MAX(AK107,$I107-SUM($L107:AK107)))</f>
        <v>6.4661480305463392</v>
      </c>
      <c r="AM107" s="145">
        <f>IF($I107 &gt;0, MIN(AL107,$I107-SUM($L107:AL107)), MAX(AL107,$I107-SUM($L107:AL107)))</f>
        <v>6.4661480305463392</v>
      </c>
      <c r="AN107" s="145">
        <f>IF($I107 &gt;0, MIN(AM107,$I107-SUM($L107:AM107)), MAX(AM107,$I107-SUM($L107:AM107)))</f>
        <v>6.4661480305463392</v>
      </c>
      <c r="AO107" s="145">
        <f>IF($I107 &gt;0, MIN(AN107,$I107-SUM($L107:AN107)), MAX(AN107,$I107-SUM($L107:AN107)))</f>
        <v>6.4661480305463392</v>
      </c>
      <c r="AP107" s="145">
        <f>IF($I107 &gt;0, MIN(AO107,$I107-SUM($L107:AO107)), MAX(AO107,$I107-SUM($L107:AO107)))</f>
        <v>6.4661480305463392</v>
      </c>
      <c r="AQ107" s="145">
        <f>IF($I107 &gt;0, MIN(AP107,$I107-SUM($L107:AP107)), MAX(AP107,$I107-SUM($L107:AP107)))</f>
        <v>6.4661480305463392</v>
      </c>
      <c r="AR107" s="145">
        <f>IF($I107 &gt;0, MIN(AQ107,$I107-SUM($L107:AQ107)), MAX(AQ107,$I107-SUM($L107:AQ107)))</f>
        <v>6.4661480305463392</v>
      </c>
    </row>
    <row r="108" spans="4:44" ht="15" customHeight="1">
      <c r="D108" s="147"/>
      <c r="E108" s="180">
        <v>40633</v>
      </c>
      <c r="G108" s="156" t="s">
        <v>657</v>
      </c>
      <c r="H108" s="149"/>
      <c r="I108" s="145">
        <f t="shared" si="6"/>
        <v>168.84150388749299</v>
      </c>
      <c r="J108" s="31" t="s">
        <v>54</v>
      </c>
      <c r="K108" s="147"/>
      <c r="L108" s="145"/>
      <c r="M108" s="145"/>
      <c r="N108" s="145"/>
      <c r="O108" s="147"/>
      <c r="P108" s="147"/>
      <c r="Q108" s="147"/>
      <c r="R108" s="147"/>
      <c r="S108" s="147"/>
      <c r="T108" s="147"/>
      <c r="U108" s="147"/>
      <c r="V108" s="147"/>
      <c r="W108" s="147"/>
      <c r="X108" s="147"/>
      <c r="Y108" s="147"/>
      <c r="Z108" s="147"/>
      <c r="AA108" s="147"/>
      <c r="AB108" s="147"/>
      <c r="AC108" s="147"/>
      <c r="AD108" s="147"/>
      <c r="AE108" s="147"/>
      <c r="AF108" s="107">
        <f>$I108/AE$82</f>
        <v>5.0703154320568471</v>
      </c>
      <c r="AG108" s="145">
        <f>IF($I108 &gt;0, MIN(AF108,$I108-SUM($L108:AF108)), MAX(AF108,$I108-SUM($L108:AF108)))</f>
        <v>5.0703154320568471</v>
      </c>
      <c r="AH108" s="145">
        <f>IF($I108 &gt;0, MIN(AG108,$I108-SUM($L108:AG108)), MAX(AG108,$I108-SUM($L108:AG108)))</f>
        <v>5.0703154320568471</v>
      </c>
      <c r="AI108" s="145">
        <f>IF($I108 &gt;0, MIN(AH108,$I108-SUM($L108:AH108)), MAX(AH108,$I108-SUM($L108:AH108)))</f>
        <v>5.0703154320568471</v>
      </c>
      <c r="AJ108" s="145">
        <f>IF($I108 &gt;0, MIN(AI108,$I108-SUM($L108:AI108)), MAX(AI108,$I108-SUM($L108:AI108)))</f>
        <v>5.0703154320568471</v>
      </c>
      <c r="AK108" s="145">
        <f>IF($I108 &gt;0, MIN(AJ108,$I108-SUM($L108:AJ108)), MAX(AJ108,$I108-SUM($L108:AJ108)))</f>
        <v>5.0703154320568471</v>
      </c>
      <c r="AL108" s="145">
        <f>IF($I108 &gt;0, MIN(AK108,$I108-SUM($L108:AK108)), MAX(AK108,$I108-SUM($L108:AK108)))</f>
        <v>5.0703154320568471</v>
      </c>
      <c r="AM108" s="145">
        <f>IF($I108 &gt;0, MIN(AL108,$I108-SUM($L108:AL108)), MAX(AL108,$I108-SUM($L108:AL108)))</f>
        <v>5.0703154320568471</v>
      </c>
      <c r="AN108" s="145">
        <f>IF($I108 &gt;0, MIN(AM108,$I108-SUM($L108:AM108)), MAX(AM108,$I108-SUM($L108:AM108)))</f>
        <v>5.0703154320568471</v>
      </c>
      <c r="AO108" s="145">
        <f>IF($I108 &gt;0, MIN(AN108,$I108-SUM($L108:AN108)), MAX(AN108,$I108-SUM($L108:AN108)))</f>
        <v>5.0703154320568471</v>
      </c>
      <c r="AP108" s="145">
        <f>IF($I108 &gt;0, MIN(AO108,$I108-SUM($L108:AO108)), MAX(AO108,$I108-SUM($L108:AO108)))</f>
        <v>5.0703154320568471</v>
      </c>
      <c r="AQ108" s="145">
        <f>IF($I108 &gt;0, MIN(AP108,$I108-SUM($L108:AP108)), MAX(AP108,$I108-SUM($L108:AP108)))</f>
        <v>5.0703154320568471</v>
      </c>
      <c r="AR108" s="145">
        <f>IF($I108 &gt;0, MIN(AQ108,$I108-SUM($L108:AQ108)), MAX(AQ108,$I108-SUM($L108:AQ108)))</f>
        <v>5.0703154320568471</v>
      </c>
    </row>
    <row r="109" spans="4:44" ht="15" customHeight="1">
      <c r="D109" s="147"/>
      <c r="E109" s="180">
        <v>40999</v>
      </c>
      <c r="G109" s="156" t="s">
        <v>657</v>
      </c>
      <c r="H109" s="149"/>
      <c r="I109" s="145">
        <f t="shared" si="6"/>
        <v>190.27311408313142</v>
      </c>
      <c r="J109" s="31" t="s">
        <v>54</v>
      </c>
      <c r="K109" s="147"/>
      <c r="L109" s="145"/>
      <c r="M109" s="145"/>
      <c r="N109" s="145"/>
      <c r="O109" s="147"/>
      <c r="P109" s="147"/>
      <c r="Q109" s="147"/>
      <c r="R109" s="147"/>
      <c r="S109" s="147"/>
      <c r="T109" s="147"/>
      <c r="U109" s="147"/>
      <c r="V109" s="147"/>
      <c r="W109" s="147"/>
      <c r="X109" s="147"/>
      <c r="Y109" s="147"/>
      <c r="Z109" s="147"/>
      <c r="AA109" s="147"/>
      <c r="AB109" s="147"/>
      <c r="AC109" s="147"/>
      <c r="AD109" s="147"/>
      <c r="AE109" s="147"/>
      <c r="AF109" s="147"/>
      <c r="AG109" s="107">
        <f>$I109/AF$82</f>
        <v>5.7139073298237664</v>
      </c>
      <c r="AH109" s="145">
        <f>IF($I109 &gt;0, MIN(AG109,$I109-SUM($L109:AG109)), MAX(AG109,$I109-SUM($L109:AG109)))</f>
        <v>5.7139073298237664</v>
      </c>
      <c r="AI109" s="145">
        <f>IF($I109 &gt;0, MIN(AH109,$I109-SUM($L109:AH109)), MAX(AH109,$I109-SUM($L109:AH109)))</f>
        <v>5.7139073298237664</v>
      </c>
      <c r="AJ109" s="145">
        <f>IF($I109 &gt;0, MIN(AI109,$I109-SUM($L109:AI109)), MAX(AI109,$I109-SUM($L109:AI109)))</f>
        <v>5.7139073298237664</v>
      </c>
      <c r="AK109" s="145">
        <f>IF($I109 &gt;0, MIN(AJ109,$I109-SUM($L109:AJ109)), MAX(AJ109,$I109-SUM($L109:AJ109)))</f>
        <v>5.7139073298237664</v>
      </c>
      <c r="AL109" s="145">
        <f>IF($I109 &gt;0, MIN(AK109,$I109-SUM($L109:AK109)), MAX(AK109,$I109-SUM($L109:AK109)))</f>
        <v>5.7139073298237664</v>
      </c>
      <c r="AM109" s="145">
        <f>IF($I109 &gt;0, MIN(AL109,$I109-SUM($L109:AL109)), MAX(AL109,$I109-SUM($L109:AL109)))</f>
        <v>5.7139073298237664</v>
      </c>
      <c r="AN109" s="145">
        <f>IF($I109 &gt;0, MIN(AM109,$I109-SUM($L109:AM109)), MAX(AM109,$I109-SUM($L109:AM109)))</f>
        <v>5.7139073298237664</v>
      </c>
      <c r="AO109" s="145">
        <f>IF($I109 &gt;0, MIN(AN109,$I109-SUM($L109:AN109)), MAX(AN109,$I109-SUM($L109:AN109)))</f>
        <v>5.7139073298237664</v>
      </c>
      <c r="AP109" s="145">
        <f>IF($I109 &gt;0, MIN(AO109,$I109-SUM($L109:AO109)), MAX(AO109,$I109-SUM($L109:AO109)))</f>
        <v>5.7139073298237664</v>
      </c>
      <c r="AQ109" s="145">
        <f>IF($I109 &gt;0, MIN(AP109,$I109-SUM($L109:AP109)), MAX(AP109,$I109-SUM($L109:AP109)))</f>
        <v>5.7139073298237664</v>
      </c>
      <c r="AR109" s="145">
        <f>IF($I109 &gt;0, MIN(AQ109,$I109-SUM($L109:AQ109)), MAX(AQ109,$I109-SUM($L109:AQ109)))</f>
        <v>5.7139073298237664</v>
      </c>
    </row>
    <row r="110" spans="4:44" ht="15" customHeight="1">
      <c r="D110" s="147"/>
      <c r="E110" s="180">
        <v>41364</v>
      </c>
      <c r="G110" s="156" t="s">
        <v>657</v>
      </c>
      <c r="H110" s="149"/>
      <c r="I110" s="145">
        <f t="shared" si="6"/>
        <v>215.06223577807756</v>
      </c>
      <c r="J110" s="31"/>
      <c r="K110" s="147"/>
      <c r="L110" s="145"/>
      <c r="M110" s="145"/>
      <c r="N110" s="145"/>
      <c r="O110" s="147"/>
      <c r="P110" s="147"/>
      <c r="Q110" s="147"/>
      <c r="R110" s="147"/>
      <c r="S110" s="147"/>
      <c r="T110" s="147"/>
      <c r="U110" s="147"/>
      <c r="V110" s="147"/>
      <c r="W110" s="147"/>
      <c r="X110" s="147"/>
      <c r="Y110" s="147"/>
      <c r="Z110" s="147"/>
      <c r="AA110" s="147"/>
      <c r="AB110" s="147"/>
      <c r="AC110" s="147"/>
      <c r="AD110" s="147"/>
      <c r="AE110" s="147"/>
      <c r="AF110" s="147"/>
      <c r="AG110" s="147"/>
      <c r="AH110" s="107">
        <f>$I110/AG$82</f>
        <v>6.4583253987410689</v>
      </c>
      <c r="AI110" s="145">
        <f>IF($I110 &gt;0, MIN(AH110,$I110-SUM($L110:AH110)), MAX(AH110,$I110-SUM($L110:AH110)))</f>
        <v>6.4583253987410689</v>
      </c>
      <c r="AJ110" s="145">
        <f>IF($I110 &gt;0, MIN(AI110,$I110-SUM($L110:AI110)), MAX(AI110,$I110-SUM($L110:AI110)))</f>
        <v>6.4583253987410689</v>
      </c>
      <c r="AK110" s="145">
        <f>IF($I110 &gt;0, MIN(AJ110,$I110-SUM($L110:AJ110)), MAX(AJ110,$I110-SUM($L110:AJ110)))</f>
        <v>6.4583253987410689</v>
      </c>
      <c r="AL110" s="145">
        <f>IF($I110 &gt;0, MIN(AK110,$I110-SUM($L110:AK110)), MAX(AK110,$I110-SUM($L110:AK110)))</f>
        <v>6.4583253987410689</v>
      </c>
      <c r="AM110" s="145">
        <f>IF($I110 &gt;0, MIN(AL110,$I110-SUM($L110:AL110)), MAX(AL110,$I110-SUM($L110:AL110)))</f>
        <v>6.4583253987410689</v>
      </c>
      <c r="AN110" s="145">
        <f>IF($I110 &gt;0, MIN(AM110,$I110-SUM($L110:AM110)), MAX(AM110,$I110-SUM($L110:AM110)))</f>
        <v>6.4583253987410689</v>
      </c>
      <c r="AO110" s="145">
        <f>IF($I110 &gt;0, MIN(AN110,$I110-SUM($L110:AN110)), MAX(AN110,$I110-SUM($L110:AN110)))</f>
        <v>6.4583253987410689</v>
      </c>
      <c r="AP110" s="145">
        <f>IF($I110 &gt;0, MIN(AO110,$I110-SUM($L110:AO110)), MAX(AO110,$I110-SUM($L110:AO110)))</f>
        <v>6.4583253987410689</v>
      </c>
      <c r="AQ110" s="145">
        <f>IF($I110 &gt;0, MIN(AP110,$I110-SUM($L110:AP110)), MAX(AP110,$I110-SUM($L110:AP110)))</f>
        <v>6.4583253987410689</v>
      </c>
      <c r="AR110" s="145">
        <f>IF($I110 &gt;0, MIN(AQ110,$I110-SUM($L110:AQ110)), MAX(AQ110,$I110-SUM($L110:AQ110)))</f>
        <v>6.4583253987410689</v>
      </c>
    </row>
    <row r="111" spans="4:44" ht="15" customHeight="1">
      <c r="D111" s="147"/>
      <c r="E111" s="180">
        <v>41729</v>
      </c>
      <c r="G111" s="156" t="s">
        <v>657</v>
      </c>
      <c r="H111" s="149"/>
      <c r="I111" s="145">
        <f t="shared" si="6"/>
        <v>241.2930578422361</v>
      </c>
      <c r="J111" s="31"/>
      <c r="K111" s="147"/>
      <c r="L111" s="145"/>
      <c r="M111" s="145"/>
      <c r="N111" s="145"/>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07">
        <f>$I111/AH$82</f>
        <v>7.2460377730401238</v>
      </c>
      <c r="AJ111" s="145">
        <f>IF($I111 &gt;0, MIN(AI111,$I111-SUM($L111:AI111)), MAX(AI111,$I111-SUM($L111:AI111)))</f>
        <v>7.2460377730401238</v>
      </c>
      <c r="AK111" s="145">
        <f>IF($I111 &gt;0, MIN(AJ111,$I111-SUM($L111:AJ111)), MAX(AJ111,$I111-SUM($L111:AJ111)))</f>
        <v>7.2460377730401238</v>
      </c>
      <c r="AL111" s="145">
        <f>IF($I111 &gt;0, MIN(AK111,$I111-SUM($L111:AK111)), MAX(AK111,$I111-SUM($L111:AK111)))</f>
        <v>7.2460377730401238</v>
      </c>
      <c r="AM111" s="145">
        <f>IF($I111 &gt;0, MIN(AL111,$I111-SUM($L111:AL111)), MAX(AL111,$I111-SUM($L111:AL111)))</f>
        <v>7.2460377730401238</v>
      </c>
      <c r="AN111" s="145">
        <f>IF($I111 &gt;0, MIN(AM111,$I111-SUM($L111:AM111)), MAX(AM111,$I111-SUM($L111:AM111)))</f>
        <v>7.2460377730401238</v>
      </c>
      <c r="AO111" s="145">
        <f>IF($I111 &gt;0, MIN(AN111,$I111-SUM($L111:AN111)), MAX(AN111,$I111-SUM($L111:AN111)))</f>
        <v>7.2460377730401238</v>
      </c>
      <c r="AP111" s="145">
        <f>IF($I111 &gt;0, MIN(AO111,$I111-SUM($L111:AO111)), MAX(AO111,$I111-SUM($L111:AO111)))</f>
        <v>7.2460377730401238</v>
      </c>
      <c r="AQ111" s="145">
        <f>IF($I111 &gt;0, MIN(AP111,$I111-SUM($L111:AP111)), MAX(AP111,$I111-SUM($L111:AP111)))</f>
        <v>7.2460377730401238</v>
      </c>
      <c r="AR111" s="145">
        <f>IF($I111 &gt;0, MIN(AQ111,$I111-SUM($L111:AQ111)), MAX(AQ111,$I111-SUM($L111:AQ111)))</f>
        <v>7.2460377730401238</v>
      </c>
    </row>
    <row r="112" spans="4:44" ht="15" customHeight="1">
      <c r="D112" s="147"/>
      <c r="E112" s="180">
        <v>42094</v>
      </c>
      <c r="G112" s="156" t="s">
        <v>657</v>
      </c>
      <c r="H112" s="149"/>
      <c r="I112" s="145">
        <f t="shared" si="6"/>
        <v>252.92877731841884</v>
      </c>
      <c r="J112" s="31"/>
      <c r="K112" s="147"/>
      <c r="L112" s="145"/>
      <c r="M112" s="145"/>
      <c r="N112" s="145"/>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07">
        <f>$I112/AI$82</f>
        <v>7.5954587783308964</v>
      </c>
      <c r="AK112" s="145">
        <f>IF($I112 &gt;0, MIN(AJ112,$I112-SUM($L112:AJ112)), MAX(AJ112,$I112-SUM($L112:AJ112)))</f>
        <v>7.5954587783308964</v>
      </c>
      <c r="AL112" s="145">
        <f>IF($I112 &gt;0, MIN(AK112,$I112-SUM($L112:AK112)), MAX(AK112,$I112-SUM($L112:AK112)))</f>
        <v>7.5954587783308964</v>
      </c>
      <c r="AM112" s="145">
        <f>IF($I112 &gt;0, MIN(AL112,$I112-SUM($L112:AL112)), MAX(AL112,$I112-SUM($L112:AL112)))</f>
        <v>7.5954587783308964</v>
      </c>
      <c r="AN112" s="145">
        <f>IF($I112 &gt;0, MIN(AM112,$I112-SUM($L112:AM112)), MAX(AM112,$I112-SUM($L112:AM112)))</f>
        <v>7.5954587783308964</v>
      </c>
      <c r="AO112" s="145">
        <f>IF($I112 &gt;0, MIN(AN112,$I112-SUM($L112:AN112)), MAX(AN112,$I112-SUM($L112:AN112)))</f>
        <v>7.5954587783308964</v>
      </c>
      <c r="AP112" s="145">
        <f>IF($I112 &gt;0, MIN(AO112,$I112-SUM($L112:AO112)), MAX(AO112,$I112-SUM($L112:AO112)))</f>
        <v>7.5954587783308964</v>
      </c>
      <c r="AQ112" s="145">
        <f>IF($I112 &gt;0, MIN(AP112,$I112-SUM($L112:AP112)), MAX(AP112,$I112-SUM($L112:AP112)))</f>
        <v>7.5954587783308964</v>
      </c>
      <c r="AR112" s="145">
        <f>IF($I112 &gt;0, MIN(AQ112,$I112-SUM($L112:AQ112)), MAX(AQ112,$I112-SUM($L112:AQ112)))</f>
        <v>7.5954587783308964</v>
      </c>
    </row>
    <row r="113" spans="2:44" ht="15" customHeight="1">
      <c r="D113" s="147"/>
      <c r="E113" s="180">
        <v>42460</v>
      </c>
      <c r="G113" s="156" t="s">
        <v>657</v>
      </c>
      <c r="H113" s="149"/>
      <c r="I113" s="145">
        <f t="shared" si="6"/>
        <v>214.30283536876493</v>
      </c>
      <c r="J113" s="31"/>
      <c r="K113" s="147"/>
      <c r="L113" s="145"/>
      <c r="M113" s="145"/>
      <c r="N113" s="145"/>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07">
        <f>$I113/AJ$82</f>
        <v>9.2671496375682132</v>
      </c>
      <c r="AL113" s="145">
        <f>IF($I113 &gt;0, MIN(AK113,$I113-SUM($L113:AK113)), MAX(AK113,$I113-SUM($L113:AK113)))</f>
        <v>9.2671496375682132</v>
      </c>
      <c r="AM113" s="145">
        <f>IF($I113 &gt;0, MIN(AL113,$I113-SUM($L113:AL113)), MAX(AL113,$I113-SUM($L113:AL113)))</f>
        <v>9.2671496375682132</v>
      </c>
      <c r="AN113" s="145">
        <f>IF($I113 &gt;0, MIN(AM113,$I113-SUM($L113:AM113)), MAX(AM113,$I113-SUM($L113:AM113)))</f>
        <v>9.2671496375682132</v>
      </c>
      <c r="AO113" s="145">
        <f>IF($I113 &gt;0, MIN(AN113,$I113-SUM($L113:AN113)), MAX(AN113,$I113-SUM($L113:AN113)))</f>
        <v>9.2671496375682132</v>
      </c>
      <c r="AP113" s="145">
        <f>IF($I113 &gt;0, MIN(AO113,$I113-SUM($L113:AO113)), MAX(AO113,$I113-SUM($L113:AO113)))</f>
        <v>9.2671496375682132</v>
      </c>
      <c r="AQ113" s="145">
        <f>IF($I113 &gt;0, MIN(AP113,$I113-SUM($L113:AP113)), MAX(AP113,$I113-SUM($L113:AP113)))</f>
        <v>9.2671496375682132</v>
      </c>
      <c r="AR113" s="145">
        <f>IF($I113 &gt;0, MIN(AQ113,$I113-SUM($L113:AQ113)), MAX(AQ113,$I113-SUM($L113:AQ113)))</f>
        <v>9.2671496375682132</v>
      </c>
    </row>
    <row r="114" spans="2:44" ht="15" customHeight="1">
      <c r="D114" s="147"/>
      <c r="E114" s="180">
        <v>42825</v>
      </c>
      <c r="G114" s="156" t="s">
        <v>657</v>
      </c>
      <c r="H114" s="149"/>
      <c r="I114" s="145">
        <f t="shared" si="6"/>
        <v>218.74958717835483</v>
      </c>
      <c r="J114" s="31"/>
      <c r="K114" s="147"/>
      <c r="L114" s="145"/>
      <c r="M114" s="145"/>
      <c r="N114" s="145"/>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07">
        <f>$I114/AK$82</f>
        <v>8.3333176067944699</v>
      </c>
      <c r="AM114" s="145">
        <f>IF($I114 &gt;0, MIN(AL114,$I114-SUM($L114:AL114)), MAX(AL114,$I114-SUM($L114:AL114)))</f>
        <v>8.3333176067944699</v>
      </c>
      <c r="AN114" s="145">
        <f>IF($I114 &gt;0, MIN(AM114,$I114-SUM($L114:AM114)), MAX(AM114,$I114-SUM($L114:AM114)))</f>
        <v>8.3333176067944699</v>
      </c>
      <c r="AO114" s="145">
        <f>IF($I114 &gt;0, MIN(AN114,$I114-SUM($L114:AN114)), MAX(AN114,$I114-SUM($L114:AN114)))</f>
        <v>8.3333176067944699</v>
      </c>
      <c r="AP114" s="145">
        <f>IF($I114 &gt;0, MIN(AO114,$I114-SUM($L114:AO114)), MAX(AO114,$I114-SUM($L114:AO114)))</f>
        <v>8.3333176067944699</v>
      </c>
      <c r="AQ114" s="145">
        <f>IF($I114 &gt;0, MIN(AP114,$I114-SUM($L114:AP114)), MAX(AP114,$I114-SUM($L114:AP114)))</f>
        <v>8.3333176067944699</v>
      </c>
      <c r="AR114" s="145">
        <f>IF($I114 &gt;0, MIN(AQ114,$I114-SUM($L114:AQ114)), MAX(AQ114,$I114-SUM($L114:AQ114)))</f>
        <v>8.3333176067944699</v>
      </c>
    </row>
    <row r="115" spans="2:44" ht="15" customHeight="1">
      <c r="D115" s="147"/>
      <c r="E115" s="180">
        <v>43190</v>
      </c>
      <c r="G115" s="156" t="s">
        <v>657</v>
      </c>
      <c r="H115" s="149"/>
      <c r="I115" s="145">
        <f t="shared" si="6"/>
        <v>213.07955677040144</v>
      </c>
      <c r="J115" s="31"/>
      <c r="K115" s="147"/>
      <c r="L115" s="145"/>
      <c r="M115" s="145"/>
      <c r="N115" s="145"/>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07">
        <f>$I115/AL$82</f>
        <v>7.2537721453753683</v>
      </c>
      <c r="AN115" s="145">
        <f>IF($I115 &gt;0, MIN(AM115,$I115-SUM($L115:AM115)), MAX(AM115,$I115-SUM($L115:AM115)))</f>
        <v>7.2537721453753683</v>
      </c>
      <c r="AO115" s="145">
        <f>IF($I115 &gt;0, MIN(AN115,$I115-SUM($L115:AN115)), MAX(AN115,$I115-SUM($L115:AN115)))</f>
        <v>7.2537721453753683</v>
      </c>
      <c r="AP115" s="145">
        <f>IF($I115 &gt;0, MIN(AO115,$I115-SUM($L115:AO115)), MAX(AO115,$I115-SUM($L115:AO115)))</f>
        <v>7.2537721453753683</v>
      </c>
      <c r="AQ115" s="145">
        <f>IF($I115 &gt;0, MIN(AP115,$I115-SUM($L115:AP115)), MAX(AP115,$I115-SUM($L115:AP115)))</f>
        <v>7.2537721453753683</v>
      </c>
      <c r="AR115" s="145">
        <f>IF($I115 &gt;0, MIN(AQ115,$I115-SUM($L115:AQ115)), MAX(AQ115,$I115-SUM($L115:AQ115)))</f>
        <v>7.2537721453753683</v>
      </c>
    </row>
    <row r="116" spans="2:44" ht="15" customHeight="1">
      <c r="D116" s="147"/>
      <c r="E116" s="180">
        <v>43555</v>
      </c>
      <c r="G116" s="156" t="s">
        <v>657</v>
      </c>
      <c r="H116" s="149"/>
      <c r="I116" s="145">
        <f t="shared" si="6"/>
        <v>212.77598368354523</v>
      </c>
      <c r="J116" s="31"/>
      <c r="K116" s="147"/>
      <c r="L116" s="145"/>
      <c r="M116" s="145"/>
      <c r="N116" s="145"/>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07">
        <f>$I116/AM$82</f>
        <v>6.5469533441090846</v>
      </c>
      <c r="AO116" s="145">
        <f>IF($I116 &gt;0, MIN(AN116,$I116-SUM($L116:AN116)), MAX(AN116,$I116-SUM($L116:AN116)))</f>
        <v>6.5469533441090846</v>
      </c>
      <c r="AP116" s="145">
        <f>IF($I116 &gt;0, MIN(AO116,$I116-SUM($L116:AO116)), MAX(AO116,$I116-SUM($L116:AO116)))</f>
        <v>6.5469533441090846</v>
      </c>
      <c r="AQ116" s="145">
        <f>IF($I116 &gt;0, MIN(AP116,$I116-SUM($L116:AP116)), MAX(AP116,$I116-SUM($L116:AP116)))</f>
        <v>6.5469533441090846</v>
      </c>
      <c r="AR116" s="145">
        <f>IF($I116 &gt;0, MIN(AQ116,$I116-SUM($L116:AQ116)), MAX(AQ116,$I116-SUM($L116:AQ116)))</f>
        <v>6.5469533441090846</v>
      </c>
    </row>
    <row r="117" spans="2:44" ht="15" customHeight="1">
      <c r="D117" s="147"/>
      <c r="E117" s="180">
        <v>43921</v>
      </c>
      <c r="G117" s="156" t="s">
        <v>657</v>
      </c>
      <c r="H117" s="149"/>
      <c r="I117" s="145">
        <f t="shared" si="6"/>
        <v>191.35412942848416</v>
      </c>
      <c r="J117" s="31"/>
      <c r="K117" s="147"/>
      <c r="L117" s="145"/>
      <c r="M117" s="145"/>
      <c r="N117" s="145"/>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07">
        <f>$I117/AN$82</f>
        <v>5.3713439839574502</v>
      </c>
      <c r="AP117" s="145">
        <f>IF($I117 &gt;0, MIN(AO117,$I117-SUM($L117:AO117)), MAX(AO117,$I117-SUM($L117:AO117)))</f>
        <v>5.3713439839574502</v>
      </c>
      <c r="AQ117" s="145">
        <f>IF($I117 &gt;0, MIN(AP117,$I117-SUM($L117:AP117)), MAX(AP117,$I117-SUM($L117:AP117)))</f>
        <v>5.3713439839574502</v>
      </c>
      <c r="AR117" s="145">
        <f>IF($I117 &gt;0, MIN(AQ117,$I117-SUM($L117:AQ117)), MAX(AQ117,$I117-SUM($L117:AQ117)))</f>
        <v>5.3713439839574502</v>
      </c>
    </row>
    <row r="118" spans="2:44" ht="15" customHeight="1">
      <c r="D118" s="147"/>
      <c r="E118" s="180">
        <v>44286</v>
      </c>
      <c r="G118" s="156" t="s">
        <v>657</v>
      </c>
      <c r="H118" s="149"/>
      <c r="I118" s="145">
        <f t="shared" si="6"/>
        <v>191.61771831702322</v>
      </c>
      <c r="J118" s="31"/>
      <c r="K118" s="147"/>
      <c r="L118" s="145"/>
      <c r="M118" s="145"/>
      <c r="N118" s="145"/>
      <c r="O118" s="145"/>
      <c r="P118" s="145"/>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07">
        <f>$I118/AO$82</f>
        <v>4.9449733759231798</v>
      </c>
      <c r="AQ118" s="145">
        <f>IF($I118 &gt;0, MIN(AP118,$I118-SUM($L118:AP118)), MAX(AP118,$I118-SUM($L118:AP118)))</f>
        <v>4.9449733759231798</v>
      </c>
      <c r="AR118" s="145">
        <f>IF($I118 &gt;0, MIN(AQ118,$I118-SUM($L118:AQ118)), MAX(AQ118,$I118-SUM($L118:AQ118)))</f>
        <v>4.9449733759231798</v>
      </c>
    </row>
    <row r="119" spans="2:44" ht="15" customHeight="1">
      <c r="D119" s="147"/>
      <c r="E119" s="267">
        <v>44651</v>
      </c>
      <c r="F119" s="152"/>
      <c r="G119" s="152" t="s">
        <v>657</v>
      </c>
      <c r="H119" s="154"/>
      <c r="I119" s="155">
        <f t="shared" ref="I119:I120" si="7">INDEX($K$18:$AQ$18,1,MATCH(E119,$K$7:$AQ$7,0))</f>
        <v>197.19301522840377</v>
      </c>
      <c r="J119" s="31"/>
      <c r="K119" s="147"/>
      <c r="L119" s="145"/>
      <c r="M119" s="145"/>
      <c r="N119" s="145"/>
      <c r="O119" s="145"/>
      <c r="P119" s="145"/>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07">
        <f>$I119/AP$82</f>
        <v>4.7090869308275529</v>
      </c>
      <c r="AR119" s="145">
        <f>IF($I119 &gt;0, MIN(AQ119,$I119-SUM($L119:AQ119)), MAX(AQ119,$I119-SUM($L119:AQ119)))</f>
        <v>4.7090869308275529</v>
      </c>
    </row>
    <row r="120" spans="2:44" ht="15" customHeight="1">
      <c r="D120" s="147"/>
      <c r="E120" s="267">
        <v>45016</v>
      </c>
      <c r="F120" s="152"/>
      <c r="G120" s="152" t="s">
        <v>657</v>
      </c>
      <c r="H120" s="154"/>
      <c r="I120" s="155">
        <f t="shared" si="7"/>
        <v>192.13875531318419</v>
      </c>
      <c r="J120" s="31"/>
      <c r="K120" s="147"/>
      <c r="L120" s="145"/>
      <c r="M120" s="145"/>
      <c r="N120" s="145"/>
      <c r="O120" s="145"/>
      <c r="P120" s="145"/>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row>
    <row r="121" spans="2:44" ht="15" customHeight="1">
      <c r="C121" s="20"/>
      <c r="E121" s="21"/>
      <c r="I121" s="147"/>
      <c r="J121" s="151"/>
      <c r="K121" s="151"/>
      <c r="L121" s="151"/>
      <c r="M121" s="151"/>
      <c r="N121" s="151"/>
      <c r="O121" s="151"/>
      <c r="P121" s="151"/>
      <c r="Q121" s="151"/>
      <c r="R121" s="151"/>
      <c r="S121" s="151"/>
      <c r="T121" s="151"/>
      <c r="U121" s="151"/>
      <c r="V121" s="151"/>
      <c r="W121" s="151"/>
      <c r="X121" s="151"/>
      <c r="Y121" s="151"/>
      <c r="Z121" s="151"/>
      <c r="AA121" s="151"/>
      <c r="AB121" s="151"/>
      <c r="AC121" s="151"/>
      <c r="AD121" s="151"/>
      <c r="AE121" s="151"/>
      <c r="AF121" s="151"/>
      <c r="AG121" s="151"/>
      <c r="AH121" s="151"/>
      <c r="AI121" s="151"/>
      <c r="AJ121" s="147"/>
      <c r="AK121" s="147"/>
      <c r="AL121" s="147"/>
      <c r="AM121" s="147"/>
      <c r="AN121" s="147"/>
      <c r="AO121" s="147"/>
      <c r="AP121" s="147"/>
      <c r="AQ121" s="147"/>
    </row>
    <row r="122" spans="2:44" s="149" customFormat="1" ht="15" customHeight="1">
      <c r="C122" s="17" t="s">
        <v>116</v>
      </c>
      <c r="D122" s="17"/>
      <c r="E122" s="17"/>
      <c r="F122" s="17"/>
      <c r="G122" s="17"/>
      <c r="H122" s="17"/>
      <c r="I122" s="292"/>
      <c r="J122" s="303"/>
      <c r="K122" s="292"/>
      <c r="L122" s="292"/>
      <c r="M122" s="292"/>
      <c r="N122" s="292"/>
      <c r="O122" s="292"/>
      <c r="P122" s="292"/>
      <c r="Q122" s="292"/>
      <c r="R122" s="292"/>
      <c r="S122" s="292"/>
      <c r="T122" s="292"/>
      <c r="U122" s="292"/>
      <c r="V122" s="292"/>
      <c r="W122" s="292"/>
      <c r="X122" s="292"/>
      <c r="Y122" s="292"/>
      <c r="Z122" s="292"/>
      <c r="AA122" s="292"/>
      <c r="AB122" s="292"/>
      <c r="AC122" s="292"/>
      <c r="AD122" s="292"/>
      <c r="AE122" s="292"/>
      <c r="AF122" s="292"/>
      <c r="AG122" s="292"/>
      <c r="AH122" s="292"/>
      <c r="AI122" s="292"/>
      <c r="AJ122" s="292"/>
      <c r="AK122" s="292"/>
      <c r="AL122" s="292"/>
      <c r="AM122" s="292"/>
      <c r="AN122" s="292"/>
      <c r="AO122" s="292"/>
      <c r="AP122" s="292"/>
      <c r="AQ122" s="292"/>
    </row>
    <row r="123" spans="2:44" s="149" customFormat="1" ht="15" customHeight="1">
      <c r="B123" s="145"/>
      <c r="C123" s="164" t="s">
        <v>526</v>
      </c>
      <c r="D123" s="164"/>
      <c r="E123" s="164"/>
      <c r="F123" s="164"/>
      <c r="G123" s="164"/>
      <c r="H123" s="164"/>
      <c r="I123" s="192"/>
      <c r="J123" s="192"/>
      <c r="K123" s="192"/>
      <c r="L123" s="192"/>
      <c r="M123" s="192"/>
      <c r="N123" s="192"/>
      <c r="O123" s="192"/>
      <c r="P123" s="192"/>
      <c r="Q123" s="192"/>
      <c r="R123" s="192"/>
      <c r="S123" s="192"/>
      <c r="T123" s="192"/>
      <c r="U123" s="192"/>
      <c r="V123" s="192"/>
      <c r="W123" s="192"/>
      <c r="X123" s="192"/>
      <c r="Y123" s="192"/>
      <c r="Z123" s="192"/>
      <c r="AA123" s="192"/>
      <c r="AB123" s="192"/>
      <c r="AC123" s="192"/>
      <c r="AD123" s="192"/>
      <c r="AE123" s="192"/>
      <c r="AF123" s="192"/>
      <c r="AG123" s="192"/>
      <c r="AH123" s="192"/>
      <c r="AI123" s="192"/>
      <c r="AJ123" s="192"/>
      <c r="AK123" s="192"/>
      <c r="AL123" s="192"/>
      <c r="AM123" s="192"/>
      <c r="AN123" s="192"/>
      <c r="AO123" s="192"/>
      <c r="AP123" s="192"/>
      <c r="AQ123" s="192"/>
    </row>
    <row r="124" spans="2:44" s="149" customFormat="1" ht="15" customHeight="1">
      <c r="B124" s="145"/>
      <c r="D124" s="145"/>
      <c r="E124" s="145"/>
      <c r="F124" s="145"/>
      <c r="G124" s="145"/>
      <c r="H124" s="145"/>
      <c r="I124" s="145"/>
      <c r="J124" s="31"/>
      <c r="K124" s="145"/>
      <c r="L124" s="145"/>
      <c r="M124" s="145"/>
      <c r="N124" s="145"/>
      <c r="O124" s="145"/>
      <c r="P124" s="145"/>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row>
    <row r="125" spans="2:44" s="149" customFormat="1" ht="15" customHeight="1">
      <c r="D125" s="36" t="s">
        <v>117</v>
      </c>
      <c r="E125" s="36"/>
      <c r="F125" s="36"/>
      <c r="G125" s="36"/>
      <c r="H125" s="36"/>
      <c r="I125" s="196"/>
      <c r="J125" s="305"/>
      <c r="K125" s="196"/>
      <c r="L125" s="196"/>
      <c r="M125" s="196"/>
      <c r="N125" s="196"/>
      <c r="O125" s="196"/>
      <c r="P125" s="196"/>
      <c r="Q125" s="196"/>
      <c r="R125" s="196"/>
      <c r="S125" s="196"/>
      <c r="T125" s="196"/>
      <c r="U125" s="196"/>
      <c r="V125" s="196"/>
      <c r="W125" s="196"/>
      <c r="X125" s="196"/>
      <c r="Y125" s="196"/>
      <c r="Z125" s="270"/>
      <c r="AA125" s="270"/>
      <c r="AB125" s="270"/>
      <c r="AC125" s="270"/>
      <c r="AD125" s="270"/>
      <c r="AE125" s="270"/>
      <c r="AF125" s="270"/>
      <c r="AG125" s="270"/>
      <c r="AH125" s="270"/>
      <c r="AI125" s="270"/>
      <c r="AJ125" s="270"/>
      <c r="AK125" s="270"/>
      <c r="AL125" s="270"/>
      <c r="AM125" s="270"/>
      <c r="AN125" s="270"/>
      <c r="AO125" s="270"/>
      <c r="AP125" s="270"/>
      <c r="AQ125" s="270"/>
    </row>
    <row r="126" spans="2:44" s="149" customFormat="1" ht="15" customHeight="1">
      <c r="B126" s="145"/>
      <c r="D126" s="145"/>
      <c r="E126" s="145"/>
      <c r="F126" s="145"/>
      <c r="G126" s="145"/>
      <c r="H126" s="145"/>
      <c r="I126" s="145"/>
      <c r="J126" s="31"/>
      <c r="K126" s="145"/>
      <c r="L126" s="145"/>
      <c r="M126" s="145"/>
      <c r="N126" s="145"/>
      <c r="O126" s="145"/>
      <c r="P126" s="145"/>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row>
    <row r="127" spans="2:44" ht="15" customHeight="1">
      <c r="E127" s="156" t="s">
        <v>118</v>
      </c>
      <c r="G127" s="156" t="s">
        <v>45</v>
      </c>
      <c r="H127" s="145"/>
      <c r="I127" s="145"/>
      <c r="J127" s="31" t="s">
        <v>54</v>
      </c>
      <c r="K127" s="107"/>
      <c r="L127" s="176">
        <f t="shared" ref="L127:AQ127" si="8">IF(L83, 1, 0)</f>
        <v>1</v>
      </c>
      <c r="M127" s="176">
        <f t="shared" si="8"/>
        <v>1</v>
      </c>
      <c r="N127" s="176">
        <f t="shared" si="8"/>
        <v>1</v>
      </c>
      <c r="O127" s="176">
        <f t="shared" si="8"/>
        <v>1</v>
      </c>
      <c r="P127" s="176">
        <f t="shared" si="8"/>
        <v>1</v>
      </c>
      <c r="Q127" s="176">
        <f t="shared" si="8"/>
        <v>1</v>
      </c>
      <c r="R127" s="176">
        <f t="shared" si="8"/>
        <v>1</v>
      </c>
      <c r="S127" s="176">
        <f t="shared" si="8"/>
        <v>1</v>
      </c>
      <c r="T127" s="176">
        <f t="shared" si="8"/>
        <v>1</v>
      </c>
      <c r="U127" s="176">
        <f t="shared" si="8"/>
        <v>1</v>
      </c>
      <c r="V127" s="176">
        <f t="shared" si="8"/>
        <v>1</v>
      </c>
      <c r="W127" s="176">
        <f t="shared" si="8"/>
        <v>1</v>
      </c>
      <c r="X127" s="176">
        <f t="shared" si="8"/>
        <v>1</v>
      </c>
      <c r="Y127" s="176">
        <f t="shared" si="8"/>
        <v>1</v>
      </c>
      <c r="Z127" s="176">
        <f>IF(Z83, 1, 0)</f>
        <v>1</v>
      </c>
      <c r="AA127" s="176">
        <f t="shared" si="8"/>
        <v>0</v>
      </c>
      <c r="AB127" s="176">
        <f t="shared" si="8"/>
        <v>0</v>
      </c>
      <c r="AC127" s="176">
        <f t="shared" si="8"/>
        <v>0</v>
      </c>
      <c r="AD127" s="176">
        <f t="shared" si="8"/>
        <v>0</v>
      </c>
      <c r="AE127" s="176">
        <f t="shared" si="8"/>
        <v>0</v>
      </c>
      <c r="AF127" s="176">
        <f t="shared" si="8"/>
        <v>0</v>
      </c>
      <c r="AG127" s="176">
        <f t="shared" si="8"/>
        <v>0</v>
      </c>
      <c r="AH127" s="176">
        <f t="shared" si="8"/>
        <v>0</v>
      </c>
      <c r="AI127" s="176">
        <f t="shared" si="8"/>
        <v>0</v>
      </c>
      <c r="AJ127" s="176">
        <f t="shared" si="8"/>
        <v>0</v>
      </c>
      <c r="AK127" s="176">
        <f t="shared" si="8"/>
        <v>0</v>
      </c>
      <c r="AL127" s="176">
        <f t="shared" si="8"/>
        <v>0</v>
      </c>
      <c r="AM127" s="176">
        <f t="shared" si="8"/>
        <v>0</v>
      </c>
      <c r="AN127" s="176">
        <f t="shared" si="8"/>
        <v>0</v>
      </c>
      <c r="AO127" s="176">
        <f t="shared" si="8"/>
        <v>0</v>
      </c>
      <c r="AP127" s="176">
        <f t="shared" si="8"/>
        <v>0</v>
      </c>
      <c r="AQ127" s="176">
        <f t="shared" si="8"/>
        <v>0</v>
      </c>
    </row>
    <row r="128" spans="2:44" ht="15" customHeight="1">
      <c r="C128" s="145"/>
      <c r="D128" s="145"/>
      <c r="E128" s="21" t="s">
        <v>525</v>
      </c>
      <c r="F128" s="21"/>
      <c r="G128" s="21" t="s">
        <v>49</v>
      </c>
      <c r="H128" s="21"/>
      <c r="I128" s="155">
        <f>Input!I361</f>
        <v>15</v>
      </c>
      <c r="J128" s="31"/>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row>
    <row r="129" spans="4:48" ht="15" customHeight="1">
      <c r="E129" s="145" t="s">
        <v>524</v>
      </c>
      <c r="G129" s="156" t="s">
        <v>47</v>
      </c>
      <c r="H129" s="145"/>
      <c r="I129" s="236"/>
      <c r="J129" s="266"/>
      <c r="K129" s="265"/>
      <c r="L129" s="236">
        <f t="shared" ref="L129:AN129" si="9">IF($I128 = 0, 0, IF(AND(YEAR(L$7) &gt;= YEAR($I$28) + IF($I$30=12,$I$29,$I$29+1), YEAR(L$7) &lt; YEAR($I$28) + IF($I$30=12,$I$29,$I$29+1) + $I128), 1, 0) / $I128)</f>
        <v>0</v>
      </c>
      <c r="M129" s="236">
        <f t="shared" si="9"/>
        <v>0</v>
      </c>
      <c r="N129" s="236">
        <f t="shared" si="9"/>
        <v>0</v>
      </c>
      <c r="O129" s="236">
        <f t="shared" si="9"/>
        <v>0</v>
      </c>
      <c r="P129" s="236">
        <f t="shared" si="9"/>
        <v>0</v>
      </c>
      <c r="Q129" s="236">
        <f t="shared" si="9"/>
        <v>0</v>
      </c>
      <c r="R129" s="236">
        <f t="shared" si="9"/>
        <v>0</v>
      </c>
      <c r="S129" s="236">
        <f t="shared" si="9"/>
        <v>0</v>
      </c>
      <c r="T129" s="236">
        <f t="shared" si="9"/>
        <v>0</v>
      </c>
      <c r="U129" s="236">
        <f t="shared" si="9"/>
        <v>0</v>
      </c>
      <c r="V129" s="236">
        <f t="shared" si="9"/>
        <v>0</v>
      </c>
      <c r="W129" s="236">
        <f t="shared" si="9"/>
        <v>0</v>
      </c>
      <c r="X129" s="236">
        <f t="shared" si="9"/>
        <v>0</v>
      </c>
      <c r="Y129" s="236">
        <f t="shared" si="9"/>
        <v>0</v>
      </c>
      <c r="Z129" s="236">
        <f t="shared" si="9"/>
        <v>0</v>
      </c>
      <c r="AA129" s="236">
        <f t="shared" si="9"/>
        <v>6.6666666666666666E-2</v>
      </c>
      <c r="AB129" s="236">
        <f t="shared" si="9"/>
        <v>6.6666666666666666E-2</v>
      </c>
      <c r="AC129" s="236">
        <f t="shared" si="9"/>
        <v>6.6666666666666666E-2</v>
      </c>
      <c r="AD129" s="236">
        <f t="shared" si="9"/>
        <v>6.6666666666666666E-2</v>
      </c>
      <c r="AE129" s="236">
        <f t="shared" si="9"/>
        <v>6.6666666666666666E-2</v>
      </c>
      <c r="AF129" s="236">
        <f t="shared" si="9"/>
        <v>6.6666666666666666E-2</v>
      </c>
      <c r="AG129" s="236">
        <f t="shared" si="9"/>
        <v>6.6666666666666666E-2</v>
      </c>
      <c r="AH129" s="236">
        <f t="shared" si="9"/>
        <v>6.6666666666666666E-2</v>
      </c>
      <c r="AI129" s="236">
        <f t="shared" si="9"/>
        <v>6.6666666666666666E-2</v>
      </c>
      <c r="AJ129" s="236">
        <f t="shared" si="9"/>
        <v>6.6666666666666666E-2</v>
      </c>
      <c r="AK129" s="236">
        <f t="shared" si="9"/>
        <v>6.6666666666666666E-2</v>
      </c>
      <c r="AL129" s="236">
        <f t="shared" si="9"/>
        <v>6.6666666666666666E-2</v>
      </c>
      <c r="AM129" s="236">
        <f t="shared" si="9"/>
        <v>6.6666666666666666E-2</v>
      </c>
      <c r="AN129" s="236">
        <f t="shared" si="9"/>
        <v>6.6666666666666666E-2</v>
      </c>
      <c r="AO129" s="236">
        <f>IF($I128 = 0, 0, IF(AND(YEAR(AO$7) &gt;= YEAR($I$28) + IF($I$30=12,$I$29,$I$29+1), YEAR(AO$7) &lt; YEAR($I$28) + IF($I$30=12,$I$29,$I$29+1) + $I128), 1, 0) / $I128)</f>
        <v>6.6666666666666666E-2</v>
      </c>
      <c r="AP129" s="236">
        <f t="shared" ref="AP129:AQ129" si="10">IF($I128 = 0, 0, IF(AND(YEAR(AP$7) &gt;= YEAR($I$28) + IF($I$30=12,$I$29,$I$29+1), YEAR(AP$7) &lt; YEAR($I$28) + IF($I$30=12,$I$29,$I$29+1) + $I128), 1, 0) / $I128)</f>
        <v>0</v>
      </c>
      <c r="AQ129" s="236">
        <f t="shared" si="10"/>
        <v>0</v>
      </c>
      <c r="AR129" s="149"/>
    </row>
    <row r="130" spans="4:48" ht="15" customHeight="1">
      <c r="D130" s="147"/>
      <c r="E130" s="147"/>
      <c r="F130" s="147"/>
      <c r="G130" s="145"/>
      <c r="H130" s="145"/>
      <c r="I130" s="145"/>
      <c r="J130" s="31"/>
      <c r="K130" s="145"/>
      <c r="L130" s="145"/>
      <c r="M130" s="145"/>
      <c r="N130" s="145"/>
      <c r="O130" s="145"/>
      <c r="P130" s="145"/>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row>
    <row r="131" spans="4:48" s="149" customFormat="1" ht="15" customHeight="1">
      <c r="D131" s="36" t="s">
        <v>523</v>
      </c>
      <c r="E131" s="36"/>
      <c r="F131" s="36"/>
      <c r="G131" s="36"/>
      <c r="H131" s="36"/>
      <c r="I131" s="196"/>
      <c r="J131" s="305"/>
      <c r="K131" s="196"/>
      <c r="L131" s="196"/>
      <c r="M131" s="196"/>
      <c r="N131" s="196"/>
      <c r="O131" s="196"/>
      <c r="P131" s="196"/>
      <c r="Q131" s="196"/>
      <c r="R131" s="196"/>
      <c r="S131" s="196"/>
      <c r="T131" s="196"/>
      <c r="U131" s="196"/>
      <c r="V131" s="196"/>
      <c r="W131" s="196"/>
      <c r="X131" s="196"/>
      <c r="Y131" s="196"/>
      <c r="Z131" s="196"/>
      <c r="AA131" s="196"/>
      <c r="AB131" s="196"/>
      <c r="AC131" s="196"/>
      <c r="AD131" s="196"/>
      <c r="AE131" s="196"/>
      <c r="AF131" s="196"/>
      <c r="AG131" s="196"/>
      <c r="AH131" s="196"/>
      <c r="AI131" s="196"/>
      <c r="AJ131" s="196"/>
      <c r="AK131" s="196"/>
      <c r="AL131" s="196"/>
      <c r="AM131" s="196"/>
      <c r="AN131" s="196"/>
      <c r="AO131" s="196"/>
      <c r="AP131" s="196"/>
      <c r="AQ131" s="196"/>
    </row>
    <row r="132" spans="4:48" ht="15" customHeight="1">
      <c r="D132" s="147"/>
      <c r="E132" s="147"/>
      <c r="F132" s="147"/>
      <c r="G132" s="145"/>
      <c r="H132" s="145"/>
      <c r="I132" s="145"/>
      <c r="J132" s="31"/>
      <c r="K132" s="145"/>
      <c r="L132" s="145"/>
      <c r="M132" s="145"/>
      <c r="N132" s="145"/>
      <c r="O132" s="145"/>
      <c r="P132" s="145"/>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row>
    <row r="133" spans="4:48" ht="15" customHeight="1">
      <c r="D133" s="147"/>
      <c r="E133" s="147" t="s">
        <v>522</v>
      </c>
      <c r="F133" s="147"/>
      <c r="G133" s="145"/>
      <c r="H133" s="145"/>
      <c r="I133" s="145"/>
      <c r="J133" s="31"/>
      <c r="K133" s="221">
        <f t="shared" ref="K133:AQ133" si="11">K7</f>
        <v>33328</v>
      </c>
      <c r="L133" s="221">
        <f t="shared" si="11"/>
        <v>33694</v>
      </c>
      <c r="M133" s="221">
        <f t="shared" ref="M133:N133" si="12">M7</f>
        <v>34059</v>
      </c>
      <c r="N133" s="221">
        <f t="shared" si="12"/>
        <v>34424</v>
      </c>
      <c r="O133" s="221">
        <f t="shared" si="11"/>
        <v>34789</v>
      </c>
      <c r="P133" s="221">
        <f t="shared" si="11"/>
        <v>35155</v>
      </c>
      <c r="Q133" s="221">
        <f t="shared" si="11"/>
        <v>35520</v>
      </c>
      <c r="R133" s="221">
        <f t="shared" si="11"/>
        <v>35885</v>
      </c>
      <c r="S133" s="221">
        <f t="shared" si="11"/>
        <v>36250</v>
      </c>
      <c r="T133" s="221">
        <f t="shared" si="11"/>
        <v>36616</v>
      </c>
      <c r="U133" s="221">
        <f t="shared" si="11"/>
        <v>36981</v>
      </c>
      <c r="V133" s="221">
        <f t="shared" si="11"/>
        <v>37346</v>
      </c>
      <c r="W133" s="221">
        <f t="shared" si="11"/>
        <v>37711</v>
      </c>
      <c r="X133" s="221">
        <f t="shared" si="11"/>
        <v>38077</v>
      </c>
      <c r="Y133" s="221">
        <f t="shared" si="11"/>
        <v>38442</v>
      </c>
      <c r="Z133" s="221">
        <f t="shared" si="11"/>
        <v>38807</v>
      </c>
      <c r="AA133" s="221">
        <f t="shared" si="11"/>
        <v>39172</v>
      </c>
      <c r="AB133" s="221">
        <f t="shared" si="11"/>
        <v>39538</v>
      </c>
      <c r="AC133" s="221">
        <f t="shared" si="11"/>
        <v>39903</v>
      </c>
      <c r="AD133" s="221">
        <f t="shared" si="11"/>
        <v>40268</v>
      </c>
      <c r="AE133" s="221">
        <f t="shared" si="11"/>
        <v>40633</v>
      </c>
      <c r="AF133" s="221">
        <f t="shared" si="11"/>
        <v>40999</v>
      </c>
      <c r="AG133" s="221">
        <f t="shared" si="11"/>
        <v>41364</v>
      </c>
      <c r="AH133" s="221">
        <f t="shared" si="11"/>
        <v>41729</v>
      </c>
      <c r="AI133" s="221">
        <f t="shared" si="11"/>
        <v>42094</v>
      </c>
      <c r="AJ133" s="221">
        <f t="shared" si="11"/>
        <v>42460</v>
      </c>
      <c r="AK133" s="221">
        <f t="shared" si="11"/>
        <v>42825</v>
      </c>
      <c r="AL133" s="221">
        <f t="shared" si="11"/>
        <v>43190</v>
      </c>
      <c r="AM133" s="221">
        <f t="shared" si="11"/>
        <v>43555</v>
      </c>
      <c r="AN133" s="221">
        <f t="shared" si="11"/>
        <v>43921</v>
      </c>
      <c r="AO133" s="221">
        <f t="shared" si="11"/>
        <v>44286</v>
      </c>
      <c r="AP133" s="221">
        <f t="shared" si="11"/>
        <v>44651</v>
      </c>
      <c r="AQ133" s="221">
        <f t="shared" si="11"/>
        <v>45016</v>
      </c>
    </row>
    <row r="134" spans="4:48" ht="15" customHeight="1">
      <c r="D134" s="147"/>
      <c r="E134" s="145" t="s">
        <v>425</v>
      </c>
      <c r="F134" s="147"/>
      <c r="G134" s="145"/>
      <c r="H134" s="145"/>
      <c r="I134" s="145"/>
      <c r="J134" s="31"/>
      <c r="K134" s="145">
        <f t="shared" ref="K134:AQ134" si="13">K127 * K23</f>
        <v>0</v>
      </c>
      <c r="L134" s="145">
        <f t="shared" si="13"/>
        <v>0</v>
      </c>
      <c r="M134" s="145">
        <f t="shared" ref="M134:N134" si="14">M127 * M23</f>
        <v>0</v>
      </c>
      <c r="N134" s="145">
        <f t="shared" si="14"/>
        <v>0</v>
      </c>
      <c r="O134" s="145">
        <f t="shared" si="13"/>
        <v>0</v>
      </c>
      <c r="P134" s="145">
        <f t="shared" si="13"/>
        <v>0</v>
      </c>
      <c r="Q134" s="145">
        <f t="shared" si="13"/>
        <v>0</v>
      </c>
      <c r="R134" s="145">
        <f t="shared" si="13"/>
        <v>0</v>
      </c>
      <c r="S134" s="145">
        <f t="shared" si="13"/>
        <v>0</v>
      </c>
      <c r="T134" s="145">
        <f t="shared" si="13"/>
        <v>0</v>
      </c>
      <c r="U134" s="145">
        <f t="shared" si="13"/>
        <v>0</v>
      </c>
      <c r="V134" s="145">
        <f t="shared" si="13"/>
        <v>0</v>
      </c>
      <c r="W134" s="145">
        <f t="shared" si="13"/>
        <v>0</v>
      </c>
      <c r="X134" s="145">
        <f t="shared" si="13"/>
        <v>0</v>
      </c>
      <c r="Y134" s="145">
        <f t="shared" si="13"/>
        <v>0</v>
      </c>
      <c r="Z134" s="145">
        <f t="shared" si="13"/>
        <v>0</v>
      </c>
      <c r="AA134" s="145">
        <f t="shared" si="13"/>
        <v>0</v>
      </c>
      <c r="AB134" s="145">
        <f t="shared" si="13"/>
        <v>0</v>
      </c>
      <c r="AC134" s="145">
        <f t="shared" si="13"/>
        <v>0</v>
      </c>
      <c r="AD134" s="145">
        <f t="shared" si="13"/>
        <v>0</v>
      </c>
      <c r="AE134" s="145">
        <f t="shared" si="13"/>
        <v>0</v>
      </c>
      <c r="AF134" s="145">
        <f t="shared" si="13"/>
        <v>0</v>
      </c>
      <c r="AG134" s="145">
        <f t="shared" si="13"/>
        <v>0</v>
      </c>
      <c r="AH134" s="145">
        <f t="shared" si="13"/>
        <v>0</v>
      </c>
      <c r="AI134" s="145">
        <f t="shared" si="13"/>
        <v>0</v>
      </c>
      <c r="AJ134" s="145">
        <f t="shared" si="13"/>
        <v>0</v>
      </c>
      <c r="AK134" s="145">
        <f t="shared" si="13"/>
        <v>0</v>
      </c>
      <c r="AL134" s="145">
        <f t="shared" si="13"/>
        <v>0</v>
      </c>
      <c r="AM134" s="145">
        <f t="shared" si="13"/>
        <v>0</v>
      </c>
      <c r="AN134" s="145">
        <f t="shared" si="13"/>
        <v>0</v>
      </c>
      <c r="AO134" s="145">
        <f t="shared" si="13"/>
        <v>0</v>
      </c>
      <c r="AP134" s="145">
        <f t="shared" si="13"/>
        <v>0</v>
      </c>
      <c r="AQ134" s="145">
        <f t="shared" si="13"/>
        <v>0</v>
      </c>
    </row>
    <row r="135" spans="4:48" ht="15" customHeight="1">
      <c r="D135" s="147"/>
      <c r="E135" s="147"/>
      <c r="F135" s="147"/>
      <c r="G135" s="145"/>
      <c r="H135" s="145"/>
      <c r="I135" s="145"/>
      <c r="J135" s="31"/>
      <c r="K135" s="145"/>
      <c r="L135" s="145"/>
      <c r="M135" s="145"/>
      <c r="N135" s="145"/>
      <c r="O135" s="145"/>
      <c r="P135" s="145"/>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row>
    <row r="136" spans="4:48" ht="15" customHeight="1">
      <c r="D136" s="36" t="s">
        <v>115</v>
      </c>
      <c r="E136" s="36"/>
      <c r="F136" s="36"/>
      <c r="G136" s="36"/>
      <c r="H136" s="36"/>
      <c r="I136" s="196"/>
      <c r="J136" s="305"/>
      <c r="K136" s="196"/>
      <c r="L136" s="196"/>
      <c r="M136" s="196"/>
      <c r="N136" s="196"/>
      <c r="O136" s="196"/>
      <c r="P136" s="196"/>
      <c r="Q136" s="196"/>
      <c r="R136" s="196"/>
      <c r="S136" s="196"/>
      <c r="T136" s="196"/>
      <c r="U136" s="196"/>
      <c r="V136" s="196"/>
      <c r="W136" s="196"/>
      <c r="X136" s="196"/>
      <c r="Y136" s="196"/>
      <c r="Z136" s="196"/>
      <c r="AA136" s="196"/>
      <c r="AB136" s="196"/>
      <c r="AC136" s="196"/>
      <c r="AD136" s="196"/>
      <c r="AE136" s="196"/>
      <c r="AF136" s="196"/>
      <c r="AG136" s="196"/>
      <c r="AH136" s="196"/>
      <c r="AI136" s="196"/>
      <c r="AJ136" s="196"/>
      <c r="AK136" s="196"/>
      <c r="AL136" s="196"/>
      <c r="AM136" s="196"/>
      <c r="AN136" s="196"/>
      <c r="AO136" s="196"/>
      <c r="AP136" s="196"/>
      <c r="AQ136" s="196"/>
    </row>
    <row r="137" spans="4:48" ht="15" customHeight="1">
      <c r="H137" s="145"/>
      <c r="I137" s="145"/>
      <c r="J137" s="31"/>
      <c r="K137" s="145"/>
      <c r="L137" s="145"/>
      <c r="M137" s="145"/>
      <c r="N137" s="145"/>
      <c r="O137" s="145"/>
      <c r="P137" s="145"/>
      <c r="Q137" s="145"/>
      <c r="R137" s="147"/>
      <c r="S137" s="147"/>
      <c r="T137" s="147"/>
      <c r="U137" s="147"/>
      <c r="V137" s="147"/>
      <c r="W137" s="147"/>
      <c r="X137" s="147"/>
      <c r="Y137" s="147"/>
      <c r="Z137" s="145"/>
      <c r="AA137" s="145"/>
      <c r="AB137" s="145"/>
      <c r="AC137" s="147"/>
      <c r="AD137" s="147"/>
      <c r="AE137" s="147"/>
      <c r="AF137" s="147"/>
      <c r="AG137" s="147"/>
      <c r="AH137" s="147"/>
      <c r="AI137" s="147"/>
      <c r="AJ137" s="147"/>
      <c r="AK137" s="147"/>
      <c r="AL137" s="147"/>
      <c r="AM137" s="147"/>
      <c r="AN137" s="147"/>
      <c r="AO137" s="147"/>
      <c r="AP137" s="147"/>
      <c r="AQ137" s="147"/>
    </row>
    <row r="138" spans="4:48" ht="15" customHeight="1">
      <c r="E138" s="86" t="s">
        <v>232</v>
      </c>
      <c r="H138" s="145"/>
      <c r="I138" s="106" t="s">
        <v>163</v>
      </c>
      <c r="J138" s="31"/>
      <c r="K138" s="145"/>
      <c r="L138" s="145"/>
      <c r="M138" s="145"/>
      <c r="N138" s="145"/>
      <c r="O138" s="145"/>
      <c r="P138" s="145"/>
      <c r="Q138" s="145"/>
      <c r="R138" s="147"/>
      <c r="S138" s="147"/>
      <c r="T138" s="147"/>
      <c r="U138" s="147"/>
      <c r="V138" s="147"/>
      <c r="W138" s="147"/>
      <c r="X138" s="147"/>
      <c r="Y138" s="147"/>
      <c r="Z138" s="145"/>
      <c r="AA138" s="145"/>
      <c r="AB138" s="145"/>
      <c r="AC138" s="147"/>
      <c r="AD138" s="147"/>
      <c r="AE138" s="147"/>
      <c r="AF138" s="147"/>
      <c r="AG138" s="147"/>
      <c r="AH138" s="147"/>
      <c r="AI138" s="147"/>
      <c r="AJ138" s="147"/>
      <c r="AK138" s="147"/>
      <c r="AL138" s="147"/>
      <c r="AM138" s="147"/>
      <c r="AN138" s="147"/>
      <c r="AO138" s="147"/>
      <c r="AP138" s="147"/>
      <c r="AQ138" s="147"/>
    </row>
    <row r="139" spans="4:48" ht="15" customHeight="1">
      <c r="E139" s="180">
        <v>33328</v>
      </c>
      <c r="G139" s="156" t="s">
        <v>657</v>
      </c>
      <c r="H139" s="145"/>
      <c r="I139" s="145">
        <f>SUMPRODUCT(L43:AQ43, L$127:AQ$127) - SUMPRODUCT(L88:AQ88, L$127:AQ$127) + HLOOKUP(E139,  $K$133:$AQ$134,2, FALSE)</f>
        <v>11.63015547950743</v>
      </c>
      <c r="J139" s="31" t="s">
        <v>54</v>
      </c>
      <c r="K139" s="145"/>
      <c r="L139" s="264">
        <f t="shared" ref="L139:AQ148" si="15">$I139 * L$129</f>
        <v>0</v>
      </c>
      <c r="M139" s="145">
        <f t="shared" si="15"/>
        <v>0</v>
      </c>
      <c r="N139" s="145">
        <f t="shared" si="15"/>
        <v>0</v>
      </c>
      <c r="O139" s="145">
        <f t="shared" si="15"/>
        <v>0</v>
      </c>
      <c r="P139" s="145">
        <f t="shared" si="15"/>
        <v>0</v>
      </c>
      <c r="Q139" s="145">
        <f t="shared" si="15"/>
        <v>0</v>
      </c>
      <c r="R139" s="145">
        <f t="shared" si="15"/>
        <v>0</v>
      </c>
      <c r="S139" s="145">
        <f t="shared" si="15"/>
        <v>0</v>
      </c>
      <c r="T139" s="145">
        <f t="shared" si="15"/>
        <v>0</v>
      </c>
      <c r="U139" s="145">
        <f t="shared" si="15"/>
        <v>0</v>
      </c>
      <c r="V139" s="145">
        <f t="shared" si="15"/>
        <v>0</v>
      </c>
      <c r="W139" s="145">
        <f t="shared" si="15"/>
        <v>0</v>
      </c>
      <c r="X139" s="145">
        <f t="shared" si="15"/>
        <v>0</v>
      </c>
      <c r="Y139" s="145">
        <f t="shared" si="15"/>
        <v>0</v>
      </c>
      <c r="Z139" s="145">
        <f t="shared" si="15"/>
        <v>0</v>
      </c>
      <c r="AA139" s="145">
        <f t="shared" si="15"/>
        <v>0.77534369863382868</v>
      </c>
      <c r="AB139" s="145">
        <f t="shared" si="15"/>
        <v>0.77534369863382868</v>
      </c>
      <c r="AC139" s="145">
        <f t="shared" si="15"/>
        <v>0.77534369863382868</v>
      </c>
      <c r="AD139" s="145">
        <f t="shared" si="15"/>
        <v>0.77534369863382868</v>
      </c>
      <c r="AE139" s="145">
        <f t="shared" si="15"/>
        <v>0.77534369863382868</v>
      </c>
      <c r="AF139" s="145">
        <f t="shared" si="15"/>
        <v>0.77534369863382868</v>
      </c>
      <c r="AG139" s="145">
        <f t="shared" si="15"/>
        <v>0.77534369863382868</v>
      </c>
      <c r="AH139" s="145">
        <f t="shared" si="15"/>
        <v>0.77534369863382868</v>
      </c>
      <c r="AI139" s="145">
        <f t="shared" si="15"/>
        <v>0.77534369863382868</v>
      </c>
      <c r="AJ139" s="145">
        <f t="shared" si="15"/>
        <v>0.77534369863382868</v>
      </c>
      <c r="AK139" s="145">
        <f t="shared" si="15"/>
        <v>0.77534369863382868</v>
      </c>
      <c r="AL139" s="145">
        <f t="shared" si="15"/>
        <v>0.77534369863382868</v>
      </c>
      <c r="AM139" s="145">
        <f t="shared" si="15"/>
        <v>0.77534369863382868</v>
      </c>
      <c r="AN139" s="145">
        <f t="shared" si="15"/>
        <v>0.77534369863382868</v>
      </c>
      <c r="AO139" s="145">
        <f t="shared" si="15"/>
        <v>0.77534369863382868</v>
      </c>
      <c r="AP139" s="145">
        <f t="shared" si="15"/>
        <v>0</v>
      </c>
      <c r="AQ139" s="145">
        <f t="shared" si="15"/>
        <v>0</v>
      </c>
    </row>
    <row r="140" spans="4:48" ht="15" customHeight="1">
      <c r="E140" s="180">
        <v>33694</v>
      </c>
      <c r="G140" s="156" t="s">
        <v>657</v>
      </c>
      <c r="H140" s="145"/>
      <c r="I140" s="145">
        <f t="shared" ref="I140:I171" si="16">SUMPRODUCT(L44:AQ44, L$127:AQ$127) - SUMPRODUCT(L89:AQ89, L$127:AQ$127) + HLOOKUP(E140,  $K$133:$AQ$134,2, FALSE)</f>
        <v>39.327155380704745</v>
      </c>
      <c r="J140" s="31" t="s">
        <v>54</v>
      </c>
      <c r="K140" s="145"/>
      <c r="L140" s="145"/>
      <c r="M140" s="264">
        <f t="shared" si="15"/>
        <v>0</v>
      </c>
      <c r="N140" s="145">
        <f t="shared" si="15"/>
        <v>0</v>
      </c>
      <c r="O140" s="145">
        <f t="shared" si="15"/>
        <v>0</v>
      </c>
      <c r="P140" s="145">
        <f t="shared" si="15"/>
        <v>0</v>
      </c>
      <c r="Q140" s="145">
        <f t="shared" si="15"/>
        <v>0</v>
      </c>
      <c r="R140" s="145">
        <f t="shared" si="15"/>
        <v>0</v>
      </c>
      <c r="S140" s="145">
        <f t="shared" si="15"/>
        <v>0</v>
      </c>
      <c r="T140" s="145">
        <f t="shared" si="15"/>
        <v>0</v>
      </c>
      <c r="U140" s="145">
        <f t="shared" si="15"/>
        <v>0</v>
      </c>
      <c r="V140" s="145">
        <f t="shared" si="15"/>
        <v>0</v>
      </c>
      <c r="W140" s="145">
        <f t="shared" si="15"/>
        <v>0</v>
      </c>
      <c r="X140" s="145">
        <f t="shared" si="15"/>
        <v>0</v>
      </c>
      <c r="Y140" s="145">
        <f t="shared" si="15"/>
        <v>0</v>
      </c>
      <c r="Z140" s="145">
        <f t="shared" si="15"/>
        <v>0</v>
      </c>
      <c r="AA140" s="145">
        <f t="shared" si="15"/>
        <v>2.6218103587136499</v>
      </c>
      <c r="AB140" s="145">
        <f t="shared" si="15"/>
        <v>2.6218103587136499</v>
      </c>
      <c r="AC140" s="145">
        <f t="shared" si="15"/>
        <v>2.6218103587136499</v>
      </c>
      <c r="AD140" s="145">
        <f t="shared" si="15"/>
        <v>2.6218103587136499</v>
      </c>
      <c r="AE140" s="145">
        <f t="shared" si="15"/>
        <v>2.6218103587136499</v>
      </c>
      <c r="AF140" s="145">
        <f t="shared" si="15"/>
        <v>2.6218103587136499</v>
      </c>
      <c r="AG140" s="145">
        <f t="shared" si="15"/>
        <v>2.6218103587136499</v>
      </c>
      <c r="AH140" s="145">
        <f t="shared" si="15"/>
        <v>2.6218103587136499</v>
      </c>
      <c r="AI140" s="145">
        <f t="shared" si="15"/>
        <v>2.6218103587136499</v>
      </c>
      <c r="AJ140" s="145">
        <f t="shared" si="15"/>
        <v>2.6218103587136499</v>
      </c>
      <c r="AK140" s="145">
        <f t="shared" si="15"/>
        <v>2.6218103587136499</v>
      </c>
      <c r="AL140" s="145">
        <f t="shared" si="15"/>
        <v>2.6218103587136499</v>
      </c>
      <c r="AM140" s="145">
        <f t="shared" si="15"/>
        <v>2.6218103587136499</v>
      </c>
      <c r="AN140" s="145">
        <f t="shared" si="15"/>
        <v>2.6218103587136499</v>
      </c>
      <c r="AO140" s="145">
        <f t="shared" si="15"/>
        <v>2.6218103587136499</v>
      </c>
      <c r="AP140" s="145">
        <f t="shared" si="15"/>
        <v>0</v>
      </c>
      <c r="AQ140" s="145">
        <f t="shared" si="15"/>
        <v>0</v>
      </c>
      <c r="AR140" s="145">
        <f t="shared" ref="AR140:AR147" si="17">$I140 * AR$129</f>
        <v>0</v>
      </c>
    </row>
    <row r="141" spans="4:48" ht="15" customHeight="1">
      <c r="E141" s="180">
        <v>34059</v>
      </c>
      <c r="G141" s="156" t="s">
        <v>657</v>
      </c>
      <c r="H141" s="145"/>
      <c r="I141" s="145">
        <f t="shared" si="16"/>
        <v>42.757743571088511</v>
      </c>
      <c r="J141" s="31" t="s">
        <v>54</v>
      </c>
      <c r="K141" s="145"/>
      <c r="L141" s="145"/>
      <c r="M141" s="145"/>
      <c r="N141" s="264">
        <f t="shared" si="15"/>
        <v>0</v>
      </c>
      <c r="O141" s="145">
        <f t="shared" si="15"/>
        <v>0</v>
      </c>
      <c r="P141" s="145">
        <f t="shared" si="15"/>
        <v>0</v>
      </c>
      <c r="Q141" s="145">
        <f t="shared" si="15"/>
        <v>0</v>
      </c>
      <c r="R141" s="145">
        <f t="shared" si="15"/>
        <v>0</v>
      </c>
      <c r="S141" s="145">
        <f t="shared" si="15"/>
        <v>0</v>
      </c>
      <c r="T141" s="145">
        <f t="shared" si="15"/>
        <v>0</v>
      </c>
      <c r="U141" s="145">
        <f t="shared" si="15"/>
        <v>0</v>
      </c>
      <c r="V141" s="145">
        <f t="shared" si="15"/>
        <v>0</v>
      </c>
      <c r="W141" s="145">
        <f t="shared" si="15"/>
        <v>0</v>
      </c>
      <c r="X141" s="145">
        <f t="shared" si="15"/>
        <v>0</v>
      </c>
      <c r="Y141" s="145">
        <f t="shared" si="15"/>
        <v>0</v>
      </c>
      <c r="Z141" s="145">
        <f t="shared" si="15"/>
        <v>0</v>
      </c>
      <c r="AA141" s="145">
        <f t="shared" si="15"/>
        <v>2.8505162380725673</v>
      </c>
      <c r="AB141" s="145">
        <f t="shared" si="15"/>
        <v>2.8505162380725673</v>
      </c>
      <c r="AC141" s="145">
        <f t="shared" si="15"/>
        <v>2.8505162380725673</v>
      </c>
      <c r="AD141" s="145">
        <f t="shared" si="15"/>
        <v>2.8505162380725673</v>
      </c>
      <c r="AE141" s="145">
        <f t="shared" si="15"/>
        <v>2.8505162380725673</v>
      </c>
      <c r="AF141" s="145">
        <f t="shared" si="15"/>
        <v>2.8505162380725673</v>
      </c>
      <c r="AG141" s="145">
        <f t="shared" si="15"/>
        <v>2.8505162380725673</v>
      </c>
      <c r="AH141" s="145">
        <f t="shared" si="15"/>
        <v>2.8505162380725673</v>
      </c>
      <c r="AI141" s="145">
        <f t="shared" si="15"/>
        <v>2.8505162380725673</v>
      </c>
      <c r="AJ141" s="145">
        <f t="shared" si="15"/>
        <v>2.8505162380725673</v>
      </c>
      <c r="AK141" s="145">
        <f t="shared" si="15"/>
        <v>2.8505162380725673</v>
      </c>
      <c r="AL141" s="145">
        <f t="shared" si="15"/>
        <v>2.8505162380725673</v>
      </c>
      <c r="AM141" s="145">
        <f t="shared" si="15"/>
        <v>2.8505162380725673</v>
      </c>
      <c r="AN141" s="145">
        <f t="shared" si="15"/>
        <v>2.8505162380725673</v>
      </c>
      <c r="AO141" s="145">
        <f t="shared" si="15"/>
        <v>2.8505162380725673</v>
      </c>
      <c r="AP141" s="145">
        <f t="shared" si="15"/>
        <v>0</v>
      </c>
      <c r="AQ141" s="145">
        <f t="shared" si="15"/>
        <v>0</v>
      </c>
      <c r="AR141" s="145">
        <f t="shared" si="17"/>
        <v>0</v>
      </c>
      <c r="AS141" s="145"/>
    </row>
    <row r="142" spans="4:48" ht="15" customHeight="1">
      <c r="E142" s="180">
        <v>34424</v>
      </c>
      <c r="G142" s="156" t="s">
        <v>657</v>
      </c>
      <c r="H142" s="145"/>
      <c r="I142" s="145">
        <f t="shared" si="16"/>
        <v>47.000596588612538</v>
      </c>
      <c r="J142" s="31" t="s">
        <v>54</v>
      </c>
      <c r="K142" s="145"/>
      <c r="L142" s="145"/>
      <c r="M142" s="145"/>
      <c r="N142" s="145"/>
      <c r="O142" s="264">
        <f t="shared" si="15"/>
        <v>0</v>
      </c>
      <c r="P142" s="145">
        <f t="shared" si="15"/>
        <v>0</v>
      </c>
      <c r="Q142" s="145">
        <f t="shared" si="15"/>
        <v>0</v>
      </c>
      <c r="R142" s="145">
        <f t="shared" si="15"/>
        <v>0</v>
      </c>
      <c r="S142" s="145">
        <f t="shared" si="15"/>
        <v>0</v>
      </c>
      <c r="T142" s="145">
        <f t="shared" si="15"/>
        <v>0</v>
      </c>
      <c r="U142" s="145">
        <f t="shared" si="15"/>
        <v>0</v>
      </c>
      <c r="V142" s="145">
        <f t="shared" si="15"/>
        <v>0</v>
      </c>
      <c r="W142" s="145">
        <f t="shared" si="15"/>
        <v>0</v>
      </c>
      <c r="X142" s="145">
        <f t="shared" si="15"/>
        <v>0</v>
      </c>
      <c r="Y142" s="145">
        <f t="shared" si="15"/>
        <v>0</v>
      </c>
      <c r="Z142" s="145">
        <f t="shared" si="15"/>
        <v>0</v>
      </c>
      <c r="AA142" s="145">
        <f t="shared" si="15"/>
        <v>3.1333731059075025</v>
      </c>
      <c r="AB142" s="145">
        <f t="shared" si="15"/>
        <v>3.1333731059075025</v>
      </c>
      <c r="AC142" s="145">
        <f t="shared" si="15"/>
        <v>3.1333731059075025</v>
      </c>
      <c r="AD142" s="145">
        <f t="shared" si="15"/>
        <v>3.1333731059075025</v>
      </c>
      <c r="AE142" s="145">
        <f t="shared" si="15"/>
        <v>3.1333731059075025</v>
      </c>
      <c r="AF142" s="145">
        <f t="shared" si="15"/>
        <v>3.1333731059075025</v>
      </c>
      <c r="AG142" s="145">
        <f t="shared" si="15"/>
        <v>3.1333731059075025</v>
      </c>
      <c r="AH142" s="145">
        <f t="shared" si="15"/>
        <v>3.1333731059075025</v>
      </c>
      <c r="AI142" s="145">
        <f t="shared" si="15"/>
        <v>3.1333731059075025</v>
      </c>
      <c r="AJ142" s="145">
        <f t="shared" si="15"/>
        <v>3.1333731059075025</v>
      </c>
      <c r="AK142" s="145">
        <f t="shared" si="15"/>
        <v>3.1333731059075025</v>
      </c>
      <c r="AL142" s="145">
        <f t="shared" si="15"/>
        <v>3.1333731059075025</v>
      </c>
      <c r="AM142" s="145">
        <f t="shared" si="15"/>
        <v>3.1333731059075025</v>
      </c>
      <c r="AN142" s="145">
        <f t="shared" si="15"/>
        <v>3.1333731059075025</v>
      </c>
      <c r="AO142" s="145">
        <f t="shared" si="15"/>
        <v>3.1333731059075025</v>
      </c>
      <c r="AP142" s="145">
        <f t="shared" si="15"/>
        <v>0</v>
      </c>
      <c r="AQ142" s="145">
        <f t="shared" si="15"/>
        <v>0</v>
      </c>
      <c r="AR142" s="145">
        <f t="shared" si="17"/>
        <v>0</v>
      </c>
      <c r="AS142" s="145"/>
      <c r="AT142" s="145"/>
    </row>
    <row r="143" spans="4:48" ht="15" customHeight="1">
      <c r="E143" s="180">
        <v>34789</v>
      </c>
      <c r="G143" s="156" t="s">
        <v>657</v>
      </c>
      <c r="H143" s="145"/>
      <c r="I143" s="145">
        <f t="shared" si="16"/>
        <v>41.93317170111284</v>
      </c>
      <c r="J143" s="31" t="s">
        <v>54</v>
      </c>
      <c r="K143" s="145"/>
      <c r="L143" s="145"/>
      <c r="M143" s="145"/>
      <c r="N143" s="145"/>
      <c r="O143" s="145"/>
      <c r="P143" s="264">
        <f t="shared" si="15"/>
        <v>0</v>
      </c>
      <c r="Q143" s="145">
        <f t="shared" si="15"/>
        <v>0</v>
      </c>
      <c r="R143" s="145">
        <f t="shared" si="15"/>
        <v>0</v>
      </c>
      <c r="S143" s="145">
        <f t="shared" si="15"/>
        <v>0</v>
      </c>
      <c r="T143" s="145">
        <f t="shared" si="15"/>
        <v>0</v>
      </c>
      <c r="U143" s="145">
        <f t="shared" si="15"/>
        <v>0</v>
      </c>
      <c r="V143" s="145">
        <f t="shared" si="15"/>
        <v>0</v>
      </c>
      <c r="W143" s="145">
        <f t="shared" si="15"/>
        <v>0</v>
      </c>
      <c r="X143" s="145">
        <f t="shared" si="15"/>
        <v>0</v>
      </c>
      <c r="Y143" s="145">
        <f t="shared" si="15"/>
        <v>0</v>
      </c>
      <c r="Z143" s="145">
        <f t="shared" si="15"/>
        <v>0</v>
      </c>
      <c r="AA143" s="145">
        <f t="shared" si="15"/>
        <v>2.7955447800741893</v>
      </c>
      <c r="AB143" s="145">
        <f t="shared" si="15"/>
        <v>2.7955447800741893</v>
      </c>
      <c r="AC143" s="145">
        <f t="shared" si="15"/>
        <v>2.7955447800741893</v>
      </c>
      <c r="AD143" s="145">
        <f t="shared" si="15"/>
        <v>2.7955447800741893</v>
      </c>
      <c r="AE143" s="145">
        <f t="shared" si="15"/>
        <v>2.7955447800741893</v>
      </c>
      <c r="AF143" s="145">
        <f t="shared" si="15"/>
        <v>2.7955447800741893</v>
      </c>
      <c r="AG143" s="145">
        <f t="shared" si="15"/>
        <v>2.7955447800741893</v>
      </c>
      <c r="AH143" s="145">
        <f t="shared" si="15"/>
        <v>2.7955447800741893</v>
      </c>
      <c r="AI143" s="145">
        <f t="shared" si="15"/>
        <v>2.7955447800741893</v>
      </c>
      <c r="AJ143" s="145">
        <f t="shared" si="15"/>
        <v>2.7955447800741893</v>
      </c>
      <c r="AK143" s="145">
        <f t="shared" si="15"/>
        <v>2.7955447800741893</v>
      </c>
      <c r="AL143" s="145">
        <f t="shared" si="15"/>
        <v>2.7955447800741893</v>
      </c>
      <c r="AM143" s="145">
        <f t="shared" si="15"/>
        <v>2.7955447800741893</v>
      </c>
      <c r="AN143" s="145">
        <f t="shared" si="15"/>
        <v>2.7955447800741893</v>
      </c>
      <c r="AO143" s="145">
        <f t="shared" si="15"/>
        <v>2.7955447800741893</v>
      </c>
      <c r="AP143" s="145">
        <f t="shared" si="15"/>
        <v>0</v>
      </c>
      <c r="AQ143" s="145">
        <f t="shared" si="15"/>
        <v>0</v>
      </c>
      <c r="AR143" s="145">
        <f t="shared" si="17"/>
        <v>0</v>
      </c>
      <c r="AS143" s="145"/>
      <c r="AT143" s="145"/>
      <c r="AU143" s="145"/>
    </row>
    <row r="144" spans="4:48" ht="15" customHeight="1">
      <c r="E144" s="180">
        <v>35155</v>
      </c>
      <c r="G144" s="156" t="s">
        <v>657</v>
      </c>
      <c r="H144" s="145"/>
      <c r="I144" s="145">
        <f t="shared" si="16"/>
        <v>39.659445537262094</v>
      </c>
      <c r="J144" s="31" t="s">
        <v>54</v>
      </c>
      <c r="K144" s="145"/>
      <c r="L144" s="145"/>
      <c r="M144" s="145"/>
      <c r="N144" s="145"/>
      <c r="O144" s="145"/>
      <c r="P144" s="145"/>
      <c r="Q144" s="264">
        <f t="shared" si="15"/>
        <v>0</v>
      </c>
      <c r="R144" s="145">
        <f t="shared" si="15"/>
        <v>0</v>
      </c>
      <c r="S144" s="145">
        <f t="shared" si="15"/>
        <v>0</v>
      </c>
      <c r="T144" s="145">
        <f t="shared" si="15"/>
        <v>0</v>
      </c>
      <c r="U144" s="145">
        <f t="shared" si="15"/>
        <v>0</v>
      </c>
      <c r="V144" s="145">
        <f t="shared" si="15"/>
        <v>0</v>
      </c>
      <c r="W144" s="145">
        <f t="shared" si="15"/>
        <v>0</v>
      </c>
      <c r="X144" s="145">
        <f t="shared" si="15"/>
        <v>0</v>
      </c>
      <c r="Y144" s="145">
        <f t="shared" si="15"/>
        <v>0</v>
      </c>
      <c r="Z144" s="145">
        <f t="shared" si="15"/>
        <v>0</v>
      </c>
      <c r="AA144" s="145">
        <f t="shared" si="15"/>
        <v>2.6439630358174728</v>
      </c>
      <c r="AB144" s="145">
        <f t="shared" si="15"/>
        <v>2.6439630358174728</v>
      </c>
      <c r="AC144" s="145">
        <f t="shared" si="15"/>
        <v>2.6439630358174728</v>
      </c>
      <c r="AD144" s="145">
        <f t="shared" si="15"/>
        <v>2.6439630358174728</v>
      </c>
      <c r="AE144" s="145">
        <f t="shared" si="15"/>
        <v>2.6439630358174728</v>
      </c>
      <c r="AF144" s="145">
        <f t="shared" si="15"/>
        <v>2.6439630358174728</v>
      </c>
      <c r="AG144" s="145">
        <f t="shared" si="15"/>
        <v>2.6439630358174728</v>
      </c>
      <c r="AH144" s="145">
        <f t="shared" si="15"/>
        <v>2.6439630358174728</v>
      </c>
      <c r="AI144" s="145">
        <f t="shared" si="15"/>
        <v>2.6439630358174728</v>
      </c>
      <c r="AJ144" s="145">
        <f t="shared" si="15"/>
        <v>2.6439630358174728</v>
      </c>
      <c r="AK144" s="145">
        <f t="shared" si="15"/>
        <v>2.6439630358174728</v>
      </c>
      <c r="AL144" s="145">
        <f t="shared" si="15"/>
        <v>2.6439630358174728</v>
      </c>
      <c r="AM144" s="145">
        <f t="shared" si="15"/>
        <v>2.6439630358174728</v>
      </c>
      <c r="AN144" s="145">
        <f t="shared" si="15"/>
        <v>2.6439630358174728</v>
      </c>
      <c r="AO144" s="145">
        <f t="shared" si="15"/>
        <v>2.6439630358174728</v>
      </c>
      <c r="AP144" s="145">
        <f t="shared" si="15"/>
        <v>0</v>
      </c>
      <c r="AQ144" s="145">
        <f t="shared" si="15"/>
        <v>0</v>
      </c>
      <c r="AR144" s="145">
        <f t="shared" si="17"/>
        <v>0</v>
      </c>
      <c r="AS144" s="145"/>
      <c r="AT144" s="145"/>
      <c r="AU144" s="145"/>
      <c r="AV144" s="145"/>
    </row>
    <row r="145" spans="5:64" ht="15" customHeight="1">
      <c r="E145" s="180">
        <v>35520</v>
      </c>
      <c r="G145" s="156" t="s">
        <v>657</v>
      </c>
      <c r="H145" s="145"/>
      <c r="I145" s="145">
        <f t="shared" si="16"/>
        <v>37.964150386677822</v>
      </c>
      <c r="J145" s="31" t="s">
        <v>54</v>
      </c>
      <c r="K145" s="145"/>
      <c r="L145" s="145"/>
      <c r="M145" s="145"/>
      <c r="N145" s="145"/>
      <c r="O145" s="145"/>
      <c r="P145" s="145"/>
      <c r="Q145" s="145"/>
      <c r="R145" s="264">
        <f t="shared" si="15"/>
        <v>0</v>
      </c>
      <c r="S145" s="145">
        <f t="shared" si="15"/>
        <v>0</v>
      </c>
      <c r="T145" s="145">
        <f t="shared" si="15"/>
        <v>0</v>
      </c>
      <c r="U145" s="145">
        <f t="shared" si="15"/>
        <v>0</v>
      </c>
      <c r="V145" s="145">
        <f t="shared" si="15"/>
        <v>0</v>
      </c>
      <c r="W145" s="145">
        <f t="shared" si="15"/>
        <v>0</v>
      </c>
      <c r="X145" s="145">
        <f t="shared" si="15"/>
        <v>0</v>
      </c>
      <c r="Y145" s="145">
        <f t="shared" si="15"/>
        <v>0</v>
      </c>
      <c r="Z145" s="145">
        <f t="shared" si="15"/>
        <v>0</v>
      </c>
      <c r="AA145" s="145">
        <f t="shared" si="15"/>
        <v>2.5309433591118546</v>
      </c>
      <c r="AB145" s="145">
        <f t="shared" si="15"/>
        <v>2.5309433591118546</v>
      </c>
      <c r="AC145" s="145">
        <f t="shared" si="15"/>
        <v>2.5309433591118546</v>
      </c>
      <c r="AD145" s="145">
        <f t="shared" si="15"/>
        <v>2.5309433591118546</v>
      </c>
      <c r="AE145" s="145">
        <f t="shared" si="15"/>
        <v>2.5309433591118546</v>
      </c>
      <c r="AF145" s="145">
        <f t="shared" si="15"/>
        <v>2.5309433591118546</v>
      </c>
      <c r="AG145" s="145">
        <f t="shared" si="15"/>
        <v>2.5309433591118546</v>
      </c>
      <c r="AH145" s="145">
        <f t="shared" si="15"/>
        <v>2.5309433591118546</v>
      </c>
      <c r="AI145" s="145">
        <f t="shared" si="15"/>
        <v>2.5309433591118546</v>
      </c>
      <c r="AJ145" s="145">
        <f t="shared" si="15"/>
        <v>2.5309433591118546</v>
      </c>
      <c r="AK145" s="145">
        <f t="shared" si="15"/>
        <v>2.5309433591118546</v>
      </c>
      <c r="AL145" s="145">
        <f t="shared" si="15"/>
        <v>2.5309433591118546</v>
      </c>
      <c r="AM145" s="145">
        <f t="shared" si="15"/>
        <v>2.5309433591118546</v>
      </c>
      <c r="AN145" s="145">
        <f t="shared" si="15"/>
        <v>2.5309433591118546</v>
      </c>
      <c r="AO145" s="145">
        <f t="shared" si="15"/>
        <v>2.5309433591118546</v>
      </c>
      <c r="AP145" s="145">
        <f t="shared" si="15"/>
        <v>0</v>
      </c>
      <c r="AQ145" s="145">
        <f t="shared" si="15"/>
        <v>0</v>
      </c>
      <c r="AR145" s="145">
        <f t="shared" si="17"/>
        <v>0</v>
      </c>
      <c r="AS145" s="145"/>
      <c r="AT145" s="145"/>
      <c r="AU145" s="145"/>
      <c r="AV145" s="145"/>
      <c r="AW145" s="145"/>
    </row>
    <row r="146" spans="5:64" ht="15" customHeight="1">
      <c r="E146" s="180">
        <v>35885</v>
      </c>
      <c r="G146" s="156" t="s">
        <v>657</v>
      </c>
      <c r="H146" s="145"/>
      <c r="I146" s="145">
        <f t="shared" si="16"/>
        <v>31.112204288036807</v>
      </c>
      <c r="J146" s="31" t="s">
        <v>54</v>
      </c>
      <c r="K146" s="145"/>
      <c r="L146" s="145"/>
      <c r="M146" s="145"/>
      <c r="N146" s="145"/>
      <c r="O146" s="145"/>
      <c r="P146" s="145"/>
      <c r="Q146" s="145"/>
      <c r="R146" s="145"/>
      <c r="S146" s="264">
        <f t="shared" si="15"/>
        <v>0</v>
      </c>
      <c r="T146" s="145">
        <f t="shared" si="15"/>
        <v>0</v>
      </c>
      <c r="U146" s="145">
        <f t="shared" si="15"/>
        <v>0</v>
      </c>
      <c r="V146" s="145">
        <f t="shared" si="15"/>
        <v>0</v>
      </c>
      <c r="W146" s="145">
        <f t="shared" si="15"/>
        <v>0</v>
      </c>
      <c r="X146" s="145">
        <f t="shared" si="15"/>
        <v>0</v>
      </c>
      <c r="Y146" s="145">
        <f t="shared" si="15"/>
        <v>0</v>
      </c>
      <c r="Z146" s="145">
        <f t="shared" si="15"/>
        <v>0</v>
      </c>
      <c r="AA146" s="145">
        <f t="shared" si="15"/>
        <v>2.074146952535787</v>
      </c>
      <c r="AB146" s="145">
        <f t="shared" si="15"/>
        <v>2.074146952535787</v>
      </c>
      <c r="AC146" s="145">
        <f t="shared" si="15"/>
        <v>2.074146952535787</v>
      </c>
      <c r="AD146" s="145">
        <f t="shared" si="15"/>
        <v>2.074146952535787</v>
      </c>
      <c r="AE146" s="145">
        <f t="shared" si="15"/>
        <v>2.074146952535787</v>
      </c>
      <c r="AF146" s="145">
        <f t="shared" si="15"/>
        <v>2.074146952535787</v>
      </c>
      <c r="AG146" s="145">
        <f t="shared" si="15"/>
        <v>2.074146952535787</v>
      </c>
      <c r="AH146" s="145">
        <f t="shared" si="15"/>
        <v>2.074146952535787</v>
      </c>
      <c r="AI146" s="145">
        <f t="shared" si="15"/>
        <v>2.074146952535787</v>
      </c>
      <c r="AJ146" s="145">
        <f t="shared" si="15"/>
        <v>2.074146952535787</v>
      </c>
      <c r="AK146" s="145">
        <f t="shared" si="15"/>
        <v>2.074146952535787</v>
      </c>
      <c r="AL146" s="145">
        <f t="shared" si="15"/>
        <v>2.074146952535787</v>
      </c>
      <c r="AM146" s="145">
        <f t="shared" si="15"/>
        <v>2.074146952535787</v>
      </c>
      <c r="AN146" s="145">
        <f t="shared" si="15"/>
        <v>2.074146952535787</v>
      </c>
      <c r="AO146" s="145">
        <f t="shared" si="15"/>
        <v>2.074146952535787</v>
      </c>
      <c r="AP146" s="145">
        <f t="shared" si="15"/>
        <v>0</v>
      </c>
      <c r="AQ146" s="145">
        <f t="shared" si="15"/>
        <v>0</v>
      </c>
      <c r="AR146" s="145">
        <f t="shared" si="17"/>
        <v>0</v>
      </c>
      <c r="AS146" s="145"/>
      <c r="AT146" s="145"/>
      <c r="AU146" s="145"/>
      <c r="AV146" s="145"/>
      <c r="AW146" s="145"/>
      <c r="AX146" s="145"/>
    </row>
    <row r="147" spans="5:64" ht="15" customHeight="1">
      <c r="E147" s="180">
        <v>36250</v>
      </c>
      <c r="G147" s="156" t="s">
        <v>657</v>
      </c>
      <c r="H147" s="145"/>
      <c r="I147" s="145">
        <f t="shared" si="16"/>
        <v>24.585314791404905</v>
      </c>
      <c r="J147" s="31" t="s">
        <v>54</v>
      </c>
      <c r="K147" s="145"/>
      <c r="L147" s="145"/>
      <c r="M147" s="145"/>
      <c r="N147" s="145"/>
      <c r="O147" s="145"/>
      <c r="P147" s="145"/>
      <c r="Q147" s="145"/>
      <c r="R147" s="145"/>
      <c r="S147" s="145"/>
      <c r="T147" s="264">
        <f t="shared" si="15"/>
        <v>0</v>
      </c>
      <c r="U147" s="145">
        <f t="shared" si="15"/>
        <v>0</v>
      </c>
      <c r="V147" s="145">
        <f t="shared" si="15"/>
        <v>0</v>
      </c>
      <c r="W147" s="145">
        <f t="shared" si="15"/>
        <v>0</v>
      </c>
      <c r="X147" s="145">
        <f t="shared" si="15"/>
        <v>0</v>
      </c>
      <c r="Y147" s="145">
        <f t="shared" si="15"/>
        <v>0</v>
      </c>
      <c r="Z147" s="145">
        <f t="shared" si="15"/>
        <v>0</v>
      </c>
      <c r="AA147" s="145">
        <f t="shared" si="15"/>
        <v>1.6390209860936602</v>
      </c>
      <c r="AB147" s="145">
        <f t="shared" si="15"/>
        <v>1.6390209860936602</v>
      </c>
      <c r="AC147" s="145">
        <f t="shared" si="15"/>
        <v>1.6390209860936602</v>
      </c>
      <c r="AD147" s="145">
        <f t="shared" si="15"/>
        <v>1.6390209860936602</v>
      </c>
      <c r="AE147" s="145">
        <f t="shared" si="15"/>
        <v>1.6390209860936602</v>
      </c>
      <c r="AF147" s="145">
        <f t="shared" si="15"/>
        <v>1.6390209860936602</v>
      </c>
      <c r="AG147" s="145">
        <f t="shared" si="15"/>
        <v>1.6390209860936602</v>
      </c>
      <c r="AH147" s="145">
        <f t="shared" si="15"/>
        <v>1.6390209860936602</v>
      </c>
      <c r="AI147" s="145">
        <f t="shared" si="15"/>
        <v>1.6390209860936602</v>
      </c>
      <c r="AJ147" s="145">
        <f t="shared" si="15"/>
        <v>1.6390209860936602</v>
      </c>
      <c r="AK147" s="145">
        <f t="shared" si="15"/>
        <v>1.6390209860936602</v>
      </c>
      <c r="AL147" s="145">
        <f t="shared" si="15"/>
        <v>1.6390209860936602</v>
      </c>
      <c r="AM147" s="145">
        <f t="shared" si="15"/>
        <v>1.6390209860936602</v>
      </c>
      <c r="AN147" s="145">
        <f t="shared" si="15"/>
        <v>1.6390209860936602</v>
      </c>
      <c r="AO147" s="145">
        <f t="shared" si="15"/>
        <v>1.6390209860936602</v>
      </c>
      <c r="AP147" s="145">
        <f t="shared" si="15"/>
        <v>0</v>
      </c>
      <c r="AQ147" s="145">
        <f t="shared" si="15"/>
        <v>0</v>
      </c>
      <c r="AR147" s="145">
        <f t="shared" si="17"/>
        <v>0</v>
      </c>
      <c r="AS147" s="145"/>
      <c r="AT147" s="145"/>
      <c r="AU147" s="145"/>
      <c r="AV147" s="145"/>
      <c r="AW147" s="145"/>
      <c r="AX147" s="145"/>
      <c r="AY147" s="145"/>
    </row>
    <row r="148" spans="5:64" ht="15" customHeight="1">
      <c r="E148" s="180">
        <v>36616</v>
      </c>
      <c r="G148" s="156" t="s">
        <v>657</v>
      </c>
      <c r="H148" s="145"/>
      <c r="I148" s="145">
        <f t="shared" si="16"/>
        <v>17.623633552398204</v>
      </c>
      <c r="J148" s="31" t="s">
        <v>54</v>
      </c>
      <c r="K148" s="145"/>
      <c r="L148" s="145"/>
      <c r="M148" s="145"/>
      <c r="N148" s="145"/>
      <c r="O148" s="145"/>
      <c r="P148" s="145"/>
      <c r="Q148" s="145"/>
      <c r="R148" s="145"/>
      <c r="S148" s="145"/>
      <c r="T148" s="145"/>
      <c r="U148" s="264">
        <f t="shared" si="15"/>
        <v>0</v>
      </c>
      <c r="V148" s="145">
        <f t="shared" si="15"/>
        <v>0</v>
      </c>
      <c r="W148" s="145">
        <f t="shared" si="15"/>
        <v>0</v>
      </c>
      <c r="X148" s="145">
        <f t="shared" ref="X148:AR148" si="18">$I148 * X$129</f>
        <v>0</v>
      </c>
      <c r="Y148" s="145">
        <f t="shared" si="18"/>
        <v>0</v>
      </c>
      <c r="Z148" s="145">
        <f t="shared" si="18"/>
        <v>0</v>
      </c>
      <c r="AA148" s="145">
        <f t="shared" si="18"/>
        <v>1.1749089034932136</v>
      </c>
      <c r="AB148" s="145">
        <f t="shared" si="18"/>
        <v>1.1749089034932136</v>
      </c>
      <c r="AC148" s="145">
        <f t="shared" si="18"/>
        <v>1.1749089034932136</v>
      </c>
      <c r="AD148" s="145">
        <f t="shared" si="18"/>
        <v>1.1749089034932136</v>
      </c>
      <c r="AE148" s="145">
        <f t="shared" si="18"/>
        <v>1.1749089034932136</v>
      </c>
      <c r="AF148" s="145">
        <f t="shared" si="18"/>
        <v>1.1749089034932136</v>
      </c>
      <c r="AG148" s="145">
        <f t="shared" si="18"/>
        <v>1.1749089034932136</v>
      </c>
      <c r="AH148" s="145">
        <f t="shared" si="18"/>
        <v>1.1749089034932136</v>
      </c>
      <c r="AI148" s="145">
        <f t="shared" si="18"/>
        <v>1.1749089034932136</v>
      </c>
      <c r="AJ148" s="145">
        <f t="shared" si="18"/>
        <v>1.1749089034932136</v>
      </c>
      <c r="AK148" s="145">
        <f t="shared" si="18"/>
        <v>1.1749089034932136</v>
      </c>
      <c r="AL148" s="145">
        <f t="shared" si="18"/>
        <v>1.1749089034932136</v>
      </c>
      <c r="AM148" s="145">
        <f t="shared" si="18"/>
        <v>1.1749089034932136</v>
      </c>
      <c r="AN148" s="145">
        <f t="shared" si="18"/>
        <v>1.1749089034932136</v>
      </c>
      <c r="AO148" s="145">
        <f t="shared" si="18"/>
        <v>1.1749089034932136</v>
      </c>
      <c r="AP148" s="145">
        <f t="shared" si="18"/>
        <v>0</v>
      </c>
      <c r="AQ148" s="145">
        <f t="shared" si="18"/>
        <v>0</v>
      </c>
      <c r="AR148" s="145">
        <f t="shared" si="18"/>
        <v>0</v>
      </c>
      <c r="AS148" s="145"/>
      <c r="AT148" s="145"/>
      <c r="AU148" s="145"/>
      <c r="AV148" s="145"/>
      <c r="AW148" s="145"/>
      <c r="AX148" s="145"/>
      <c r="AY148" s="145"/>
      <c r="AZ148" s="145"/>
    </row>
    <row r="149" spans="5:64" ht="15" customHeight="1">
      <c r="E149" s="180">
        <v>36981</v>
      </c>
      <c r="G149" s="156" t="s">
        <v>657</v>
      </c>
      <c r="H149" s="145"/>
      <c r="I149" s="145">
        <f t="shared" si="16"/>
        <v>12.578917218620738</v>
      </c>
      <c r="J149" s="31" t="s">
        <v>54</v>
      </c>
      <c r="K149" s="145"/>
      <c r="L149" s="145"/>
      <c r="M149" s="145"/>
      <c r="N149" s="145"/>
      <c r="O149" s="145"/>
      <c r="P149" s="145"/>
      <c r="Q149" s="145"/>
      <c r="R149" s="145"/>
      <c r="S149" s="145"/>
      <c r="T149" s="145"/>
      <c r="U149" s="145"/>
      <c r="V149" s="264">
        <f t="shared" ref="V149:AR158" si="19">$I149 * V$129</f>
        <v>0</v>
      </c>
      <c r="W149" s="145">
        <f t="shared" si="19"/>
        <v>0</v>
      </c>
      <c r="X149" s="145">
        <f t="shared" si="19"/>
        <v>0</v>
      </c>
      <c r="Y149" s="145">
        <f t="shared" si="19"/>
        <v>0</v>
      </c>
      <c r="Z149" s="145">
        <f t="shared" si="19"/>
        <v>0</v>
      </c>
      <c r="AA149" s="145">
        <f t="shared" si="19"/>
        <v>0.83859448124138247</v>
      </c>
      <c r="AB149" s="145">
        <f t="shared" si="19"/>
        <v>0.83859448124138247</v>
      </c>
      <c r="AC149" s="145">
        <f t="shared" si="19"/>
        <v>0.83859448124138247</v>
      </c>
      <c r="AD149" s="145">
        <f t="shared" si="19"/>
        <v>0.83859448124138247</v>
      </c>
      <c r="AE149" s="145">
        <f t="shared" si="19"/>
        <v>0.83859448124138247</v>
      </c>
      <c r="AF149" s="145">
        <f t="shared" si="19"/>
        <v>0.83859448124138247</v>
      </c>
      <c r="AG149" s="145">
        <f t="shared" si="19"/>
        <v>0.83859448124138247</v>
      </c>
      <c r="AH149" s="145">
        <f t="shared" si="19"/>
        <v>0.83859448124138247</v>
      </c>
      <c r="AI149" s="145">
        <f t="shared" si="19"/>
        <v>0.83859448124138247</v>
      </c>
      <c r="AJ149" s="145">
        <f t="shared" si="19"/>
        <v>0.83859448124138247</v>
      </c>
      <c r="AK149" s="145">
        <f t="shared" si="19"/>
        <v>0.83859448124138247</v>
      </c>
      <c r="AL149" s="145">
        <f t="shared" si="19"/>
        <v>0.83859448124138247</v>
      </c>
      <c r="AM149" s="145">
        <f t="shared" si="19"/>
        <v>0.83859448124138247</v>
      </c>
      <c r="AN149" s="145">
        <f t="shared" si="19"/>
        <v>0.83859448124138247</v>
      </c>
      <c r="AO149" s="145">
        <f t="shared" si="19"/>
        <v>0.83859448124138247</v>
      </c>
      <c r="AP149" s="145">
        <f t="shared" si="19"/>
        <v>0</v>
      </c>
      <c r="AQ149" s="145">
        <f t="shared" si="19"/>
        <v>0</v>
      </c>
      <c r="AR149" s="145">
        <f t="shared" si="19"/>
        <v>0</v>
      </c>
      <c r="AS149" s="145"/>
      <c r="AT149" s="145"/>
      <c r="AU149" s="145"/>
      <c r="AV149" s="145"/>
      <c r="AW149" s="145"/>
      <c r="AX149" s="145"/>
      <c r="AY149" s="145"/>
      <c r="AZ149" s="145"/>
      <c r="BA149" s="145"/>
    </row>
    <row r="150" spans="5:64" ht="15" customHeight="1">
      <c r="E150" s="180">
        <v>37346</v>
      </c>
      <c r="G150" s="156" t="s">
        <v>657</v>
      </c>
      <c r="H150" s="145"/>
      <c r="I150" s="145">
        <f t="shared" si="16"/>
        <v>10.448483536517358</v>
      </c>
      <c r="J150" s="31" t="s">
        <v>54</v>
      </c>
      <c r="K150" s="145"/>
      <c r="L150" s="145"/>
      <c r="M150" s="145"/>
      <c r="N150" s="145"/>
      <c r="O150" s="145"/>
      <c r="P150" s="145"/>
      <c r="Q150" s="145"/>
      <c r="R150" s="145"/>
      <c r="S150" s="145"/>
      <c r="T150" s="145"/>
      <c r="U150" s="145"/>
      <c r="V150" s="145"/>
      <c r="W150" s="264">
        <f t="shared" si="19"/>
        <v>0</v>
      </c>
      <c r="X150" s="145">
        <f t="shared" si="19"/>
        <v>0</v>
      </c>
      <c r="Y150" s="145">
        <f t="shared" si="19"/>
        <v>0</v>
      </c>
      <c r="Z150" s="145">
        <f t="shared" si="19"/>
        <v>0</v>
      </c>
      <c r="AA150" s="145">
        <f t="shared" si="19"/>
        <v>0.69656556910115719</v>
      </c>
      <c r="AB150" s="145">
        <f t="shared" si="19"/>
        <v>0.69656556910115719</v>
      </c>
      <c r="AC150" s="145">
        <f t="shared" si="19"/>
        <v>0.69656556910115719</v>
      </c>
      <c r="AD150" s="145">
        <f t="shared" si="19"/>
        <v>0.69656556910115719</v>
      </c>
      <c r="AE150" s="145">
        <f t="shared" si="19"/>
        <v>0.69656556910115719</v>
      </c>
      <c r="AF150" s="145">
        <f t="shared" si="19"/>
        <v>0.69656556910115719</v>
      </c>
      <c r="AG150" s="145">
        <f t="shared" si="19"/>
        <v>0.69656556910115719</v>
      </c>
      <c r="AH150" s="145">
        <f t="shared" si="19"/>
        <v>0.69656556910115719</v>
      </c>
      <c r="AI150" s="145">
        <f t="shared" si="19"/>
        <v>0.69656556910115719</v>
      </c>
      <c r="AJ150" s="145">
        <f t="shared" si="19"/>
        <v>0.69656556910115719</v>
      </c>
      <c r="AK150" s="145">
        <f t="shared" si="19"/>
        <v>0.69656556910115719</v>
      </c>
      <c r="AL150" s="145">
        <f t="shared" si="19"/>
        <v>0.69656556910115719</v>
      </c>
      <c r="AM150" s="145">
        <f t="shared" si="19"/>
        <v>0.69656556910115719</v>
      </c>
      <c r="AN150" s="145">
        <f t="shared" si="19"/>
        <v>0.69656556910115719</v>
      </c>
      <c r="AO150" s="145">
        <f t="shared" si="19"/>
        <v>0.69656556910115719</v>
      </c>
      <c r="AP150" s="145">
        <f t="shared" si="19"/>
        <v>0</v>
      </c>
      <c r="AQ150" s="145">
        <f t="shared" si="19"/>
        <v>0</v>
      </c>
      <c r="AR150" s="145">
        <f t="shared" si="19"/>
        <v>0</v>
      </c>
      <c r="AS150" s="145"/>
      <c r="AT150" s="145"/>
      <c r="AU150" s="145"/>
      <c r="AV150" s="145"/>
      <c r="AW150" s="145"/>
      <c r="AX150" s="145"/>
      <c r="AY150" s="145"/>
      <c r="AZ150" s="145"/>
      <c r="BA150" s="145"/>
      <c r="BB150" s="145"/>
    </row>
    <row r="151" spans="5:64" ht="15" customHeight="1">
      <c r="E151" s="180">
        <v>37711</v>
      </c>
      <c r="G151" s="156" t="s">
        <v>657</v>
      </c>
      <c r="H151" s="145"/>
      <c r="I151" s="145">
        <f>SUMPRODUCT(L55:AQ55, L$127:AQ$127) - SUMPRODUCT(L100:AQ100, L$127:AQ$127) + HLOOKUP(E151,  $K$133:$AQ$134,2, FALSE)</f>
        <v>6.6225109032826062</v>
      </c>
      <c r="J151" s="31" t="s">
        <v>54</v>
      </c>
      <c r="K151" s="145"/>
      <c r="L151" s="145"/>
      <c r="M151" s="145"/>
      <c r="N151" s="145"/>
      <c r="O151" s="145"/>
      <c r="P151" s="145"/>
      <c r="Q151" s="145"/>
      <c r="R151" s="145"/>
      <c r="S151" s="145"/>
      <c r="T151" s="145"/>
      <c r="U151" s="145"/>
      <c r="V151" s="145"/>
      <c r="W151" s="145"/>
      <c r="X151" s="264">
        <f t="shared" si="19"/>
        <v>0</v>
      </c>
      <c r="Y151" s="145">
        <f t="shared" si="19"/>
        <v>0</v>
      </c>
      <c r="Z151" s="145">
        <f t="shared" si="19"/>
        <v>0</v>
      </c>
      <c r="AA151" s="145">
        <f t="shared" si="19"/>
        <v>0.44150072688550707</v>
      </c>
      <c r="AB151" s="145">
        <f t="shared" si="19"/>
        <v>0.44150072688550707</v>
      </c>
      <c r="AC151" s="145">
        <f t="shared" si="19"/>
        <v>0.44150072688550707</v>
      </c>
      <c r="AD151" s="145">
        <f t="shared" si="19"/>
        <v>0.44150072688550707</v>
      </c>
      <c r="AE151" s="145">
        <f t="shared" si="19"/>
        <v>0.44150072688550707</v>
      </c>
      <c r="AF151" s="145">
        <f t="shared" si="19"/>
        <v>0.44150072688550707</v>
      </c>
      <c r="AG151" s="145">
        <f t="shared" si="19"/>
        <v>0.44150072688550707</v>
      </c>
      <c r="AH151" s="145">
        <f t="shared" si="19"/>
        <v>0.44150072688550707</v>
      </c>
      <c r="AI151" s="145">
        <f t="shared" si="19"/>
        <v>0.44150072688550707</v>
      </c>
      <c r="AJ151" s="145">
        <f t="shared" si="19"/>
        <v>0.44150072688550707</v>
      </c>
      <c r="AK151" s="145">
        <f t="shared" si="19"/>
        <v>0.44150072688550707</v>
      </c>
      <c r="AL151" s="145">
        <f t="shared" si="19"/>
        <v>0.44150072688550707</v>
      </c>
      <c r="AM151" s="145">
        <f t="shared" si="19"/>
        <v>0.44150072688550707</v>
      </c>
      <c r="AN151" s="145">
        <f t="shared" si="19"/>
        <v>0.44150072688550707</v>
      </c>
      <c r="AO151" s="145">
        <f t="shared" si="19"/>
        <v>0.44150072688550707</v>
      </c>
      <c r="AP151" s="145">
        <f t="shared" si="19"/>
        <v>0</v>
      </c>
      <c r="AQ151" s="145">
        <f t="shared" si="19"/>
        <v>0</v>
      </c>
      <c r="AR151" s="145">
        <f t="shared" si="19"/>
        <v>0</v>
      </c>
      <c r="AS151" s="145"/>
      <c r="AT151" s="145"/>
      <c r="AU151" s="145"/>
      <c r="AV151" s="145"/>
      <c r="AW151" s="145"/>
      <c r="AX151" s="145"/>
      <c r="AY151" s="145"/>
      <c r="AZ151" s="145"/>
      <c r="BA151" s="145"/>
      <c r="BB151" s="145"/>
      <c r="BC151" s="145"/>
    </row>
    <row r="152" spans="5:64" ht="15" customHeight="1">
      <c r="E152" s="180">
        <v>38077</v>
      </c>
      <c r="G152" s="156" t="s">
        <v>657</v>
      </c>
      <c r="H152" s="145"/>
      <c r="I152" s="145">
        <f t="shared" si="16"/>
        <v>5.0233850702325826</v>
      </c>
      <c r="J152" s="31" t="s">
        <v>54</v>
      </c>
      <c r="K152" s="145"/>
      <c r="L152" s="145"/>
      <c r="M152" s="145"/>
      <c r="N152" s="145"/>
      <c r="O152" s="145"/>
      <c r="P152" s="145"/>
      <c r="Q152" s="145"/>
      <c r="R152" s="145"/>
      <c r="S152" s="145"/>
      <c r="T152" s="145"/>
      <c r="U152" s="145"/>
      <c r="V152" s="145"/>
      <c r="W152" s="145"/>
      <c r="X152" s="145"/>
      <c r="Y152" s="264">
        <f t="shared" si="19"/>
        <v>0</v>
      </c>
      <c r="Z152" s="145">
        <f t="shared" si="19"/>
        <v>0</v>
      </c>
      <c r="AA152" s="145">
        <f t="shared" si="19"/>
        <v>0.3348923380155055</v>
      </c>
      <c r="AB152" s="145">
        <f t="shared" si="19"/>
        <v>0.3348923380155055</v>
      </c>
      <c r="AC152" s="145">
        <f t="shared" si="19"/>
        <v>0.3348923380155055</v>
      </c>
      <c r="AD152" s="145">
        <f t="shared" si="19"/>
        <v>0.3348923380155055</v>
      </c>
      <c r="AE152" s="145">
        <f t="shared" si="19"/>
        <v>0.3348923380155055</v>
      </c>
      <c r="AF152" s="145">
        <f t="shared" si="19"/>
        <v>0.3348923380155055</v>
      </c>
      <c r="AG152" s="145">
        <f t="shared" si="19"/>
        <v>0.3348923380155055</v>
      </c>
      <c r="AH152" s="145">
        <f t="shared" si="19"/>
        <v>0.3348923380155055</v>
      </c>
      <c r="AI152" s="145">
        <f t="shared" si="19"/>
        <v>0.3348923380155055</v>
      </c>
      <c r="AJ152" s="145">
        <f t="shared" si="19"/>
        <v>0.3348923380155055</v>
      </c>
      <c r="AK152" s="145">
        <f t="shared" si="19"/>
        <v>0.3348923380155055</v>
      </c>
      <c r="AL152" s="145">
        <f t="shared" si="19"/>
        <v>0.3348923380155055</v>
      </c>
      <c r="AM152" s="145">
        <f t="shared" si="19"/>
        <v>0.3348923380155055</v>
      </c>
      <c r="AN152" s="145">
        <f t="shared" si="19"/>
        <v>0.3348923380155055</v>
      </c>
      <c r="AO152" s="145">
        <f t="shared" si="19"/>
        <v>0.3348923380155055</v>
      </c>
      <c r="AP152" s="145">
        <f t="shared" si="19"/>
        <v>0</v>
      </c>
      <c r="AQ152" s="145">
        <f t="shared" si="19"/>
        <v>0</v>
      </c>
      <c r="AR152" s="145">
        <f t="shared" si="19"/>
        <v>0</v>
      </c>
      <c r="AS152" s="145"/>
      <c r="AT152" s="145"/>
      <c r="AU152" s="145"/>
      <c r="AV152" s="145"/>
      <c r="AW152" s="145"/>
      <c r="AX152" s="145"/>
      <c r="AY152" s="145"/>
      <c r="AZ152" s="145"/>
      <c r="BA152" s="145"/>
      <c r="BB152" s="145"/>
      <c r="BC152" s="145"/>
      <c r="BD152" s="145"/>
    </row>
    <row r="153" spans="5:64" ht="15" customHeight="1">
      <c r="E153" s="180">
        <v>38442</v>
      </c>
      <c r="G153" s="156" t="s">
        <v>657</v>
      </c>
      <c r="H153" s="145"/>
      <c r="I153" s="145">
        <f t="shared" si="16"/>
        <v>2.7256054050028089</v>
      </c>
      <c r="J153" s="31" t="s">
        <v>54</v>
      </c>
      <c r="K153" s="145"/>
      <c r="L153" s="145"/>
      <c r="M153" s="145"/>
      <c r="N153" s="145"/>
      <c r="O153" s="145"/>
      <c r="P153" s="145"/>
      <c r="Q153" s="145"/>
      <c r="R153" s="145"/>
      <c r="S153" s="145"/>
      <c r="T153" s="145"/>
      <c r="U153" s="145"/>
      <c r="V153" s="145"/>
      <c r="W153" s="145"/>
      <c r="X153" s="145"/>
      <c r="Y153" s="145"/>
      <c r="Z153" s="264">
        <f t="shared" si="19"/>
        <v>0</v>
      </c>
      <c r="AA153" s="145">
        <f t="shared" si="19"/>
        <v>0.18170702700018726</v>
      </c>
      <c r="AB153" s="145">
        <f t="shared" si="19"/>
        <v>0.18170702700018726</v>
      </c>
      <c r="AC153" s="145">
        <f t="shared" si="19"/>
        <v>0.18170702700018726</v>
      </c>
      <c r="AD153" s="145">
        <f t="shared" si="19"/>
        <v>0.18170702700018726</v>
      </c>
      <c r="AE153" s="145">
        <f t="shared" si="19"/>
        <v>0.18170702700018726</v>
      </c>
      <c r="AF153" s="145">
        <f t="shared" si="19"/>
        <v>0.18170702700018726</v>
      </c>
      <c r="AG153" s="145">
        <f t="shared" si="19"/>
        <v>0.18170702700018726</v>
      </c>
      <c r="AH153" s="145">
        <f t="shared" si="19"/>
        <v>0.18170702700018726</v>
      </c>
      <c r="AI153" s="145">
        <f t="shared" si="19"/>
        <v>0.18170702700018726</v>
      </c>
      <c r="AJ153" s="145">
        <f t="shared" si="19"/>
        <v>0.18170702700018726</v>
      </c>
      <c r="AK153" s="145">
        <f t="shared" si="19"/>
        <v>0.18170702700018726</v>
      </c>
      <c r="AL153" s="145">
        <f t="shared" si="19"/>
        <v>0.18170702700018726</v>
      </c>
      <c r="AM153" s="145">
        <f t="shared" si="19"/>
        <v>0.18170702700018726</v>
      </c>
      <c r="AN153" s="145">
        <f t="shared" si="19"/>
        <v>0.18170702700018726</v>
      </c>
      <c r="AO153" s="145">
        <f t="shared" si="19"/>
        <v>0.18170702700018726</v>
      </c>
      <c r="AP153" s="145">
        <f t="shared" si="19"/>
        <v>0</v>
      </c>
      <c r="AQ153" s="145">
        <f t="shared" si="19"/>
        <v>0</v>
      </c>
      <c r="AR153" s="145">
        <f t="shared" si="19"/>
        <v>0</v>
      </c>
      <c r="AS153" s="145"/>
      <c r="AT153" s="145"/>
      <c r="AU153" s="145"/>
      <c r="AV153" s="145"/>
      <c r="AW153" s="145"/>
      <c r="AX153" s="145"/>
      <c r="AY153" s="145"/>
      <c r="AZ153" s="145"/>
      <c r="BA153" s="145"/>
      <c r="BB153" s="145"/>
      <c r="BC153" s="145"/>
      <c r="BD153" s="145"/>
      <c r="BE153" s="145"/>
    </row>
    <row r="154" spans="5:64" ht="15" customHeight="1">
      <c r="E154" s="180">
        <v>38807</v>
      </c>
      <c r="G154" s="156" t="s">
        <v>657</v>
      </c>
      <c r="H154" s="145"/>
      <c r="I154" s="145">
        <f t="shared" si="16"/>
        <v>0</v>
      </c>
      <c r="J154" s="31" t="s">
        <v>54</v>
      </c>
      <c r="K154" s="145"/>
      <c r="L154" s="145"/>
      <c r="M154" s="145"/>
      <c r="N154" s="145"/>
      <c r="O154" s="145"/>
      <c r="P154" s="145"/>
      <c r="Q154" s="145"/>
      <c r="R154" s="145"/>
      <c r="S154" s="145"/>
      <c r="T154" s="145"/>
      <c r="U154" s="145"/>
      <c r="V154" s="145"/>
      <c r="W154" s="145"/>
      <c r="X154" s="145"/>
      <c r="Y154" s="145"/>
      <c r="Z154" s="145"/>
      <c r="AA154" s="264">
        <f t="shared" si="19"/>
        <v>0</v>
      </c>
      <c r="AB154" s="145">
        <f t="shared" si="19"/>
        <v>0</v>
      </c>
      <c r="AC154" s="145">
        <f t="shared" si="19"/>
        <v>0</v>
      </c>
      <c r="AD154" s="145">
        <f t="shared" si="19"/>
        <v>0</v>
      </c>
      <c r="AE154" s="145">
        <f t="shared" si="19"/>
        <v>0</v>
      </c>
      <c r="AF154" s="145">
        <f t="shared" si="19"/>
        <v>0</v>
      </c>
      <c r="AG154" s="145">
        <f t="shared" si="19"/>
        <v>0</v>
      </c>
      <c r="AH154" s="145">
        <f t="shared" si="19"/>
        <v>0</v>
      </c>
      <c r="AI154" s="145">
        <f t="shared" si="19"/>
        <v>0</v>
      </c>
      <c r="AJ154" s="145">
        <f t="shared" si="19"/>
        <v>0</v>
      </c>
      <c r="AK154" s="145">
        <f t="shared" si="19"/>
        <v>0</v>
      </c>
      <c r="AL154" s="145">
        <f t="shared" si="19"/>
        <v>0</v>
      </c>
      <c r="AM154" s="145">
        <f t="shared" si="19"/>
        <v>0</v>
      </c>
      <c r="AN154" s="145">
        <f t="shared" si="19"/>
        <v>0</v>
      </c>
      <c r="AO154" s="145">
        <f t="shared" si="19"/>
        <v>0</v>
      </c>
      <c r="AP154" s="145">
        <f t="shared" si="19"/>
        <v>0</v>
      </c>
      <c r="AQ154" s="145">
        <f t="shared" si="19"/>
        <v>0</v>
      </c>
      <c r="AR154" s="145">
        <f t="shared" si="19"/>
        <v>0</v>
      </c>
      <c r="AS154" s="145"/>
      <c r="AT154" s="145"/>
      <c r="AU154" s="145"/>
      <c r="AV154" s="145"/>
      <c r="AW154" s="145"/>
      <c r="AX154" s="145"/>
      <c r="AY154" s="145"/>
      <c r="AZ154" s="145"/>
      <c r="BA154" s="145"/>
      <c r="BB154" s="145"/>
      <c r="BC154" s="145"/>
      <c r="BD154" s="145"/>
      <c r="BE154" s="145"/>
      <c r="BF154" s="145"/>
    </row>
    <row r="155" spans="5:64" ht="15" customHeight="1">
      <c r="E155" s="180">
        <v>39172</v>
      </c>
      <c r="G155" s="156" t="s">
        <v>657</v>
      </c>
      <c r="H155" s="145"/>
      <c r="I155" s="145">
        <f t="shared" si="16"/>
        <v>0</v>
      </c>
      <c r="J155" s="31" t="s">
        <v>54</v>
      </c>
      <c r="K155" s="145"/>
      <c r="L155" s="145"/>
      <c r="M155" s="145"/>
      <c r="N155" s="145"/>
      <c r="O155" s="145"/>
      <c r="P155" s="145"/>
      <c r="Q155" s="145"/>
      <c r="R155" s="145"/>
      <c r="S155" s="145"/>
      <c r="T155" s="145"/>
      <c r="U155" s="145"/>
      <c r="V155" s="145"/>
      <c r="W155" s="145"/>
      <c r="X155" s="145"/>
      <c r="Y155" s="145"/>
      <c r="Z155" s="145"/>
      <c r="AA155" s="145"/>
      <c r="AB155" s="264">
        <f t="shared" si="19"/>
        <v>0</v>
      </c>
      <c r="AC155" s="145">
        <f t="shared" si="19"/>
        <v>0</v>
      </c>
      <c r="AD155" s="145">
        <f t="shared" si="19"/>
        <v>0</v>
      </c>
      <c r="AE155" s="145">
        <f t="shared" si="19"/>
        <v>0</v>
      </c>
      <c r="AF155" s="145">
        <f t="shared" si="19"/>
        <v>0</v>
      </c>
      <c r="AG155" s="145">
        <f t="shared" si="19"/>
        <v>0</v>
      </c>
      <c r="AH155" s="145">
        <f t="shared" si="19"/>
        <v>0</v>
      </c>
      <c r="AI155" s="145">
        <f t="shared" si="19"/>
        <v>0</v>
      </c>
      <c r="AJ155" s="145">
        <f t="shared" si="19"/>
        <v>0</v>
      </c>
      <c r="AK155" s="145">
        <f t="shared" si="19"/>
        <v>0</v>
      </c>
      <c r="AL155" s="145">
        <f t="shared" si="19"/>
        <v>0</v>
      </c>
      <c r="AM155" s="145">
        <f t="shared" si="19"/>
        <v>0</v>
      </c>
      <c r="AN155" s="145">
        <f t="shared" si="19"/>
        <v>0</v>
      </c>
      <c r="AO155" s="145">
        <f t="shared" si="19"/>
        <v>0</v>
      </c>
      <c r="AP155" s="145">
        <f t="shared" si="19"/>
        <v>0</v>
      </c>
      <c r="AQ155" s="145">
        <f t="shared" si="19"/>
        <v>0</v>
      </c>
      <c r="AR155" s="145">
        <f t="shared" si="19"/>
        <v>0</v>
      </c>
      <c r="AS155" s="145"/>
      <c r="AT155" s="145"/>
      <c r="AU155" s="145"/>
      <c r="AV155" s="145"/>
      <c r="AW155" s="145"/>
      <c r="AX155" s="145"/>
      <c r="AY155" s="145"/>
      <c r="AZ155" s="145"/>
      <c r="BA155" s="145"/>
      <c r="BB155" s="145"/>
      <c r="BC155" s="145"/>
      <c r="BD155" s="145"/>
      <c r="BE155" s="145"/>
      <c r="BF155" s="145"/>
      <c r="BG155" s="145"/>
    </row>
    <row r="156" spans="5:64" ht="15" customHeight="1">
      <c r="E156" s="180">
        <v>39538</v>
      </c>
      <c r="G156" s="156" t="s">
        <v>657</v>
      </c>
      <c r="H156" s="145"/>
      <c r="I156" s="145">
        <f t="shared" si="16"/>
        <v>0</v>
      </c>
      <c r="J156" s="31" t="s">
        <v>54</v>
      </c>
      <c r="K156" s="145"/>
      <c r="L156" s="145"/>
      <c r="M156" s="145"/>
      <c r="N156" s="145"/>
      <c r="O156" s="145"/>
      <c r="P156" s="145"/>
      <c r="Q156" s="145"/>
      <c r="R156" s="145"/>
      <c r="S156" s="145"/>
      <c r="T156" s="145"/>
      <c r="U156" s="145"/>
      <c r="V156" s="145"/>
      <c r="W156" s="145"/>
      <c r="X156" s="145"/>
      <c r="Y156" s="145"/>
      <c r="Z156" s="145"/>
      <c r="AA156" s="145"/>
      <c r="AB156" s="145"/>
      <c r="AC156" s="264">
        <f t="shared" si="19"/>
        <v>0</v>
      </c>
      <c r="AD156" s="145">
        <f t="shared" si="19"/>
        <v>0</v>
      </c>
      <c r="AE156" s="145">
        <f t="shared" si="19"/>
        <v>0</v>
      </c>
      <c r="AF156" s="145">
        <f t="shared" si="19"/>
        <v>0</v>
      </c>
      <c r="AG156" s="145">
        <f t="shared" si="19"/>
        <v>0</v>
      </c>
      <c r="AH156" s="145">
        <f t="shared" si="19"/>
        <v>0</v>
      </c>
      <c r="AI156" s="145">
        <f t="shared" si="19"/>
        <v>0</v>
      </c>
      <c r="AJ156" s="145">
        <f t="shared" si="19"/>
        <v>0</v>
      </c>
      <c r="AK156" s="145">
        <f t="shared" si="19"/>
        <v>0</v>
      </c>
      <c r="AL156" s="145">
        <f t="shared" si="19"/>
        <v>0</v>
      </c>
      <c r="AM156" s="145">
        <f t="shared" si="19"/>
        <v>0</v>
      </c>
      <c r="AN156" s="145">
        <f t="shared" si="19"/>
        <v>0</v>
      </c>
      <c r="AO156" s="145">
        <f t="shared" si="19"/>
        <v>0</v>
      </c>
      <c r="AP156" s="145">
        <f t="shared" si="19"/>
        <v>0</v>
      </c>
      <c r="AQ156" s="145">
        <f t="shared" si="19"/>
        <v>0</v>
      </c>
      <c r="AR156" s="145">
        <f t="shared" si="19"/>
        <v>0</v>
      </c>
      <c r="AS156" s="145"/>
      <c r="AT156" s="145"/>
      <c r="AU156" s="145"/>
      <c r="AV156" s="145"/>
      <c r="AW156" s="145"/>
      <c r="AX156" s="145"/>
      <c r="AY156" s="145"/>
      <c r="AZ156" s="145"/>
      <c r="BA156" s="145"/>
      <c r="BB156" s="145"/>
      <c r="BC156" s="145"/>
      <c r="BD156" s="145"/>
      <c r="BE156" s="145"/>
      <c r="BF156" s="145"/>
      <c r="BG156" s="145"/>
      <c r="BH156" s="145"/>
    </row>
    <row r="157" spans="5:64" ht="15" customHeight="1">
      <c r="E157" s="180">
        <v>39903</v>
      </c>
      <c r="G157" s="156" t="s">
        <v>657</v>
      </c>
      <c r="H157" s="145"/>
      <c r="I157" s="145">
        <f t="shared" si="16"/>
        <v>0</v>
      </c>
      <c r="J157" s="31" t="s">
        <v>54</v>
      </c>
      <c r="K157" s="145"/>
      <c r="L157" s="145"/>
      <c r="M157" s="145"/>
      <c r="N157" s="145"/>
      <c r="O157" s="145"/>
      <c r="P157" s="145"/>
      <c r="Q157" s="145"/>
      <c r="R157" s="145"/>
      <c r="S157" s="145"/>
      <c r="T157" s="145"/>
      <c r="U157" s="145"/>
      <c r="V157" s="145"/>
      <c r="W157" s="145"/>
      <c r="X157" s="145"/>
      <c r="Y157" s="145"/>
      <c r="Z157" s="145"/>
      <c r="AA157" s="145"/>
      <c r="AB157" s="145"/>
      <c r="AC157" s="145"/>
      <c r="AD157" s="264">
        <f t="shared" si="19"/>
        <v>0</v>
      </c>
      <c r="AE157" s="145">
        <f t="shared" si="19"/>
        <v>0</v>
      </c>
      <c r="AF157" s="145">
        <f t="shared" si="19"/>
        <v>0</v>
      </c>
      <c r="AG157" s="145">
        <f t="shared" si="19"/>
        <v>0</v>
      </c>
      <c r="AH157" s="145">
        <f t="shared" si="19"/>
        <v>0</v>
      </c>
      <c r="AI157" s="145">
        <f t="shared" si="19"/>
        <v>0</v>
      </c>
      <c r="AJ157" s="145">
        <f t="shared" si="19"/>
        <v>0</v>
      </c>
      <c r="AK157" s="145">
        <f t="shared" si="19"/>
        <v>0</v>
      </c>
      <c r="AL157" s="145">
        <f t="shared" si="19"/>
        <v>0</v>
      </c>
      <c r="AM157" s="145">
        <f t="shared" si="19"/>
        <v>0</v>
      </c>
      <c r="AN157" s="145">
        <f t="shared" si="19"/>
        <v>0</v>
      </c>
      <c r="AO157" s="145">
        <f t="shared" si="19"/>
        <v>0</v>
      </c>
      <c r="AP157" s="145">
        <f t="shared" si="19"/>
        <v>0</v>
      </c>
      <c r="AQ157" s="145">
        <f t="shared" si="19"/>
        <v>0</v>
      </c>
      <c r="AR157" s="145">
        <f t="shared" si="19"/>
        <v>0</v>
      </c>
      <c r="AS157" s="145"/>
      <c r="AT157" s="145"/>
      <c r="AU157" s="145"/>
      <c r="AV157" s="145"/>
      <c r="AW157" s="145"/>
      <c r="AX157" s="145"/>
      <c r="AY157" s="145"/>
      <c r="AZ157" s="145"/>
      <c r="BA157" s="145"/>
      <c r="BB157" s="145"/>
      <c r="BC157" s="145"/>
      <c r="BD157" s="145"/>
      <c r="BE157" s="145"/>
      <c r="BF157" s="145"/>
      <c r="BG157" s="145"/>
      <c r="BH157" s="145"/>
      <c r="BI157" s="145"/>
    </row>
    <row r="158" spans="5:64" ht="15" customHeight="1">
      <c r="E158" s="180">
        <v>40268</v>
      </c>
      <c r="G158" s="156" t="s">
        <v>657</v>
      </c>
      <c r="H158" s="145"/>
      <c r="I158" s="145">
        <f t="shared" si="16"/>
        <v>0</v>
      </c>
      <c r="J158" s="31" t="s">
        <v>54</v>
      </c>
      <c r="K158" s="145"/>
      <c r="L158" s="145"/>
      <c r="M158" s="145"/>
      <c r="N158" s="145"/>
      <c r="O158" s="145"/>
      <c r="P158" s="145"/>
      <c r="Q158" s="145"/>
      <c r="R158" s="145"/>
      <c r="S158" s="145"/>
      <c r="T158" s="145"/>
      <c r="U158" s="145"/>
      <c r="V158" s="145"/>
      <c r="W158" s="145"/>
      <c r="X158" s="145"/>
      <c r="Y158" s="145"/>
      <c r="Z158" s="145"/>
      <c r="AA158" s="145"/>
      <c r="AB158" s="145"/>
      <c r="AC158" s="145"/>
      <c r="AD158" s="145"/>
      <c r="AE158" s="264">
        <f t="shared" si="19"/>
        <v>0</v>
      </c>
      <c r="AF158" s="145">
        <f t="shared" si="19"/>
        <v>0</v>
      </c>
      <c r="AG158" s="145">
        <f t="shared" si="19"/>
        <v>0</v>
      </c>
      <c r="AH158" s="145">
        <f t="shared" ref="AH158:AR158" si="20">$I158 * AH$129</f>
        <v>0</v>
      </c>
      <c r="AI158" s="145">
        <f t="shared" si="20"/>
        <v>0</v>
      </c>
      <c r="AJ158" s="145">
        <f t="shared" si="20"/>
        <v>0</v>
      </c>
      <c r="AK158" s="145">
        <f t="shared" si="20"/>
        <v>0</v>
      </c>
      <c r="AL158" s="145">
        <f t="shared" si="20"/>
        <v>0</v>
      </c>
      <c r="AM158" s="145">
        <f t="shared" si="20"/>
        <v>0</v>
      </c>
      <c r="AN158" s="145">
        <f t="shared" si="20"/>
        <v>0</v>
      </c>
      <c r="AO158" s="145">
        <f t="shared" si="20"/>
        <v>0</v>
      </c>
      <c r="AP158" s="145">
        <f t="shared" si="20"/>
        <v>0</v>
      </c>
      <c r="AQ158" s="145">
        <f t="shared" si="20"/>
        <v>0</v>
      </c>
      <c r="AR158" s="145">
        <f t="shared" si="20"/>
        <v>0</v>
      </c>
      <c r="AS158" s="145"/>
      <c r="AT158" s="145"/>
      <c r="AU158" s="145"/>
      <c r="AV158" s="145"/>
      <c r="AW158" s="145"/>
      <c r="AX158" s="145"/>
      <c r="AY158" s="145"/>
      <c r="AZ158" s="145"/>
      <c r="BA158" s="145"/>
      <c r="BB158" s="145"/>
      <c r="BC158" s="145"/>
      <c r="BD158" s="145"/>
      <c r="BE158" s="145"/>
      <c r="BF158" s="145"/>
      <c r="BG158" s="145"/>
      <c r="BH158" s="145"/>
      <c r="BI158" s="145"/>
      <c r="BJ158" s="145"/>
    </row>
    <row r="159" spans="5:64" ht="15" customHeight="1">
      <c r="E159" s="180">
        <v>40633</v>
      </c>
      <c r="G159" s="156" t="s">
        <v>657</v>
      </c>
      <c r="H159" s="145"/>
      <c r="I159" s="145">
        <f t="shared" si="16"/>
        <v>0</v>
      </c>
      <c r="J159" s="31" t="s">
        <v>54</v>
      </c>
      <c r="K159" s="145"/>
      <c r="L159" s="145"/>
      <c r="M159" s="145"/>
      <c r="N159" s="145"/>
      <c r="O159" s="145"/>
      <c r="P159" s="145"/>
      <c r="Q159" s="145"/>
      <c r="R159" s="145"/>
      <c r="S159" s="145"/>
      <c r="T159" s="145"/>
      <c r="U159" s="145"/>
      <c r="V159" s="145"/>
      <c r="W159" s="145"/>
      <c r="X159" s="145"/>
      <c r="Y159" s="145"/>
      <c r="Z159" s="145"/>
      <c r="AA159" s="145"/>
      <c r="AB159" s="145"/>
      <c r="AC159" s="145"/>
      <c r="AD159" s="145"/>
      <c r="AE159" s="145"/>
      <c r="AF159" s="264">
        <f t="shared" ref="AF159:AR168" si="21">$I159 * AF$129</f>
        <v>0</v>
      </c>
      <c r="AG159" s="145">
        <f t="shared" si="21"/>
        <v>0</v>
      </c>
      <c r="AH159" s="145">
        <f t="shared" si="21"/>
        <v>0</v>
      </c>
      <c r="AI159" s="145">
        <f t="shared" si="21"/>
        <v>0</v>
      </c>
      <c r="AJ159" s="145">
        <f t="shared" si="21"/>
        <v>0</v>
      </c>
      <c r="AK159" s="145">
        <f t="shared" si="21"/>
        <v>0</v>
      </c>
      <c r="AL159" s="145">
        <f t="shared" si="21"/>
        <v>0</v>
      </c>
      <c r="AM159" s="145">
        <f t="shared" si="21"/>
        <v>0</v>
      </c>
      <c r="AN159" s="145">
        <f t="shared" si="21"/>
        <v>0</v>
      </c>
      <c r="AO159" s="145">
        <f t="shared" si="21"/>
        <v>0</v>
      </c>
      <c r="AP159" s="145">
        <f t="shared" si="21"/>
        <v>0</v>
      </c>
      <c r="AQ159" s="145">
        <f t="shared" si="21"/>
        <v>0</v>
      </c>
      <c r="AR159" s="145">
        <f t="shared" si="21"/>
        <v>0</v>
      </c>
      <c r="AS159" s="145"/>
      <c r="AT159" s="145"/>
      <c r="AU159" s="145"/>
      <c r="AV159" s="145"/>
      <c r="AW159" s="145"/>
      <c r="AX159" s="145"/>
      <c r="AY159" s="145"/>
      <c r="AZ159" s="145"/>
      <c r="BA159" s="145"/>
      <c r="BB159" s="145"/>
      <c r="BC159" s="145"/>
      <c r="BD159" s="145"/>
      <c r="BE159" s="145"/>
      <c r="BF159" s="145"/>
      <c r="BG159" s="145"/>
      <c r="BH159" s="145"/>
      <c r="BI159" s="145"/>
      <c r="BJ159" s="145"/>
      <c r="BK159" s="145"/>
    </row>
    <row r="160" spans="5:64" ht="15" customHeight="1">
      <c r="E160" s="180">
        <v>40999</v>
      </c>
      <c r="G160" s="156" t="s">
        <v>657</v>
      </c>
      <c r="H160" s="145"/>
      <c r="I160" s="145">
        <f t="shared" si="16"/>
        <v>0</v>
      </c>
      <c r="J160" s="31" t="s">
        <v>54</v>
      </c>
      <c r="K160" s="145"/>
      <c r="L160" s="145"/>
      <c r="M160" s="145"/>
      <c r="N160" s="145"/>
      <c r="O160" s="145"/>
      <c r="P160" s="145"/>
      <c r="Q160" s="145"/>
      <c r="R160" s="145"/>
      <c r="S160" s="145"/>
      <c r="T160" s="145"/>
      <c r="U160" s="145"/>
      <c r="V160" s="145"/>
      <c r="W160" s="145"/>
      <c r="X160" s="145"/>
      <c r="Y160" s="145"/>
      <c r="Z160" s="145"/>
      <c r="AA160" s="145"/>
      <c r="AB160" s="145"/>
      <c r="AC160" s="145"/>
      <c r="AD160" s="145"/>
      <c r="AE160" s="145"/>
      <c r="AF160" s="145"/>
      <c r="AG160" s="264">
        <f t="shared" si="21"/>
        <v>0</v>
      </c>
      <c r="AH160" s="145">
        <f t="shared" si="21"/>
        <v>0</v>
      </c>
      <c r="AI160" s="145">
        <f t="shared" si="21"/>
        <v>0</v>
      </c>
      <c r="AJ160" s="145">
        <f t="shared" si="21"/>
        <v>0</v>
      </c>
      <c r="AK160" s="145">
        <f t="shared" si="21"/>
        <v>0</v>
      </c>
      <c r="AL160" s="145">
        <f t="shared" si="21"/>
        <v>0</v>
      </c>
      <c r="AM160" s="145">
        <f t="shared" si="21"/>
        <v>0</v>
      </c>
      <c r="AN160" s="145">
        <f t="shared" si="21"/>
        <v>0</v>
      </c>
      <c r="AO160" s="145">
        <f t="shared" si="21"/>
        <v>0</v>
      </c>
      <c r="AP160" s="145">
        <f t="shared" si="21"/>
        <v>0</v>
      </c>
      <c r="AQ160" s="145">
        <f t="shared" si="21"/>
        <v>0</v>
      </c>
      <c r="AR160" s="145">
        <f t="shared" si="21"/>
        <v>0</v>
      </c>
      <c r="AS160" s="145"/>
      <c r="AT160" s="145"/>
      <c r="AU160" s="145"/>
      <c r="AV160" s="145"/>
      <c r="AW160" s="145"/>
      <c r="AX160" s="145"/>
      <c r="AY160" s="145"/>
      <c r="AZ160" s="145"/>
      <c r="BA160" s="145"/>
      <c r="BB160" s="145"/>
      <c r="BC160" s="145"/>
      <c r="BD160" s="145"/>
      <c r="BE160" s="145"/>
      <c r="BF160" s="145"/>
      <c r="BG160" s="145"/>
      <c r="BH160" s="145"/>
      <c r="BI160" s="145"/>
      <c r="BJ160" s="145"/>
      <c r="BK160" s="145"/>
      <c r="BL160" s="145"/>
    </row>
    <row r="161" spans="2:74" ht="15" customHeight="1">
      <c r="E161" s="180">
        <v>41364</v>
      </c>
      <c r="G161" s="156" t="s">
        <v>657</v>
      </c>
      <c r="H161" s="145"/>
      <c r="I161" s="145">
        <f t="shared" si="16"/>
        <v>0</v>
      </c>
      <c r="J161" s="31"/>
      <c r="K161" s="145"/>
      <c r="L161" s="145"/>
      <c r="M161" s="145"/>
      <c r="N161" s="145"/>
      <c r="O161" s="145"/>
      <c r="P161" s="145"/>
      <c r="Q161" s="145"/>
      <c r="R161" s="145"/>
      <c r="S161" s="145"/>
      <c r="T161" s="145"/>
      <c r="U161" s="145"/>
      <c r="V161" s="145"/>
      <c r="W161" s="145"/>
      <c r="X161" s="145"/>
      <c r="Y161" s="145"/>
      <c r="Z161" s="145"/>
      <c r="AA161" s="145"/>
      <c r="AB161" s="145"/>
      <c r="AC161" s="145"/>
      <c r="AD161" s="145"/>
      <c r="AE161" s="145"/>
      <c r="AF161" s="145"/>
      <c r="AG161" s="145"/>
      <c r="AH161" s="264">
        <f t="shared" si="21"/>
        <v>0</v>
      </c>
      <c r="AI161" s="145">
        <f t="shared" si="21"/>
        <v>0</v>
      </c>
      <c r="AJ161" s="145">
        <f t="shared" si="21"/>
        <v>0</v>
      </c>
      <c r="AK161" s="145">
        <f t="shared" si="21"/>
        <v>0</v>
      </c>
      <c r="AL161" s="145">
        <f t="shared" si="21"/>
        <v>0</v>
      </c>
      <c r="AM161" s="145">
        <f t="shared" si="21"/>
        <v>0</v>
      </c>
      <c r="AN161" s="145">
        <f t="shared" si="21"/>
        <v>0</v>
      </c>
      <c r="AO161" s="145">
        <f t="shared" si="21"/>
        <v>0</v>
      </c>
      <c r="AP161" s="145">
        <f t="shared" si="21"/>
        <v>0</v>
      </c>
      <c r="AQ161" s="145">
        <f t="shared" si="21"/>
        <v>0</v>
      </c>
      <c r="AR161" s="145">
        <f t="shared" si="21"/>
        <v>0</v>
      </c>
      <c r="AS161" s="145"/>
      <c r="AT161" s="145"/>
      <c r="AU161" s="145"/>
      <c r="AV161" s="145"/>
      <c r="AW161" s="145"/>
      <c r="AX161" s="145"/>
      <c r="AY161" s="145"/>
      <c r="AZ161" s="145"/>
      <c r="BA161" s="145"/>
      <c r="BB161" s="145"/>
      <c r="BC161" s="145"/>
      <c r="BD161" s="145"/>
      <c r="BE161" s="145"/>
      <c r="BF161" s="145"/>
      <c r="BG161" s="145"/>
      <c r="BH161" s="145"/>
      <c r="BI161" s="145"/>
      <c r="BJ161" s="145"/>
      <c r="BK161" s="145"/>
      <c r="BL161" s="145"/>
      <c r="BM161" s="145"/>
    </row>
    <row r="162" spans="2:74" ht="15" customHeight="1">
      <c r="E162" s="180">
        <v>41729</v>
      </c>
      <c r="G162" s="156" t="s">
        <v>657</v>
      </c>
      <c r="H162" s="145"/>
      <c r="I162" s="145">
        <f t="shared" si="16"/>
        <v>0</v>
      </c>
      <c r="J162" s="31"/>
      <c r="K162" s="145"/>
      <c r="L162" s="145"/>
      <c r="M162" s="145"/>
      <c r="N162" s="145"/>
      <c r="O162" s="145"/>
      <c r="P162" s="145"/>
      <c r="Q162" s="145"/>
      <c r="R162" s="145"/>
      <c r="S162" s="145"/>
      <c r="T162" s="145"/>
      <c r="U162" s="145"/>
      <c r="V162" s="145"/>
      <c r="W162" s="145"/>
      <c r="X162" s="145"/>
      <c r="Y162" s="145"/>
      <c r="Z162" s="145"/>
      <c r="AA162" s="145"/>
      <c r="AB162" s="145"/>
      <c r="AC162" s="145"/>
      <c r="AD162" s="145"/>
      <c r="AE162" s="145"/>
      <c r="AF162" s="145"/>
      <c r="AG162" s="145"/>
      <c r="AH162" s="145"/>
      <c r="AI162" s="264">
        <f t="shared" si="21"/>
        <v>0</v>
      </c>
      <c r="AJ162" s="145">
        <f t="shared" si="21"/>
        <v>0</v>
      </c>
      <c r="AK162" s="145">
        <f t="shared" si="21"/>
        <v>0</v>
      </c>
      <c r="AL162" s="145">
        <f t="shared" si="21"/>
        <v>0</v>
      </c>
      <c r="AM162" s="145">
        <f t="shared" si="21"/>
        <v>0</v>
      </c>
      <c r="AN162" s="145">
        <f t="shared" si="21"/>
        <v>0</v>
      </c>
      <c r="AO162" s="145">
        <f t="shared" si="21"/>
        <v>0</v>
      </c>
      <c r="AP162" s="145">
        <f t="shared" si="21"/>
        <v>0</v>
      </c>
      <c r="AQ162" s="145">
        <f t="shared" si="21"/>
        <v>0</v>
      </c>
      <c r="AR162" s="145">
        <f t="shared" si="21"/>
        <v>0</v>
      </c>
      <c r="AS162" s="145"/>
      <c r="AT162" s="145"/>
      <c r="AU162" s="145"/>
      <c r="AV162" s="145"/>
      <c r="AW162" s="145"/>
      <c r="AX162" s="145"/>
      <c r="AY162" s="145"/>
      <c r="AZ162" s="145"/>
      <c r="BA162" s="145"/>
      <c r="BB162" s="145"/>
      <c r="BC162" s="145"/>
      <c r="BD162" s="145"/>
      <c r="BE162" s="145"/>
      <c r="BF162" s="145"/>
      <c r="BG162" s="145"/>
      <c r="BH162" s="145"/>
      <c r="BI162" s="145"/>
      <c r="BJ162" s="145"/>
      <c r="BK162" s="145"/>
      <c r="BL162" s="145"/>
      <c r="BM162" s="145"/>
      <c r="BN162" s="145"/>
    </row>
    <row r="163" spans="2:74" ht="15" customHeight="1">
      <c r="E163" s="180">
        <v>42094</v>
      </c>
      <c r="G163" s="156" t="s">
        <v>657</v>
      </c>
      <c r="H163" s="145"/>
      <c r="I163" s="145">
        <f t="shared" si="16"/>
        <v>0</v>
      </c>
      <c r="J163" s="31"/>
      <c r="K163" s="145"/>
      <c r="L163" s="145"/>
      <c r="M163" s="145"/>
      <c r="N163" s="145"/>
      <c r="O163" s="145"/>
      <c r="P163" s="145"/>
      <c r="Q163" s="145"/>
      <c r="R163" s="145"/>
      <c r="S163" s="145"/>
      <c r="T163" s="145"/>
      <c r="U163" s="145"/>
      <c r="V163" s="145"/>
      <c r="W163" s="145"/>
      <c r="X163" s="145"/>
      <c r="Y163" s="145"/>
      <c r="Z163" s="145"/>
      <c r="AA163" s="145"/>
      <c r="AB163" s="145"/>
      <c r="AC163" s="145"/>
      <c r="AD163" s="145"/>
      <c r="AE163" s="145"/>
      <c r="AF163" s="145"/>
      <c r="AG163" s="145"/>
      <c r="AH163" s="145"/>
      <c r="AI163" s="145"/>
      <c r="AJ163" s="264">
        <f t="shared" si="21"/>
        <v>0</v>
      </c>
      <c r="AK163" s="145">
        <f t="shared" si="21"/>
        <v>0</v>
      </c>
      <c r="AL163" s="145">
        <f t="shared" si="21"/>
        <v>0</v>
      </c>
      <c r="AM163" s="145">
        <f t="shared" si="21"/>
        <v>0</v>
      </c>
      <c r="AN163" s="145">
        <f t="shared" si="21"/>
        <v>0</v>
      </c>
      <c r="AO163" s="145">
        <f t="shared" si="21"/>
        <v>0</v>
      </c>
      <c r="AP163" s="145">
        <f t="shared" si="21"/>
        <v>0</v>
      </c>
      <c r="AQ163" s="145">
        <f t="shared" si="21"/>
        <v>0</v>
      </c>
      <c r="AR163" s="145">
        <f t="shared" si="21"/>
        <v>0</v>
      </c>
      <c r="AS163" s="145"/>
      <c r="AT163" s="145"/>
      <c r="AU163" s="145"/>
      <c r="AV163" s="145"/>
      <c r="AW163" s="145"/>
      <c r="AX163" s="145"/>
      <c r="AY163" s="145"/>
      <c r="AZ163" s="145"/>
      <c r="BA163" s="145"/>
      <c r="BB163" s="145"/>
      <c r="BC163" s="145"/>
      <c r="BD163" s="145"/>
      <c r="BE163" s="145"/>
      <c r="BF163" s="145"/>
      <c r="BG163" s="145"/>
      <c r="BH163" s="145"/>
      <c r="BI163" s="145"/>
      <c r="BJ163" s="145"/>
      <c r="BK163" s="145"/>
      <c r="BL163" s="145"/>
      <c r="BM163" s="145"/>
      <c r="BN163" s="145"/>
      <c r="BO163" s="145"/>
    </row>
    <row r="164" spans="2:74" ht="15" customHeight="1">
      <c r="E164" s="180">
        <v>42460</v>
      </c>
      <c r="G164" s="156" t="s">
        <v>657</v>
      </c>
      <c r="H164" s="145"/>
      <c r="I164" s="145">
        <f t="shared" si="16"/>
        <v>0</v>
      </c>
      <c r="J164" s="31"/>
      <c r="K164" s="145"/>
      <c r="L164" s="145"/>
      <c r="M164" s="145"/>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264">
        <f t="shared" si="21"/>
        <v>0</v>
      </c>
      <c r="AL164" s="145">
        <f t="shared" si="21"/>
        <v>0</v>
      </c>
      <c r="AM164" s="145">
        <f t="shared" si="21"/>
        <v>0</v>
      </c>
      <c r="AN164" s="145">
        <f t="shared" si="21"/>
        <v>0</v>
      </c>
      <c r="AO164" s="145">
        <f t="shared" si="21"/>
        <v>0</v>
      </c>
      <c r="AP164" s="145">
        <f t="shared" si="21"/>
        <v>0</v>
      </c>
      <c r="AQ164" s="145">
        <f t="shared" si="21"/>
        <v>0</v>
      </c>
      <c r="AR164" s="145">
        <f t="shared" si="21"/>
        <v>0</v>
      </c>
      <c r="AS164" s="145"/>
      <c r="AT164" s="145"/>
      <c r="AU164" s="145"/>
      <c r="AV164" s="145"/>
      <c r="AW164" s="145"/>
      <c r="AX164" s="145"/>
      <c r="AY164" s="145"/>
      <c r="AZ164" s="145"/>
      <c r="BA164" s="145"/>
      <c r="BB164" s="145"/>
      <c r="BC164" s="145"/>
      <c r="BD164" s="145"/>
      <c r="BE164" s="145"/>
      <c r="BF164" s="145"/>
      <c r="BG164" s="145"/>
      <c r="BH164" s="145"/>
      <c r="BI164" s="145"/>
      <c r="BJ164" s="145"/>
      <c r="BK164" s="145"/>
      <c r="BL164" s="145"/>
      <c r="BM164" s="145"/>
      <c r="BN164" s="145"/>
      <c r="BO164" s="145"/>
      <c r="BP164" s="145"/>
    </row>
    <row r="165" spans="2:74" ht="15" customHeight="1">
      <c r="E165" s="180">
        <v>42825</v>
      </c>
      <c r="G165" s="156" t="s">
        <v>657</v>
      </c>
      <c r="H165" s="145"/>
      <c r="I165" s="145">
        <f t="shared" si="16"/>
        <v>0</v>
      </c>
      <c r="J165" s="31"/>
      <c r="K165" s="145"/>
      <c r="L165" s="145"/>
      <c r="M165" s="145"/>
      <c r="N165" s="145"/>
      <c r="O165" s="145"/>
      <c r="P165" s="145"/>
      <c r="Q165" s="145"/>
      <c r="R165" s="145"/>
      <c r="S165" s="145"/>
      <c r="T165" s="145"/>
      <c r="U165" s="145"/>
      <c r="V165" s="145"/>
      <c r="W165" s="145"/>
      <c r="X165" s="145"/>
      <c r="Y165" s="145"/>
      <c r="Z165" s="145"/>
      <c r="AA165" s="145"/>
      <c r="AB165" s="145"/>
      <c r="AC165" s="145"/>
      <c r="AD165" s="145"/>
      <c r="AE165" s="145"/>
      <c r="AF165" s="145"/>
      <c r="AG165" s="145"/>
      <c r="AH165" s="145"/>
      <c r="AI165" s="145"/>
      <c r="AJ165" s="145"/>
      <c r="AK165" s="145"/>
      <c r="AL165" s="264">
        <f t="shared" si="21"/>
        <v>0</v>
      </c>
      <c r="AM165" s="145">
        <f t="shared" si="21"/>
        <v>0</v>
      </c>
      <c r="AN165" s="145">
        <f t="shared" si="21"/>
        <v>0</v>
      </c>
      <c r="AO165" s="145">
        <f t="shared" si="21"/>
        <v>0</v>
      </c>
      <c r="AP165" s="145">
        <f t="shared" si="21"/>
        <v>0</v>
      </c>
      <c r="AQ165" s="145">
        <f t="shared" si="21"/>
        <v>0</v>
      </c>
      <c r="AR165" s="145">
        <f t="shared" si="21"/>
        <v>0</v>
      </c>
      <c r="AS165" s="145"/>
      <c r="AT165" s="145"/>
      <c r="AU165" s="145"/>
      <c r="AV165" s="145"/>
      <c r="AW165" s="145"/>
      <c r="AX165" s="145"/>
      <c r="AY165" s="145"/>
      <c r="AZ165" s="145"/>
      <c r="BA165" s="145"/>
      <c r="BB165" s="145"/>
      <c r="BC165" s="145"/>
      <c r="BD165" s="145"/>
      <c r="BE165" s="145"/>
      <c r="BF165" s="145"/>
      <c r="BG165" s="145"/>
      <c r="BH165" s="145"/>
      <c r="BI165" s="145"/>
      <c r="BJ165" s="145"/>
      <c r="BK165" s="145"/>
      <c r="BL165" s="145"/>
      <c r="BM165" s="145"/>
      <c r="BN165" s="145"/>
      <c r="BO165" s="145"/>
      <c r="BP165" s="145"/>
      <c r="BQ165" s="145"/>
    </row>
    <row r="166" spans="2:74" ht="15" customHeight="1">
      <c r="E166" s="180">
        <v>43190</v>
      </c>
      <c r="G166" s="156" t="s">
        <v>657</v>
      </c>
      <c r="H166" s="145"/>
      <c r="I166" s="145">
        <f t="shared" si="16"/>
        <v>0</v>
      </c>
      <c r="J166" s="31"/>
      <c r="K166" s="145"/>
      <c r="L166" s="145"/>
      <c r="M166" s="145"/>
      <c r="N166" s="145"/>
      <c r="O166" s="145"/>
      <c r="P166" s="145"/>
      <c r="Q166" s="145"/>
      <c r="R166" s="145"/>
      <c r="S166" s="145"/>
      <c r="T166" s="145"/>
      <c r="U166" s="145"/>
      <c r="V166" s="145"/>
      <c r="W166" s="145"/>
      <c r="X166" s="145"/>
      <c r="Y166" s="145"/>
      <c r="Z166" s="145"/>
      <c r="AA166" s="145"/>
      <c r="AB166" s="145"/>
      <c r="AC166" s="145"/>
      <c r="AD166" s="145"/>
      <c r="AE166" s="145"/>
      <c r="AF166" s="145"/>
      <c r="AG166" s="145"/>
      <c r="AH166" s="145"/>
      <c r="AI166" s="145"/>
      <c r="AJ166" s="145"/>
      <c r="AK166" s="145"/>
      <c r="AL166" s="145"/>
      <c r="AM166" s="264">
        <f t="shared" si="21"/>
        <v>0</v>
      </c>
      <c r="AN166" s="145">
        <f t="shared" si="21"/>
        <v>0</v>
      </c>
      <c r="AO166" s="145">
        <f t="shared" si="21"/>
        <v>0</v>
      </c>
      <c r="AP166" s="145">
        <f t="shared" si="21"/>
        <v>0</v>
      </c>
      <c r="AQ166" s="145">
        <f t="shared" si="21"/>
        <v>0</v>
      </c>
      <c r="AR166" s="145">
        <f t="shared" si="21"/>
        <v>0</v>
      </c>
      <c r="AS166" s="145"/>
      <c r="AT166" s="145"/>
      <c r="AU166" s="145"/>
      <c r="AV166" s="145"/>
      <c r="AW166" s="145"/>
      <c r="AX166" s="145"/>
      <c r="AY166" s="145"/>
      <c r="AZ166" s="145"/>
      <c r="BA166" s="145"/>
      <c r="BB166" s="145"/>
      <c r="BC166" s="145"/>
      <c r="BD166" s="145"/>
      <c r="BE166" s="145"/>
      <c r="BF166" s="145"/>
      <c r="BG166" s="145"/>
      <c r="BH166" s="145"/>
      <c r="BI166" s="145"/>
      <c r="BJ166" s="145"/>
      <c r="BK166" s="145"/>
      <c r="BL166" s="145"/>
      <c r="BM166" s="145"/>
      <c r="BN166" s="145"/>
      <c r="BO166" s="145"/>
      <c r="BP166" s="145"/>
      <c r="BQ166" s="145"/>
      <c r="BR166" s="145"/>
    </row>
    <row r="167" spans="2:74" ht="15" customHeight="1">
      <c r="E167" s="180">
        <v>43555</v>
      </c>
      <c r="G167" s="156" t="s">
        <v>657</v>
      </c>
      <c r="H167" s="145"/>
      <c r="I167" s="145">
        <f t="shared" si="16"/>
        <v>0</v>
      </c>
      <c r="J167" s="31"/>
      <c r="K167" s="145"/>
      <c r="L167" s="145"/>
      <c r="M167" s="145"/>
      <c r="N167" s="145"/>
      <c r="O167" s="145"/>
      <c r="P167" s="145"/>
      <c r="Q167" s="145"/>
      <c r="R167" s="145"/>
      <c r="S167" s="145"/>
      <c r="T167" s="145"/>
      <c r="U167" s="145"/>
      <c r="V167" s="145"/>
      <c r="W167" s="145"/>
      <c r="X167" s="145"/>
      <c r="Y167" s="145"/>
      <c r="Z167" s="145"/>
      <c r="AA167" s="145"/>
      <c r="AB167" s="145"/>
      <c r="AC167" s="145"/>
      <c r="AD167" s="145"/>
      <c r="AE167" s="145"/>
      <c r="AF167" s="145"/>
      <c r="AG167" s="145"/>
      <c r="AH167" s="145"/>
      <c r="AI167" s="145"/>
      <c r="AJ167" s="145"/>
      <c r="AK167" s="145"/>
      <c r="AL167" s="145"/>
      <c r="AM167" s="145"/>
      <c r="AN167" s="264">
        <f t="shared" si="21"/>
        <v>0</v>
      </c>
      <c r="AO167" s="145">
        <f t="shared" si="21"/>
        <v>0</v>
      </c>
      <c r="AP167" s="145">
        <f t="shared" si="21"/>
        <v>0</v>
      </c>
      <c r="AQ167" s="145">
        <f t="shared" si="21"/>
        <v>0</v>
      </c>
      <c r="AR167" s="145">
        <f t="shared" si="21"/>
        <v>0</v>
      </c>
      <c r="AS167" s="145"/>
      <c r="AT167" s="145"/>
      <c r="AU167" s="145"/>
      <c r="AV167" s="145"/>
      <c r="AW167" s="145"/>
      <c r="AX167" s="145"/>
      <c r="AY167" s="145"/>
      <c r="AZ167" s="145"/>
      <c r="BA167" s="145"/>
      <c r="BB167" s="145"/>
      <c r="BC167" s="145"/>
      <c r="BD167" s="145"/>
      <c r="BE167" s="145"/>
      <c r="BF167" s="145"/>
      <c r="BG167" s="145"/>
      <c r="BH167" s="145"/>
      <c r="BI167" s="145"/>
      <c r="BJ167" s="145"/>
      <c r="BK167" s="145"/>
      <c r="BL167" s="145"/>
      <c r="BM167" s="145"/>
      <c r="BN167" s="145"/>
      <c r="BO167" s="145"/>
      <c r="BP167" s="145"/>
      <c r="BQ167" s="145"/>
      <c r="BR167" s="145"/>
      <c r="BS167" s="145"/>
    </row>
    <row r="168" spans="2:74" ht="15" customHeight="1">
      <c r="E168" s="180">
        <v>43921</v>
      </c>
      <c r="G168" s="156" t="s">
        <v>657</v>
      </c>
      <c r="H168" s="145"/>
      <c r="I168" s="145">
        <f t="shared" si="16"/>
        <v>0</v>
      </c>
      <c r="J168" s="31"/>
      <c r="K168" s="145"/>
      <c r="L168" s="145"/>
      <c r="M168" s="145"/>
      <c r="N168" s="145"/>
      <c r="O168" s="145"/>
      <c r="P168" s="145"/>
      <c r="Q168" s="145"/>
      <c r="R168" s="145"/>
      <c r="S168" s="145"/>
      <c r="T168" s="145"/>
      <c r="U168" s="145"/>
      <c r="V168" s="145"/>
      <c r="W168" s="145"/>
      <c r="X168" s="145"/>
      <c r="Y168" s="145"/>
      <c r="Z168" s="145"/>
      <c r="AA168" s="145"/>
      <c r="AB168" s="145"/>
      <c r="AC168" s="145"/>
      <c r="AD168" s="145"/>
      <c r="AE168" s="145"/>
      <c r="AF168" s="145"/>
      <c r="AG168" s="145"/>
      <c r="AH168" s="145"/>
      <c r="AI168" s="145"/>
      <c r="AJ168" s="145"/>
      <c r="AK168" s="145"/>
      <c r="AL168" s="145"/>
      <c r="AM168" s="145"/>
      <c r="AN168" s="145"/>
      <c r="AO168" s="264">
        <f t="shared" si="21"/>
        <v>0</v>
      </c>
      <c r="AP168" s="145">
        <f t="shared" si="21"/>
        <v>0</v>
      </c>
      <c r="AQ168" s="145">
        <f t="shared" si="21"/>
        <v>0</v>
      </c>
      <c r="AR168" s="145">
        <f t="shared" ref="AR168" si="22">$I168 * AR$129</f>
        <v>0</v>
      </c>
      <c r="AS168" s="145"/>
      <c r="AT168" s="145"/>
      <c r="AU168" s="145"/>
      <c r="AV168" s="145"/>
      <c r="AW168" s="145"/>
      <c r="AX168" s="145"/>
      <c r="AY168" s="145"/>
      <c r="AZ168" s="145"/>
      <c r="BA168" s="145"/>
      <c r="BB168" s="145"/>
      <c r="BC168" s="145"/>
      <c r="BD168" s="145"/>
      <c r="BE168" s="145"/>
      <c r="BF168" s="145"/>
      <c r="BG168" s="145"/>
      <c r="BH168" s="145"/>
      <c r="BI168" s="145"/>
      <c r="BJ168" s="145"/>
      <c r="BK168" s="145"/>
      <c r="BL168" s="145"/>
      <c r="BM168" s="145"/>
      <c r="BN168" s="145"/>
      <c r="BO168" s="145"/>
      <c r="BP168" s="145"/>
      <c r="BQ168" s="145"/>
      <c r="BR168" s="145"/>
      <c r="BS168" s="145"/>
      <c r="BT168" s="145"/>
    </row>
    <row r="169" spans="2:74" ht="15" customHeight="1">
      <c r="E169" s="180">
        <v>44286</v>
      </c>
      <c r="G169" s="156" t="s">
        <v>657</v>
      </c>
      <c r="H169" s="145"/>
      <c r="I169" s="145">
        <f t="shared" si="16"/>
        <v>0</v>
      </c>
      <c r="J169" s="31"/>
      <c r="K169" s="145"/>
      <c r="L169" s="145"/>
      <c r="M169" s="145"/>
      <c r="N169" s="145"/>
      <c r="O169" s="145"/>
      <c r="P169" s="145"/>
      <c r="Q169" s="145"/>
      <c r="R169" s="145"/>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264">
        <f t="shared" ref="AP169:AR170" si="23">$I169 * AP$129</f>
        <v>0</v>
      </c>
      <c r="AQ169" s="145">
        <f t="shared" si="23"/>
        <v>0</v>
      </c>
      <c r="AR169" s="145">
        <f t="shared" si="23"/>
        <v>0</v>
      </c>
      <c r="AS169" s="145"/>
      <c r="AT169" s="145"/>
      <c r="AU169" s="145"/>
      <c r="AV169" s="145"/>
      <c r="AW169" s="145"/>
      <c r="AX169" s="145"/>
      <c r="AY169" s="145"/>
      <c r="AZ169" s="145"/>
      <c r="BA169" s="145"/>
      <c r="BB169" s="145"/>
      <c r="BC169" s="145"/>
      <c r="BD169" s="145"/>
      <c r="BE169" s="145"/>
      <c r="BF169" s="145"/>
      <c r="BG169" s="145"/>
      <c r="BH169" s="145"/>
      <c r="BI169" s="145"/>
      <c r="BJ169" s="145"/>
      <c r="BK169" s="145"/>
      <c r="BL169" s="145"/>
      <c r="BM169" s="145"/>
      <c r="BN169" s="145"/>
      <c r="BO169" s="145"/>
      <c r="BP169" s="145"/>
      <c r="BQ169" s="145"/>
      <c r="BR169" s="145"/>
      <c r="BS169" s="145"/>
      <c r="BT169" s="145"/>
      <c r="BU169" s="145"/>
    </row>
    <row r="170" spans="2:74" ht="15" customHeight="1">
      <c r="E170" s="267">
        <v>44651</v>
      </c>
      <c r="F170" s="152"/>
      <c r="G170" s="152" t="s">
        <v>657</v>
      </c>
      <c r="H170" s="145"/>
      <c r="I170" s="145">
        <f t="shared" si="16"/>
        <v>0</v>
      </c>
      <c r="J170" s="31"/>
      <c r="K170" s="145"/>
      <c r="L170" s="145"/>
      <c r="M170" s="145"/>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5"/>
      <c r="AM170" s="145"/>
      <c r="AN170" s="145"/>
      <c r="AO170" s="145"/>
      <c r="AP170" s="145"/>
      <c r="AQ170" s="264">
        <f t="shared" si="23"/>
        <v>0</v>
      </c>
      <c r="AR170" s="145">
        <f t="shared" si="23"/>
        <v>0</v>
      </c>
      <c r="AS170" s="145"/>
      <c r="AT170" s="145"/>
      <c r="AU170" s="145"/>
      <c r="AV170" s="145"/>
      <c r="AW170" s="145"/>
      <c r="AX170" s="145"/>
      <c r="AY170" s="145"/>
      <c r="AZ170" s="145"/>
      <c r="BA170" s="145"/>
      <c r="BB170" s="145"/>
      <c r="BC170" s="145"/>
      <c r="BD170" s="145"/>
      <c r="BE170" s="145"/>
      <c r="BF170" s="145"/>
      <c r="BG170" s="145"/>
      <c r="BH170" s="145"/>
      <c r="BI170" s="145"/>
      <c r="BJ170" s="145"/>
      <c r="BK170" s="145"/>
      <c r="BL170" s="145"/>
      <c r="BM170" s="145"/>
      <c r="BN170" s="145"/>
      <c r="BO170" s="145"/>
      <c r="BP170" s="145"/>
      <c r="BQ170" s="145"/>
      <c r="BR170" s="145"/>
      <c r="BS170" s="145"/>
      <c r="BT170" s="145"/>
      <c r="BU170" s="145"/>
      <c r="BV170" s="145"/>
    </row>
    <row r="171" spans="2:74" ht="15" customHeight="1">
      <c r="E171" s="267">
        <v>45016</v>
      </c>
      <c r="F171" s="152"/>
      <c r="G171" s="152" t="s">
        <v>657</v>
      </c>
      <c r="H171" s="145"/>
      <c r="I171" s="145">
        <f t="shared" si="16"/>
        <v>0</v>
      </c>
      <c r="J171" s="31"/>
      <c r="K171" s="145"/>
      <c r="L171" s="145"/>
      <c r="M171" s="145"/>
      <c r="N171" s="145"/>
      <c r="O171" s="145"/>
      <c r="P171" s="145"/>
      <c r="Q171" s="145"/>
      <c r="R171" s="145"/>
      <c r="S171" s="145"/>
      <c r="T171" s="145"/>
      <c r="U171" s="145"/>
      <c r="V171" s="145"/>
      <c r="W171" s="145"/>
      <c r="X171" s="145"/>
      <c r="Y171" s="145"/>
      <c r="Z171" s="145"/>
      <c r="AA171" s="145"/>
      <c r="AB171" s="145"/>
      <c r="AC171" s="145"/>
      <c r="AD171" s="145"/>
      <c r="AE171" s="145"/>
      <c r="AF171" s="145"/>
      <c r="AG171" s="145"/>
      <c r="AH171" s="145"/>
      <c r="AI171" s="145"/>
      <c r="AJ171" s="145"/>
      <c r="AK171" s="145"/>
      <c r="AL171" s="145"/>
      <c r="AM171" s="145"/>
      <c r="AN171" s="145"/>
      <c r="AO171" s="145"/>
      <c r="AP171" s="145"/>
      <c r="AQ171" s="145"/>
    </row>
    <row r="172" spans="2:74" ht="15" customHeight="1">
      <c r="H172" s="145"/>
      <c r="I172" s="145"/>
      <c r="J172" s="31"/>
      <c r="K172" s="145"/>
      <c r="L172" s="145"/>
      <c r="M172" s="145"/>
      <c r="N172" s="145"/>
      <c r="O172" s="145"/>
      <c r="P172" s="145"/>
      <c r="Q172" s="145"/>
      <c r="R172" s="145"/>
      <c r="S172" s="145"/>
      <c r="T172" s="145"/>
      <c r="U172" s="145"/>
      <c r="V172" s="145"/>
      <c r="W172" s="145"/>
      <c r="X172" s="145"/>
      <c r="Y172" s="145"/>
      <c r="Z172" s="145"/>
      <c r="AA172" s="145"/>
      <c r="AB172" s="145"/>
      <c r="AC172" s="145"/>
      <c r="AD172" s="145"/>
      <c r="AE172" s="145"/>
      <c r="AF172" s="145"/>
      <c r="AG172" s="145"/>
      <c r="AH172" s="145"/>
      <c r="AI172" s="147"/>
      <c r="AJ172" s="147"/>
      <c r="AK172" s="147"/>
      <c r="AL172" s="147"/>
      <c r="AM172" s="147"/>
      <c r="AN172" s="147"/>
      <c r="AO172" s="147"/>
      <c r="AP172" s="147"/>
      <c r="AQ172" s="147"/>
    </row>
    <row r="173" spans="2:74" ht="15" customHeight="1">
      <c r="C173" s="17" t="s">
        <v>124</v>
      </c>
      <c r="D173" s="17"/>
      <c r="E173" s="17"/>
      <c r="F173" s="17"/>
      <c r="G173" s="17"/>
      <c r="H173" s="17"/>
      <c r="I173" s="292"/>
      <c r="J173" s="303"/>
      <c r="K173" s="292"/>
      <c r="L173" s="292"/>
      <c r="M173" s="292"/>
      <c r="N173" s="292"/>
      <c r="O173" s="292"/>
      <c r="P173" s="292"/>
      <c r="Q173" s="292"/>
      <c r="R173" s="292"/>
      <c r="S173" s="292"/>
      <c r="T173" s="292"/>
      <c r="U173" s="292"/>
      <c r="V173" s="292"/>
      <c r="W173" s="292"/>
      <c r="X173" s="292"/>
      <c r="Y173" s="292"/>
      <c r="Z173" s="292"/>
      <c r="AA173" s="292"/>
      <c r="AB173" s="292"/>
      <c r="AC173" s="292"/>
      <c r="AD173" s="292"/>
      <c r="AE173" s="292"/>
      <c r="AF173" s="292"/>
      <c r="AG173" s="292"/>
      <c r="AH173" s="292"/>
      <c r="AI173" s="292"/>
      <c r="AJ173" s="292"/>
      <c r="AK173" s="292"/>
      <c r="AL173" s="292"/>
      <c r="AM173" s="292"/>
      <c r="AN173" s="292"/>
      <c r="AO173" s="292"/>
      <c r="AP173" s="292"/>
      <c r="AQ173" s="292"/>
    </row>
    <row r="174" spans="2:74" s="149" customFormat="1" ht="15" customHeight="1">
      <c r="B174" s="145"/>
      <c r="C174" s="164" t="s">
        <v>521</v>
      </c>
      <c r="D174" s="164"/>
      <c r="E174" s="164"/>
      <c r="F174" s="164"/>
      <c r="G174" s="164"/>
      <c r="H174" s="164"/>
      <c r="I174" s="192"/>
      <c r="J174" s="192"/>
      <c r="K174" s="192"/>
      <c r="L174" s="192"/>
      <c r="M174" s="192"/>
      <c r="N174" s="192"/>
      <c r="O174" s="192"/>
      <c r="P174" s="192"/>
      <c r="Q174" s="192"/>
      <c r="R174" s="192"/>
      <c r="S174" s="192"/>
      <c r="T174" s="192"/>
      <c r="U174" s="192"/>
      <c r="V174" s="192"/>
      <c r="W174" s="192"/>
      <c r="X174" s="192"/>
      <c r="Y174" s="192"/>
      <c r="Z174" s="192"/>
      <c r="AA174" s="192"/>
      <c r="AB174" s="192"/>
      <c r="AC174" s="192"/>
      <c r="AD174" s="192"/>
      <c r="AE174" s="192"/>
      <c r="AF174" s="192"/>
      <c r="AG174" s="192"/>
      <c r="AH174" s="192"/>
      <c r="AI174" s="192"/>
      <c r="AJ174" s="192"/>
      <c r="AK174" s="192"/>
      <c r="AL174" s="192"/>
      <c r="AM174" s="192"/>
      <c r="AN174" s="192"/>
      <c r="AO174" s="192"/>
      <c r="AP174" s="192"/>
      <c r="AQ174" s="192"/>
    </row>
    <row r="175" spans="2:74" ht="15" customHeight="1">
      <c r="H175" s="145"/>
      <c r="I175" s="145"/>
      <c r="J175" s="31"/>
      <c r="K175" s="145"/>
      <c r="L175" s="145"/>
      <c r="M175" s="145"/>
      <c r="N175" s="145"/>
      <c r="O175" s="145"/>
      <c r="P175" s="145"/>
      <c r="Q175" s="145"/>
      <c r="R175" s="147"/>
      <c r="S175" s="147"/>
      <c r="T175" s="145"/>
      <c r="U175" s="145"/>
      <c r="V175" s="145"/>
      <c r="W175" s="145"/>
      <c r="X175" s="145"/>
      <c r="Y175" s="145"/>
      <c r="Z175" s="145"/>
      <c r="AA175" s="145"/>
      <c r="AB175" s="145"/>
      <c r="AC175" s="145"/>
      <c r="AD175" s="145"/>
      <c r="AE175" s="145"/>
      <c r="AF175" s="145"/>
      <c r="AG175" s="145"/>
      <c r="AH175" s="145"/>
      <c r="AI175" s="145"/>
      <c r="AJ175" s="145"/>
      <c r="AK175" s="145"/>
      <c r="AL175" s="145"/>
      <c r="AM175" s="145"/>
      <c r="AN175" s="145"/>
      <c r="AO175" s="145"/>
      <c r="AP175" s="147"/>
      <c r="AQ175" s="147"/>
    </row>
    <row r="176" spans="2:74" ht="15" customHeight="1">
      <c r="E176" s="86" t="s">
        <v>233</v>
      </c>
      <c r="H176" s="145"/>
      <c r="I176" s="106" t="s">
        <v>26</v>
      </c>
      <c r="J176" s="31"/>
      <c r="K176" s="145"/>
      <c r="L176" s="145"/>
      <c r="M176" s="145"/>
      <c r="N176" s="145"/>
      <c r="O176" s="145"/>
      <c r="P176" s="145"/>
      <c r="Q176" s="145"/>
      <c r="R176" s="147"/>
      <c r="S176" s="147"/>
      <c r="T176" s="145"/>
      <c r="U176" s="145"/>
      <c r="V176" s="145"/>
      <c r="W176" s="145"/>
      <c r="X176" s="145"/>
      <c r="Y176" s="145"/>
      <c r="Z176" s="145"/>
      <c r="AA176" s="145"/>
      <c r="AB176" s="145"/>
      <c r="AC176" s="145"/>
      <c r="AD176" s="145"/>
      <c r="AE176" s="145"/>
      <c r="AF176" s="145"/>
      <c r="AG176" s="145"/>
      <c r="AH176" s="145"/>
      <c r="AI176" s="145"/>
      <c r="AJ176" s="145"/>
      <c r="AK176" s="145"/>
      <c r="AL176" s="145"/>
      <c r="AM176" s="145"/>
      <c r="AN176" s="145"/>
      <c r="AO176" s="145"/>
      <c r="AP176" s="147"/>
      <c r="AQ176" s="147"/>
    </row>
    <row r="177" spans="2:58" ht="15" customHeight="1">
      <c r="B177" s="87"/>
      <c r="E177" s="180">
        <v>33328</v>
      </c>
      <c r="G177" s="156" t="s">
        <v>657</v>
      </c>
      <c r="H177" s="145"/>
      <c r="I177" s="145">
        <f t="shared" ref="I177:I209" si="24">I88</f>
        <v>38.825481450385681</v>
      </c>
      <c r="J177" s="31" t="s">
        <v>54</v>
      </c>
      <c r="K177" s="107"/>
      <c r="L177" s="145">
        <f>(L$83 * L88) + (L$38 * L43) + L139</f>
        <v>1.1659303738854561</v>
      </c>
      <c r="M177" s="145">
        <f t="shared" ref="M177:AQ186" si="25">(M$83 * M88) + (M$38 * M43) + M139</f>
        <v>1.1659303738854561</v>
      </c>
      <c r="N177" s="145">
        <f t="shared" si="25"/>
        <v>1.1659303738854561</v>
      </c>
      <c r="O177" s="145">
        <f t="shared" si="25"/>
        <v>1.1659303738854561</v>
      </c>
      <c r="P177" s="145">
        <f t="shared" si="25"/>
        <v>1.1659303738854561</v>
      </c>
      <c r="Q177" s="145">
        <f t="shared" si="25"/>
        <v>1.1659303738854561</v>
      </c>
      <c r="R177" s="145">
        <f t="shared" si="25"/>
        <v>1.1659303738854561</v>
      </c>
      <c r="S177" s="145">
        <f t="shared" si="25"/>
        <v>1.1659303738854561</v>
      </c>
      <c r="T177" s="145">
        <f t="shared" si="25"/>
        <v>1.1659303738854561</v>
      </c>
      <c r="U177" s="145">
        <f t="shared" si="25"/>
        <v>1.1659303738854561</v>
      </c>
      <c r="V177" s="145">
        <f t="shared" si="25"/>
        <v>1.1659303738854561</v>
      </c>
      <c r="W177" s="145">
        <f t="shared" si="25"/>
        <v>1.1659303738854561</v>
      </c>
      <c r="X177" s="145">
        <f t="shared" si="25"/>
        <v>1.1659303738854561</v>
      </c>
      <c r="Y177" s="145">
        <f t="shared" si="25"/>
        <v>1.1659303738854561</v>
      </c>
      <c r="Z177" s="145">
        <f>(Z$83 * Z88) + (Z$38 * Z43) + Z139</f>
        <v>1.1659303738854561</v>
      </c>
      <c r="AA177" s="145">
        <f t="shared" si="25"/>
        <v>2.7166177711531128</v>
      </c>
      <c r="AB177" s="145">
        <f t="shared" si="25"/>
        <v>2.7166177711531128</v>
      </c>
      <c r="AC177" s="145">
        <f t="shared" si="25"/>
        <v>2.7166177711531128</v>
      </c>
      <c r="AD177" s="145">
        <f t="shared" si="25"/>
        <v>2.7166177711531128</v>
      </c>
      <c r="AE177" s="145">
        <f>(AE$83 * AE88) + (AE$38 * AE43) + AE139</f>
        <v>2.7166177711531061</v>
      </c>
      <c r="AF177" s="145">
        <f>(AF$83 * AF88) + (AF$38 * AF43) + AF139</f>
        <v>0.77534369863382868</v>
      </c>
      <c r="AG177" s="145">
        <f t="shared" si="25"/>
        <v>0.77534369863382868</v>
      </c>
      <c r="AH177" s="145">
        <f t="shared" si="25"/>
        <v>0.77534369863382868</v>
      </c>
      <c r="AI177" s="145">
        <f t="shared" si="25"/>
        <v>0.77534369863382868</v>
      </c>
      <c r="AJ177" s="145">
        <f t="shared" si="25"/>
        <v>0.77534369863382868</v>
      </c>
      <c r="AK177" s="145">
        <f t="shared" si="25"/>
        <v>0.77534369863382868</v>
      </c>
      <c r="AL177" s="145">
        <f t="shared" si="25"/>
        <v>0.77534369863382868</v>
      </c>
      <c r="AM177" s="145">
        <f t="shared" si="25"/>
        <v>0.77534369863382868</v>
      </c>
      <c r="AN177" s="145">
        <f t="shared" si="25"/>
        <v>0.77534369863382868</v>
      </c>
      <c r="AO177" s="145">
        <f t="shared" si="25"/>
        <v>0.77534369863382868</v>
      </c>
      <c r="AP177" s="145">
        <f t="shared" si="25"/>
        <v>0</v>
      </c>
      <c r="AQ177" s="145">
        <f t="shared" si="25"/>
        <v>0</v>
      </c>
    </row>
    <row r="178" spans="2:58" ht="15" customHeight="1">
      <c r="B178" s="87"/>
      <c r="E178" s="180">
        <v>33694</v>
      </c>
      <c r="G178" s="156" t="s">
        <v>657</v>
      </c>
      <c r="H178" s="145"/>
      <c r="I178" s="145">
        <f t="shared" si="24"/>
        <v>140.66533557223065</v>
      </c>
      <c r="J178" s="31" t="s">
        <v>54</v>
      </c>
      <c r="K178" s="145"/>
      <c r="L178" s="145"/>
      <c r="M178" s="145">
        <f t="shared" si="25"/>
        <v>4.2241842514183379</v>
      </c>
      <c r="N178" s="145">
        <f t="shared" si="25"/>
        <v>4.2241842514183379</v>
      </c>
      <c r="O178" s="145">
        <f t="shared" si="25"/>
        <v>4.2241842514183379</v>
      </c>
      <c r="P178" s="145">
        <f t="shared" si="25"/>
        <v>4.2241842514183379</v>
      </c>
      <c r="Q178" s="145">
        <f t="shared" si="25"/>
        <v>4.2241842514183379</v>
      </c>
      <c r="R178" s="145">
        <f t="shared" si="25"/>
        <v>4.2241842514183379</v>
      </c>
      <c r="S178" s="145">
        <f t="shared" si="25"/>
        <v>4.2241842514183379</v>
      </c>
      <c r="T178" s="145">
        <f t="shared" si="25"/>
        <v>4.2241842514183379</v>
      </c>
      <c r="U178" s="145">
        <f t="shared" si="25"/>
        <v>4.2241842514183379</v>
      </c>
      <c r="V178" s="145">
        <f t="shared" si="25"/>
        <v>4.2241842514183379</v>
      </c>
      <c r="W178" s="145">
        <f t="shared" si="25"/>
        <v>4.2241842514183379</v>
      </c>
      <c r="X178" s="145">
        <f t="shared" si="25"/>
        <v>4.2241842514183379</v>
      </c>
      <c r="Y178" s="145">
        <f t="shared" si="25"/>
        <v>4.2241842514183379</v>
      </c>
      <c r="Z178" s="145">
        <f t="shared" si="25"/>
        <v>4.2241842514183379</v>
      </c>
      <c r="AA178" s="145">
        <f t="shared" si="25"/>
        <v>9.6550771373251827</v>
      </c>
      <c r="AB178" s="145">
        <f t="shared" si="25"/>
        <v>9.6550771373251827</v>
      </c>
      <c r="AC178" s="145">
        <f t="shared" si="25"/>
        <v>9.6550771373251827</v>
      </c>
      <c r="AD178" s="145">
        <f t="shared" si="25"/>
        <v>9.6550771373251827</v>
      </c>
      <c r="AE178" s="145">
        <f t="shared" si="25"/>
        <v>9.6550771373251827</v>
      </c>
      <c r="AF178" s="145">
        <f t="shared" si="25"/>
        <v>9.6550771373251827</v>
      </c>
      <c r="AG178" s="145">
        <f t="shared" si="25"/>
        <v>2.6218103587136499</v>
      </c>
      <c r="AH178" s="145">
        <f t="shared" si="25"/>
        <v>2.6218103587136499</v>
      </c>
      <c r="AI178" s="145">
        <f t="shared" si="25"/>
        <v>2.6218103587136499</v>
      </c>
      <c r="AJ178" s="145">
        <f t="shared" si="25"/>
        <v>2.6218103587136499</v>
      </c>
      <c r="AK178" s="145">
        <f t="shared" si="25"/>
        <v>2.6218103587136499</v>
      </c>
      <c r="AL178" s="145">
        <f t="shared" si="25"/>
        <v>2.6218103587136499</v>
      </c>
      <c r="AM178" s="145">
        <f t="shared" si="25"/>
        <v>2.6218103587136499</v>
      </c>
      <c r="AN178" s="145">
        <f t="shared" si="25"/>
        <v>2.6218103587136499</v>
      </c>
      <c r="AO178" s="145">
        <f t="shared" si="25"/>
        <v>2.6218103587136499</v>
      </c>
      <c r="AP178" s="145">
        <f t="shared" si="25"/>
        <v>0</v>
      </c>
      <c r="AQ178" s="145">
        <f t="shared" si="25"/>
        <v>0</v>
      </c>
      <c r="AR178" s="145">
        <f t="shared" ref="AR178:AR185" si="26">(AR$83 * AR89) + (AR$38 * AR44) + AR140</f>
        <v>0</v>
      </c>
    </row>
    <row r="179" spans="2:58" ht="15" customHeight="1">
      <c r="B179" s="87"/>
      <c r="E179" s="180">
        <v>34059</v>
      </c>
      <c r="G179" s="156" t="s">
        <v>657</v>
      </c>
      <c r="H179" s="145"/>
      <c r="I179" s="145">
        <f t="shared" si="24"/>
        <v>164.7001574224694</v>
      </c>
      <c r="J179" s="31" t="s">
        <v>54</v>
      </c>
      <c r="K179" s="145"/>
      <c r="L179" s="145"/>
      <c r="M179" s="145"/>
      <c r="N179" s="145">
        <f t="shared" si="25"/>
        <v>4.9459506733474301</v>
      </c>
      <c r="O179" s="145">
        <f t="shared" si="25"/>
        <v>4.9459506733474301</v>
      </c>
      <c r="P179" s="145">
        <f t="shared" si="25"/>
        <v>4.9459506733474301</v>
      </c>
      <c r="Q179" s="145">
        <f t="shared" si="25"/>
        <v>4.9459506733474301</v>
      </c>
      <c r="R179" s="145">
        <f t="shared" si="25"/>
        <v>4.9459506733474301</v>
      </c>
      <c r="S179" s="145">
        <f t="shared" si="25"/>
        <v>4.9459506733474301</v>
      </c>
      <c r="T179" s="145">
        <f t="shared" si="25"/>
        <v>4.9459506733474301</v>
      </c>
      <c r="U179" s="145">
        <f t="shared" si="25"/>
        <v>4.9459506733474301</v>
      </c>
      <c r="V179" s="145">
        <f t="shared" si="25"/>
        <v>4.9459506733474301</v>
      </c>
      <c r="W179" s="145">
        <f t="shared" si="25"/>
        <v>4.9459506733474301</v>
      </c>
      <c r="X179" s="145">
        <f t="shared" si="25"/>
        <v>4.9459506733474301</v>
      </c>
      <c r="Y179" s="145">
        <f t="shared" si="25"/>
        <v>4.9459506733474301</v>
      </c>
      <c r="Z179" s="145">
        <f t="shared" si="25"/>
        <v>4.9459506733474301</v>
      </c>
      <c r="AA179" s="145">
        <f t="shared" si="25"/>
        <v>11.085524109196037</v>
      </c>
      <c r="AB179" s="145">
        <f t="shared" si="25"/>
        <v>11.085524109196037</v>
      </c>
      <c r="AC179" s="145">
        <f t="shared" si="25"/>
        <v>11.085524109196037</v>
      </c>
      <c r="AD179" s="145">
        <f t="shared" si="25"/>
        <v>11.085524109196037</v>
      </c>
      <c r="AE179" s="145">
        <f t="shared" si="25"/>
        <v>11.085524109196037</v>
      </c>
      <c r="AF179" s="145">
        <f t="shared" si="25"/>
        <v>11.085524109196037</v>
      </c>
      <c r="AG179" s="145">
        <f t="shared" si="25"/>
        <v>11.085524109196037</v>
      </c>
      <c r="AH179" s="145">
        <f t="shared" si="25"/>
        <v>2.8505162380726241</v>
      </c>
      <c r="AI179" s="145">
        <f t="shared" si="25"/>
        <v>2.8505162380725673</v>
      </c>
      <c r="AJ179" s="145">
        <f t="shared" si="25"/>
        <v>2.8505162380725673</v>
      </c>
      <c r="AK179" s="145">
        <f t="shared" si="25"/>
        <v>2.8505162380725673</v>
      </c>
      <c r="AL179" s="145">
        <f t="shared" si="25"/>
        <v>2.8505162380725673</v>
      </c>
      <c r="AM179" s="145">
        <f t="shared" si="25"/>
        <v>2.8505162380725673</v>
      </c>
      <c r="AN179" s="145">
        <f t="shared" si="25"/>
        <v>2.8505162380725673</v>
      </c>
      <c r="AO179" s="145">
        <f t="shared" si="25"/>
        <v>2.8505162380725673</v>
      </c>
      <c r="AP179" s="145">
        <f t="shared" si="25"/>
        <v>0</v>
      </c>
      <c r="AQ179" s="145">
        <f t="shared" si="25"/>
        <v>0</v>
      </c>
      <c r="AR179" s="145">
        <f t="shared" si="26"/>
        <v>0</v>
      </c>
      <c r="AS179" s="145"/>
    </row>
    <row r="180" spans="2:58" ht="15" customHeight="1">
      <c r="B180" s="87"/>
      <c r="E180" s="180">
        <v>34424</v>
      </c>
      <c r="G180" s="156" t="s">
        <v>657</v>
      </c>
      <c r="H180" s="145"/>
      <c r="I180" s="145">
        <f t="shared" si="24"/>
        <v>196.13030907278159</v>
      </c>
      <c r="J180" s="31" t="s">
        <v>54</v>
      </c>
      <c r="K180" s="145"/>
      <c r="L180" s="145"/>
      <c r="M180" s="145"/>
      <c r="N180" s="145"/>
      <c r="O180" s="145">
        <f t="shared" si="25"/>
        <v>5.8897990712547026</v>
      </c>
      <c r="P180" s="145">
        <f t="shared" si="25"/>
        <v>5.8897990712547026</v>
      </c>
      <c r="Q180" s="145">
        <f t="shared" si="25"/>
        <v>5.8897990712547026</v>
      </c>
      <c r="R180" s="145">
        <f t="shared" si="25"/>
        <v>5.8897990712547026</v>
      </c>
      <c r="S180" s="145">
        <f t="shared" si="25"/>
        <v>5.8897990712547026</v>
      </c>
      <c r="T180" s="145">
        <f t="shared" si="25"/>
        <v>5.8897990712547026</v>
      </c>
      <c r="U180" s="145">
        <f t="shared" si="25"/>
        <v>5.8897990712547026</v>
      </c>
      <c r="V180" s="145">
        <f t="shared" si="25"/>
        <v>5.8897990712547026</v>
      </c>
      <c r="W180" s="145">
        <f t="shared" si="25"/>
        <v>5.8897990712547026</v>
      </c>
      <c r="X180" s="145">
        <f t="shared" si="25"/>
        <v>5.8897990712547026</v>
      </c>
      <c r="Y180" s="145">
        <f t="shared" si="25"/>
        <v>5.8897990712547026</v>
      </c>
      <c r="Z180" s="145">
        <f t="shared" si="25"/>
        <v>5.8897990712547026</v>
      </c>
      <c r="AA180" s="145">
        <f t="shared" si="25"/>
        <v>12.939888559546581</v>
      </c>
      <c r="AB180" s="145">
        <f t="shared" si="25"/>
        <v>12.939888559546581</v>
      </c>
      <c r="AC180" s="145">
        <f t="shared" si="25"/>
        <v>12.939888559546581</v>
      </c>
      <c r="AD180" s="145">
        <f t="shared" si="25"/>
        <v>12.939888559546581</v>
      </c>
      <c r="AE180" s="145">
        <f t="shared" si="25"/>
        <v>12.939888559546581</v>
      </c>
      <c r="AF180" s="145">
        <f t="shared" si="25"/>
        <v>12.939888559546581</v>
      </c>
      <c r="AG180" s="145">
        <f t="shared" si="25"/>
        <v>12.939888559546581</v>
      </c>
      <c r="AH180" s="145">
        <f t="shared" si="25"/>
        <v>12.939888559546581</v>
      </c>
      <c r="AI180" s="145">
        <f t="shared" si="25"/>
        <v>3.1333731059075594</v>
      </c>
      <c r="AJ180" s="145">
        <f t="shared" si="25"/>
        <v>3.1333731059075025</v>
      </c>
      <c r="AK180" s="145">
        <f t="shared" si="25"/>
        <v>3.1333731059075025</v>
      </c>
      <c r="AL180" s="145">
        <f t="shared" si="25"/>
        <v>3.1333731059075025</v>
      </c>
      <c r="AM180" s="145">
        <f t="shared" si="25"/>
        <v>3.1333731059075025</v>
      </c>
      <c r="AN180" s="145">
        <f t="shared" si="25"/>
        <v>3.1333731059075025</v>
      </c>
      <c r="AO180" s="145">
        <f t="shared" si="25"/>
        <v>3.1333731059075025</v>
      </c>
      <c r="AP180" s="145">
        <f t="shared" si="25"/>
        <v>0</v>
      </c>
      <c r="AQ180" s="145">
        <f t="shared" si="25"/>
        <v>0</v>
      </c>
      <c r="AR180" s="145">
        <f t="shared" si="26"/>
        <v>0</v>
      </c>
      <c r="AS180" s="145"/>
      <c r="AT180" s="145"/>
    </row>
    <row r="181" spans="2:58" ht="15" customHeight="1">
      <c r="B181" s="87"/>
      <c r="E181" s="180">
        <v>34789</v>
      </c>
      <c r="G181" s="156" t="s">
        <v>657</v>
      </c>
      <c r="H181" s="145"/>
      <c r="I181" s="145">
        <f t="shared" si="24"/>
        <v>190.89195046439625</v>
      </c>
      <c r="J181" s="31" t="s">
        <v>54</v>
      </c>
      <c r="K181" s="145"/>
      <c r="L181" s="145"/>
      <c r="M181" s="145"/>
      <c r="N181" s="145"/>
      <c r="O181" s="145"/>
      <c r="P181" s="145">
        <f t="shared" si="25"/>
        <v>5.7324910049368247</v>
      </c>
      <c r="Q181" s="145">
        <f t="shared" si="25"/>
        <v>5.7324910049368247</v>
      </c>
      <c r="R181" s="145">
        <f t="shared" si="25"/>
        <v>5.7324910049368247</v>
      </c>
      <c r="S181" s="145">
        <f t="shared" si="25"/>
        <v>5.7324910049368247</v>
      </c>
      <c r="T181" s="145">
        <f t="shared" si="25"/>
        <v>5.7324910049368247</v>
      </c>
      <c r="U181" s="145">
        <f t="shared" si="25"/>
        <v>5.7324910049368247</v>
      </c>
      <c r="V181" s="145">
        <f t="shared" si="25"/>
        <v>5.7324910049368247</v>
      </c>
      <c r="W181" s="145">
        <f t="shared" si="25"/>
        <v>5.7324910049368247</v>
      </c>
      <c r="X181" s="145">
        <f t="shared" si="25"/>
        <v>5.7324910049368247</v>
      </c>
      <c r="Y181" s="145">
        <f t="shared" si="25"/>
        <v>5.7324910049368247</v>
      </c>
      <c r="Z181" s="145">
        <f t="shared" si="25"/>
        <v>5.7324910049368247</v>
      </c>
      <c r="AA181" s="145">
        <f t="shared" si="25"/>
        <v>12.340142303294002</v>
      </c>
      <c r="AB181" s="145">
        <f t="shared" si="25"/>
        <v>12.340142303294002</v>
      </c>
      <c r="AC181" s="145">
        <f t="shared" si="25"/>
        <v>12.340142303294002</v>
      </c>
      <c r="AD181" s="145">
        <f t="shared" si="25"/>
        <v>12.340142303294002</v>
      </c>
      <c r="AE181" s="145">
        <f t="shared" si="25"/>
        <v>12.340142303294002</v>
      </c>
      <c r="AF181" s="145">
        <f t="shared" si="25"/>
        <v>12.340142303294002</v>
      </c>
      <c r="AG181" s="145">
        <f t="shared" si="25"/>
        <v>12.340142303294002</v>
      </c>
      <c r="AH181" s="145">
        <f t="shared" si="25"/>
        <v>12.340142303294002</v>
      </c>
      <c r="AI181" s="145">
        <f t="shared" si="25"/>
        <v>12.340142303294002</v>
      </c>
      <c r="AJ181" s="145">
        <f t="shared" si="25"/>
        <v>2.7955447800742461</v>
      </c>
      <c r="AK181" s="145">
        <f t="shared" si="25"/>
        <v>2.7955447800741893</v>
      </c>
      <c r="AL181" s="145">
        <f t="shared" si="25"/>
        <v>2.7955447800741893</v>
      </c>
      <c r="AM181" s="145">
        <f t="shared" si="25"/>
        <v>2.7955447800741893</v>
      </c>
      <c r="AN181" s="145">
        <f t="shared" si="25"/>
        <v>2.7955447800741893</v>
      </c>
      <c r="AO181" s="145">
        <f t="shared" si="25"/>
        <v>2.7955447800741893</v>
      </c>
      <c r="AP181" s="145">
        <f t="shared" si="25"/>
        <v>0</v>
      </c>
      <c r="AQ181" s="145">
        <f t="shared" si="25"/>
        <v>0</v>
      </c>
      <c r="AR181" s="145">
        <f t="shared" si="26"/>
        <v>0</v>
      </c>
      <c r="AS181" s="145"/>
      <c r="AT181" s="145"/>
      <c r="AU181" s="145"/>
    </row>
    <row r="182" spans="2:58" ht="15" customHeight="1">
      <c r="B182" s="87"/>
      <c r="E182" s="180">
        <v>35155</v>
      </c>
      <c r="G182" s="156" t="s">
        <v>657</v>
      </c>
      <c r="H182" s="145"/>
      <c r="I182" s="145">
        <f t="shared" si="24"/>
        <v>198.59541900613948</v>
      </c>
      <c r="J182" s="31" t="s">
        <v>54</v>
      </c>
      <c r="K182" s="145"/>
      <c r="L182" s="145"/>
      <c r="M182" s="145"/>
      <c r="N182" s="145"/>
      <c r="O182" s="145"/>
      <c r="P182" s="145"/>
      <c r="Q182" s="145">
        <f t="shared" si="25"/>
        <v>5.9638263965807656</v>
      </c>
      <c r="R182" s="145">
        <f t="shared" si="25"/>
        <v>5.9638263965807656</v>
      </c>
      <c r="S182" s="145">
        <f t="shared" si="25"/>
        <v>5.9638263965807656</v>
      </c>
      <c r="T182" s="145">
        <f t="shared" si="25"/>
        <v>5.9638263965807656</v>
      </c>
      <c r="U182" s="145">
        <f t="shared" si="25"/>
        <v>5.9638263965807656</v>
      </c>
      <c r="V182" s="145">
        <f t="shared" si="25"/>
        <v>5.9638263965807656</v>
      </c>
      <c r="W182" s="145">
        <f t="shared" si="25"/>
        <v>5.9638263965807656</v>
      </c>
      <c r="X182" s="145">
        <f t="shared" si="25"/>
        <v>5.9638263965807656</v>
      </c>
      <c r="Y182" s="145">
        <f t="shared" si="25"/>
        <v>5.9638263965807656</v>
      </c>
      <c r="Z182" s="145">
        <f t="shared" si="25"/>
        <v>5.9638263965807656</v>
      </c>
      <c r="AA182" s="145">
        <f t="shared" si="25"/>
        <v>12.573733986124447</v>
      </c>
      <c r="AB182" s="145">
        <f t="shared" si="25"/>
        <v>12.573733986124447</v>
      </c>
      <c r="AC182" s="145">
        <f t="shared" si="25"/>
        <v>12.573733986124447</v>
      </c>
      <c r="AD182" s="145">
        <f t="shared" si="25"/>
        <v>12.573733986124447</v>
      </c>
      <c r="AE182" s="145">
        <f t="shared" si="25"/>
        <v>12.573733986124447</v>
      </c>
      <c r="AF182" s="145">
        <f t="shared" si="25"/>
        <v>12.573733986124447</v>
      </c>
      <c r="AG182" s="145">
        <f t="shared" si="25"/>
        <v>12.573733986124447</v>
      </c>
      <c r="AH182" s="145">
        <f t="shared" si="25"/>
        <v>12.573733986124447</v>
      </c>
      <c r="AI182" s="145">
        <f t="shared" si="25"/>
        <v>12.573733986124447</v>
      </c>
      <c r="AJ182" s="145">
        <f t="shared" si="25"/>
        <v>12.573733986124347</v>
      </c>
      <c r="AK182" s="145">
        <f t="shared" si="25"/>
        <v>2.6439630358174728</v>
      </c>
      <c r="AL182" s="145">
        <f t="shared" si="25"/>
        <v>2.6439630358174728</v>
      </c>
      <c r="AM182" s="145">
        <f t="shared" si="25"/>
        <v>2.6439630358174728</v>
      </c>
      <c r="AN182" s="145">
        <f t="shared" si="25"/>
        <v>2.6439630358174728</v>
      </c>
      <c r="AO182" s="145">
        <f t="shared" si="25"/>
        <v>2.6439630358174728</v>
      </c>
      <c r="AP182" s="145">
        <f t="shared" si="25"/>
        <v>0</v>
      </c>
      <c r="AQ182" s="145">
        <f t="shared" si="25"/>
        <v>0</v>
      </c>
      <c r="AR182" s="145">
        <f t="shared" si="26"/>
        <v>0</v>
      </c>
      <c r="AS182" s="145"/>
      <c r="AT182" s="145"/>
      <c r="AU182" s="145"/>
      <c r="AV182" s="145"/>
    </row>
    <row r="183" spans="2:58" ht="15" customHeight="1">
      <c r="B183" s="87"/>
      <c r="E183" s="180">
        <v>35520</v>
      </c>
      <c r="G183" s="156" t="s">
        <v>657</v>
      </c>
      <c r="H183" s="145"/>
      <c r="I183" s="145">
        <f t="shared" si="24"/>
        <v>211.22910741459825</v>
      </c>
      <c r="J183" s="31" t="s">
        <v>54</v>
      </c>
      <c r="K183" s="145"/>
      <c r="L183" s="145"/>
      <c r="M183" s="145"/>
      <c r="N183" s="145"/>
      <c r="O183" s="145"/>
      <c r="P183" s="145"/>
      <c r="Q183" s="145"/>
      <c r="R183" s="145">
        <f t="shared" si="25"/>
        <v>6.3432164388768246</v>
      </c>
      <c r="S183" s="145">
        <f t="shared" si="25"/>
        <v>6.3432164388768246</v>
      </c>
      <c r="T183" s="145">
        <f t="shared" si="25"/>
        <v>6.3432164388768246</v>
      </c>
      <c r="U183" s="145">
        <f t="shared" si="25"/>
        <v>6.3432164388768246</v>
      </c>
      <c r="V183" s="145">
        <f t="shared" si="25"/>
        <v>6.3432164388768246</v>
      </c>
      <c r="W183" s="145">
        <f t="shared" si="25"/>
        <v>6.3432164388768246</v>
      </c>
      <c r="X183" s="145">
        <f t="shared" si="25"/>
        <v>6.3432164388768246</v>
      </c>
      <c r="Y183" s="145">
        <f t="shared" si="25"/>
        <v>6.3432164388768246</v>
      </c>
      <c r="Z183" s="145">
        <f t="shared" si="25"/>
        <v>6.3432164388768246</v>
      </c>
      <c r="AA183" s="145">
        <f t="shared" si="25"/>
        <v>13.092398729841769</v>
      </c>
      <c r="AB183" s="145">
        <f t="shared" si="25"/>
        <v>13.092398729841769</v>
      </c>
      <c r="AC183" s="145">
        <f t="shared" si="25"/>
        <v>13.092398729841769</v>
      </c>
      <c r="AD183" s="145">
        <f t="shared" si="25"/>
        <v>13.092398729841769</v>
      </c>
      <c r="AE183" s="145">
        <f t="shared" si="25"/>
        <v>13.092398729841769</v>
      </c>
      <c r="AF183" s="145">
        <f t="shared" si="25"/>
        <v>13.092398729841769</v>
      </c>
      <c r="AG183" s="145">
        <f t="shared" si="25"/>
        <v>13.092398729841769</v>
      </c>
      <c r="AH183" s="145">
        <f t="shared" si="25"/>
        <v>13.092398729841769</v>
      </c>
      <c r="AI183" s="145">
        <f t="shared" si="25"/>
        <v>13.092398729841769</v>
      </c>
      <c r="AJ183" s="145">
        <f t="shared" si="25"/>
        <v>13.092398729841769</v>
      </c>
      <c r="AK183" s="145">
        <f t="shared" si="25"/>
        <v>13.092398729841769</v>
      </c>
      <c r="AL183" s="145">
        <f t="shared" si="25"/>
        <v>2.5309433591118831</v>
      </c>
      <c r="AM183" s="145">
        <f t="shared" si="25"/>
        <v>2.5309433591118546</v>
      </c>
      <c r="AN183" s="145">
        <f t="shared" si="25"/>
        <v>2.5309433591118546</v>
      </c>
      <c r="AO183" s="145">
        <f t="shared" si="25"/>
        <v>2.5309433591118546</v>
      </c>
      <c r="AP183" s="145">
        <f t="shared" si="25"/>
        <v>0</v>
      </c>
      <c r="AQ183" s="145">
        <f t="shared" si="25"/>
        <v>0</v>
      </c>
      <c r="AR183" s="145">
        <f t="shared" si="26"/>
        <v>0</v>
      </c>
      <c r="AS183" s="145"/>
      <c r="AT183" s="145"/>
      <c r="AU183" s="145"/>
      <c r="AV183" s="145"/>
      <c r="AW183" s="145"/>
    </row>
    <row r="184" spans="2:58" ht="15" customHeight="1">
      <c r="B184" s="87"/>
      <c r="E184" s="180">
        <v>35885</v>
      </c>
      <c r="G184" s="156" t="s">
        <v>657</v>
      </c>
      <c r="H184" s="145"/>
      <c r="I184" s="145">
        <f t="shared" si="24"/>
        <v>194.74368473526786</v>
      </c>
      <c r="J184" s="31" t="s">
        <v>54</v>
      </c>
      <c r="K184" s="145"/>
      <c r="L184" s="145"/>
      <c r="M184" s="145"/>
      <c r="N184" s="145"/>
      <c r="O184" s="145"/>
      <c r="P184" s="145"/>
      <c r="Q184" s="145"/>
      <c r="R184" s="145"/>
      <c r="S184" s="145">
        <f t="shared" si="25"/>
        <v>5.8481587007587947</v>
      </c>
      <c r="T184" s="145">
        <f t="shared" si="25"/>
        <v>5.8481587007587947</v>
      </c>
      <c r="U184" s="145">
        <f t="shared" si="25"/>
        <v>5.8481587007587947</v>
      </c>
      <c r="V184" s="145">
        <f t="shared" si="25"/>
        <v>5.8481587007587947</v>
      </c>
      <c r="W184" s="145">
        <f t="shared" si="25"/>
        <v>5.8481587007587947</v>
      </c>
      <c r="X184" s="145">
        <f t="shared" si="25"/>
        <v>5.8481587007587947</v>
      </c>
      <c r="Y184" s="145">
        <f t="shared" si="25"/>
        <v>5.8481587007587947</v>
      </c>
      <c r="Z184" s="145">
        <f t="shared" si="25"/>
        <v>5.8481587007587947</v>
      </c>
      <c r="AA184" s="145">
        <f t="shared" si="25"/>
        <v>11.811331189299182</v>
      </c>
      <c r="AB184" s="145">
        <f t="shared" si="25"/>
        <v>11.811331189299182</v>
      </c>
      <c r="AC184" s="145">
        <f t="shared" si="25"/>
        <v>11.811331189299182</v>
      </c>
      <c r="AD184" s="145">
        <f t="shared" si="25"/>
        <v>11.811331189299182</v>
      </c>
      <c r="AE184" s="145">
        <f t="shared" si="25"/>
        <v>11.811331189299182</v>
      </c>
      <c r="AF184" s="145">
        <f t="shared" si="25"/>
        <v>11.811331189299182</v>
      </c>
      <c r="AG184" s="145">
        <f t="shared" si="25"/>
        <v>11.811331189299182</v>
      </c>
      <c r="AH184" s="145">
        <f t="shared" si="25"/>
        <v>11.811331189299182</v>
      </c>
      <c r="AI184" s="145">
        <f t="shared" si="25"/>
        <v>11.811331189299182</v>
      </c>
      <c r="AJ184" s="145">
        <f t="shared" si="25"/>
        <v>11.811331189299182</v>
      </c>
      <c r="AK184" s="145">
        <f t="shared" si="25"/>
        <v>11.811331189299182</v>
      </c>
      <c r="AL184" s="145">
        <f t="shared" si="25"/>
        <v>11.811331189299128</v>
      </c>
      <c r="AM184" s="145">
        <f t="shared" si="25"/>
        <v>2.074146952535787</v>
      </c>
      <c r="AN184" s="145">
        <f t="shared" si="25"/>
        <v>2.074146952535787</v>
      </c>
      <c r="AO184" s="145">
        <f t="shared" si="25"/>
        <v>2.074146952535787</v>
      </c>
      <c r="AP184" s="145">
        <f t="shared" si="25"/>
        <v>0</v>
      </c>
      <c r="AQ184" s="145">
        <f t="shared" si="25"/>
        <v>0</v>
      </c>
      <c r="AR184" s="145">
        <f t="shared" si="26"/>
        <v>0</v>
      </c>
      <c r="AS184" s="145"/>
      <c r="AT184" s="145"/>
      <c r="AU184" s="145"/>
      <c r="AV184" s="145"/>
      <c r="AW184" s="145"/>
      <c r="AX184" s="145"/>
    </row>
    <row r="185" spans="2:58" ht="15" customHeight="1">
      <c r="B185" s="87"/>
      <c r="E185" s="180">
        <v>36250</v>
      </c>
      <c r="G185" s="156" t="s">
        <v>657</v>
      </c>
      <c r="H185" s="145"/>
      <c r="I185" s="145">
        <f t="shared" si="24"/>
        <v>175.87346563991051</v>
      </c>
      <c r="J185" s="31" t="s">
        <v>54</v>
      </c>
      <c r="K185" s="145"/>
      <c r="L185" s="145"/>
      <c r="M185" s="145"/>
      <c r="N185" s="145"/>
      <c r="O185" s="145"/>
      <c r="P185" s="145"/>
      <c r="Q185" s="145"/>
      <c r="R185" s="145"/>
      <c r="S185" s="145"/>
      <c r="T185" s="145">
        <f t="shared" si="25"/>
        <v>5.2814854546519676</v>
      </c>
      <c r="U185" s="145">
        <f t="shared" si="25"/>
        <v>5.2814854546519676</v>
      </c>
      <c r="V185" s="145">
        <f t="shared" si="25"/>
        <v>5.2814854546519676</v>
      </c>
      <c r="W185" s="145">
        <f t="shared" si="25"/>
        <v>5.2814854546519676</v>
      </c>
      <c r="X185" s="145">
        <f t="shared" si="25"/>
        <v>5.2814854546519676</v>
      </c>
      <c r="Y185" s="145">
        <f t="shared" si="25"/>
        <v>5.2814854546519676</v>
      </c>
      <c r="Z185" s="145">
        <f t="shared" si="25"/>
        <v>5.2814854546519676</v>
      </c>
      <c r="AA185" s="145">
        <f t="shared" si="25"/>
        <v>10.432694268089186</v>
      </c>
      <c r="AB185" s="145">
        <f t="shared" si="25"/>
        <v>10.432694268089186</v>
      </c>
      <c r="AC185" s="145">
        <f t="shared" si="25"/>
        <v>10.432694268089186</v>
      </c>
      <c r="AD185" s="145">
        <f t="shared" si="25"/>
        <v>10.432694268089186</v>
      </c>
      <c r="AE185" s="145">
        <f t="shared" si="25"/>
        <v>10.432694268089186</v>
      </c>
      <c r="AF185" s="145">
        <f t="shared" si="25"/>
        <v>10.432694268089186</v>
      </c>
      <c r="AG185" s="145">
        <f t="shared" si="25"/>
        <v>10.432694268089186</v>
      </c>
      <c r="AH185" s="145">
        <f t="shared" si="25"/>
        <v>10.432694268089186</v>
      </c>
      <c r="AI185" s="145">
        <f t="shared" si="25"/>
        <v>10.432694268089186</v>
      </c>
      <c r="AJ185" s="145">
        <f t="shared" si="25"/>
        <v>10.432694268089186</v>
      </c>
      <c r="AK185" s="145">
        <f t="shared" si="25"/>
        <v>10.432694268089186</v>
      </c>
      <c r="AL185" s="145">
        <f t="shared" si="25"/>
        <v>10.432694268089186</v>
      </c>
      <c r="AM185" s="145">
        <f t="shared" si="25"/>
        <v>10.432694268089184</v>
      </c>
      <c r="AN185" s="145">
        <f t="shared" si="25"/>
        <v>1.6390209860936602</v>
      </c>
      <c r="AO185" s="145">
        <f t="shared" si="25"/>
        <v>1.6390209860936602</v>
      </c>
      <c r="AP185" s="145">
        <f t="shared" si="25"/>
        <v>0</v>
      </c>
      <c r="AQ185" s="145">
        <f t="shared" si="25"/>
        <v>0</v>
      </c>
      <c r="AR185" s="145">
        <f t="shared" si="26"/>
        <v>0</v>
      </c>
      <c r="AS185" s="145"/>
      <c r="AT185" s="145"/>
      <c r="AU185" s="145"/>
      <c r="AV185" s="145"/>
      <c r="AW185" s="145"/>
      <c r="AX185" s="145"/>
      <c r="AY185" s="145"/>
    </row>
    <row r="186" spans="2:58" ht="15" customHeight="1">
      <c r="B186" s="87"/>
      <c r="E186" s="180">
        <v>36616</v>
      </c>
      <c r="G186" s="156" t="s">
        <v>657</v>
      </c>
      <c r="H186" s="145"/>
      <c r="I186" s="145">
        <f t="shared" si="24"/>
        <v>147.08446047490233</v>
      </c>
      <c r="J186" s="31" t="s">
        <v>54</v>
      </c>
      <c r="K186" s="145"/>
      <c r="L186" s="145"/>
      <c r="M186" s="145"/>
      <c r="N186" s="145"/>
      <c r="O186" s="145"/>
      <c r="P186" s="145"/>
      <c r="Q186" s="145"/>
      <c r="R186" s="145"/>
      <c r="S186" s="145"/>
      <c r="T186" s="145"/>
      <c r="U186" s="145">
        <f t="shared" si="25"/>
        <v>4.4169507650120821</v>
      </c>
      <c r="V186" s="145">
        <f t="shared" si="25"/>
        <v>4.4169507650120821</v>
      </c>
      <c r="W186" s="145">
        <f t="shared" si="25"/>
        <v>4.4169507650120821</v>
      </c>
      <c r="X186" s="145">
        <f t="shared" ref="X186:AR186" si="27">(X$83 * X97) + (X$38 * X52) + X148</f>
        <v>4.4169507650120821</v>
      </c>
      <c r="Y186" s="145">
        <f t="shared" si="27"/>
        <v>4.4169507650120821</v>
      </c>
      <c r="Z186" s="145">
        <f t="shared" si="27"/>
        <v>4.4169507650120821</v>
      </c>
      <c r="AA186" s="145">
        <f t="shared" si="27"/>
        <v>8.5291319272383301</v>
      </c>
      <c r="AB186" s="145">
        <f t="shared" si="27"/>
        <v>8.5291319272383301</v>
      </c>
      <c r="AC186" s="145">
        <f t="shared" si="27"/>
        <v>8.5291319272383301</v>
      </c>
      <c r="AD186" s="145">
        <f t="shared" si="27"/>
        <v>8.5291319272383301</v>
      </c>
      <c r="AE186" s="145">
        <f t="shared" si="27"/>
        <v>8.5291319272383301</v>
      </c>
      <c r="AF186" s="145">
        <f t="shared" si="27"/>
        <v>8.5291319272383301</v>
      </c>
      <c r="AG186" s="145">
        <f t="shared" si="27"/>
        <v>8.5291319272383301</v>
      </c>
      <c r="AH186" s="145">
        <f t="shared" si="27"/>
        <v>8.5291319272383301</v>
      </c>
      <c r="AI186" s="145">
        <f t="shared" si="27"/>
        <v>8.5291319272383301</v>
      </c>
      <c r="AJ186" s="145">
        <f t="shared" si="27"/>
        <v>8.5291319272383301</v>
      </c>
      <c r="AK186" s="145">
        <f t="shared" si="27"/>
        <v>8.5291319272383301</v>
      </c>
      <c r="AL186" s="145">
        <f t="shared" si="27"/>
        <v>8.5291319272383301</v>
      </c>
      <c r="AM186" s="145">
        <f t="shared" si="27"/>
        <v>8.5291319272383301</v>
      </c>
      <c r="AN186" s="145">
        <f t="shared" si="27"/>
        <v>8.5291319272383195</v>
      </c>
      <c r="AO186" s="145">
        <f t="shared" si="27"/>
        <v>1.1749089034932136</v>
      </c>
      <c r="AP186" s="145">
        <f t="shared" si="27"/>
        <v>0</v>
      </c>
      <c r="AQ186" s="145">
        <f t="shared" si="27"/>
        <v>0</v>
      </c>
      <c r="AR186" s="145">
        <f t="shared" si="27"/>
        <v>0</v>
      </c>
      <c r="AS186" s="145"/>
      <c r="AT186" s="145"/>
      <c r="AU186" s="145"/>
      <c r="AV186" s="145"/>
      <c r="AW186" s="145"/>
      <c r="AX186" s="145"/>
      <c r="AY186" s="145"/>
      <c r="AZ186" s="145"/>
    </row>
    <row r="187" spans="2:58" ht="15" customHeight="1">
      <c r="B187" s="87"/>
      <c r="E187" s="180">
        <v>36981</v>
      </c>
      <c r="G187" s="156" t="s">
        <v>657</v>
      </c>
      <c r="H187" s="145"/>
      <c r="I187" s="145">
        <f t="shared" si="24"/>
        <v>125.97832883611149</v>
      </c>
      <c r="J187" s="31" t="s">
        <v>54</v>
      </c>
      <c r="K187" s="145"/>
      <c r="L187" s="145"/>
      <c r="M187" s="145"/>
      <c r="N187" s="145"/>
      <c r="O187" s="145"/>
      <c r="P187" s="145"/>
      <c r="Q187" s="145"/>
      <c r="R187" s="145"/>
      <c r="S187" s="145"/>
      <c r="T187" s="145"/>
      <c r="U187" s="145"/>
      <c r="V187" s="145">
        <f t="shared" ref="V187:AR196" si="28">(V$83 * V98) + (V$38 * V53) + V149</f>
        <v>3.7831329980814266</v>
      </c>
      <c r="W187" s="145">
        <f t="shared" si="28"/>
        <v>3.7831329980814266</v>
      </c>
      <c r="X187" s="145">
        <f t="shared" si="28"/>
        <v>3.7831329980814266</v>
      </c>
      <c r="Y187" s="145">
        <f t="shared" si="28"/>
        <v>3.7831329980814266</v>
      </c>
      <c r="Z187" s="145">
        <f t="shared" si="28"/>
        <v>3.7831329980814266</v>
      </c>
      <c r="AA187" s="145">
        <f t="shared" si="28"/>
        <v>7.1375109230469569</v>
      </c>
      <c r="AB187" s="145">
        <f t="shared" si="28"/>
        <v>7.1375109230469569</v>
      </c>
      <c r="AC187" s="145">
        <f t="shared" si="28"/>
        <v>7.1375109230469569</v>
      </c>
      <c r="AD187" s="145">
        <f t="shared" si="28"/>
        <v>7.1375109230469569</v>
      </c>
      <c r="AE187" s="145">
        <f t="shared" si="28"/>
        <v>7.1375109230469569</v>
      </c>
      <c r="AF187" s="145">
        <f t="shared" si="28"/>
        <v>7.1375109230469569</v>
      </c>
      <c r="AG187" s="145">
        <f t="shared" si="28"/>
        <v>7.1375109230469569</v>
      </c>
      <c r="AH187" s="145">
        <f t="shared" si="28"/>
        <v>7.1375109230469569</v>
      </c>
      <c r="AI187" s="145">
        <f t="shared" si="28"/>
        <v>7.1375109230469569</v>
      </c>
      <c r="AJ187" s="145">
        <f t="shared" si="28"/>
        <v>7.1375109230469569</v>
      </c>
      <c r="AK187" s="145">
        <f t="shared" si="28"/>
        <v>7.1375109230469569</v>
      </c>
      <c r="AL187" s="145">
        <f t="shared" si="28"/>
        <v>7.1375109230469569</v>
      </c>
      <c r="AM187" s="145">
        <f t="shared" si="28"/>
        <v>7.1375109230469569</v>
      </c>
      <c r="AN187" s="145">
        <f t="shared" si="28"/>
        <v>7.1375109230469569</v>
      </c>
      <c r="AO187" s="145">
        <f>(AO$83 * AO98) + (AO$38 * AO53) + AO149</f>
        <v>7.137510923046956</v>
      </c>
      <c r="AP187" s="145">
        <f>(AP$83 * AP98) + (AP$38 * AP53) + AP149</f>
        <v>0</v>
      </c>
      <c r="AQ187" s="145">
        <f t="shared" si="28"/>
        <v>0</v>
      </c>
      <c r="AR187" s="145">
        <f t="shared" si="28"/>
        <v>0</v>
      </c>
      <c r="AS187" s="145"/>
      <c r="AT187" s="145"/>
      <c r="AU187" s="145"/>
      <c r="AV187" s="145"/>
      <c r="AW187" s="145"/>
      <c r="AX187" s="145"/>
      <c r="AY187" s="145"/>
      <c r="AZ187" s="145"/>
      <c r="BA187" s="145"/>
    </row>
    <row r="188" spans="2:58" ht="15" customHeight="1">
      <c r="B188" s="87"/>
      <c r="E188" s="180">
        <v>37346</v>
      </c>
      <c r="G188" s="156" t="s">
        <v>657</v>
      </c>
      <c r="H188" s="145"/>
      <c r="I188" s="145">
        <f t="shared" si="24"/>
        <v>130.80244427294289</v>
      </c>
      <c r="J188" s="31" t="s">
        <v>54</v>
      </c>
      <c r="K188" s="145"/>
      <c r="L188" s="145"/>
      <c r="M188" s="145"/>
      <c r="N188" s="145"/>
      <c r="O188" s="145"/>
      <c r="P188" s="145"/>
      <c r="Q188" s="145"/>
      <c r="R188" s="145"/>
      <c r="S188" s="145"/>
      <c r="T188" s="145"/>
      <c r="U188" s="145"/>
      <c r="V188" s="145"/>
      <c r="W188" s="145">
        <f t="shared" si="28"/>
        <v>3.9280013295178051</v>
      </c>
      <c r="X188" s="145">
        <f t="shared" si="28"/>
        <v>3.9280013295178051</v>
      </c>
      <c r="Y188" s="145">
        <f t="shared" si="28"/>
        <v>3.9280013295178051</v>
      </c>
      <c r="Z188" s="145">
        <f t="shared" si="28"/>
        <v>3.9280013295178051</v>
      </c>
      <c r="AA188" s="145">
        <f t="shared" si="28"/>
        <v>7.2366877827483016</v>
      </c>
      <c r="AB188" s="145">
        <f t="shared" si="28"/>
        <v>7.2366877827483016</v>
      </c>
      <c r="AC188" s="145">
        <f t="shared" si="28"/>
        <v>7.2366877827483016</v>
      </c>
      <c r="AD188" s="145">
        <f t="shared" si="28"/>
        <v>7.2366877827483016</v>
      </c>
      <c r="AE188" s="145">
        <f t="shared" si="28"/>
        <v>7.2366877827483016</v>
      </c>
      <c r="AF188" s="145">
        <f t="shared" si="28"/>
        <v>7.2366877827483016</v>
      </c>
      <c r="AG188" s="145">
        <f t="shared" si="28"/>
        <v>7.2366877827483016</v>
      </c>
      <c r="AH188" s="145">
        <f t="shared" si="28"/>
        <v>7.2366877827483016</v>
      </c>
      <c r="AI188" s="145">
        <f t="shared" si="28"/>
        <v>7.2366877827483016</v>
      </c>
      <c r="AJ188" s="145">
        <f t="shared" si="28"/>
        <v>7.2366877827483016</v>
      </c>
      <c r="AK188" s="145">
        <f t="shared" si="28"/>
        <v>7.2366877827483016</v>
      </c>
      <c r="AL188" s="145">
        <f t="shared" si="28"/>
        <v>7.2366877827483016</v>
      </c>
      <c r="AM188" s="145">
        <f t="shared" si="28"/>
        <v>7.2366877827483016</v>
      </c>
      <c r="AN188" s="145">
        <f t="shared" si="28"/>
        <v>7.2366877827483016</v>
      </c>
      <c r="AO188" s="145">
        <f t="shared" si="28"/>
        <v>7.2366877827483016</v>
      </c>
      <c r="AP188" s="145">
        <f t="shared" si="28"/>
        <v>6.5401222136470949</v>
      </c>
      <c r="AQ188" s="145">
        <f t="shared" si="28"/>
        <v>0</v>
      </c>
      <c r="AR188" s="145">
        <f t="shared" si="28"/>
        <v>0</v>
      </c>
      <c r="AS188" s="145"/>
      <c r="AT188" s="145"/>
      <c r="AU188" s="145"/>
      <c r="AV188" s="145"/>
      <c r="AW188" s="145"/>
      <c r="AX188" s="145"/>
      <c r="AY188" s="145"/>
      <c r="AZ188" s="145"/>
      <c r="BA188" s="145"/>
      <c r="BB188" s="145"/>
    </row>
    <row r="189" spans="2:58" ht="15" customHeight="1">
      <c r="B189" s="87"/>
      <c r="E189" s="180">
        <v>37711</v>
      </c>
      <c r="G189" s="156" t="s">
        <v>657</v>
      </c>
      <c r="H189" s="145"/>
      <c r="I189" s="145">
        <f t="shared" si="24"/>
        <v>110.541159438251</v>
      </c>
      <c r="J189" s="31" t="s">
        <v>54</v>
      </c>
      <c r="K189" s="145"/>
      <c r="L189" s="145"/>
      <c r="M189" s="145"/>
      <c r="N189" s="145"/>
      <c r="O189" s="145"/>
      <c r="P189" s="145"/>
      <c r="Q189" s="145"/>
      <c r="R189" s="145"/>
      <c r="S189" s="145"/>
      <c r="T189" s="145"/>
      <c r="U189" s="145"/>
      <c r="V189" s="145"/>
      <c r="W189" s="145"/>
      <c r="X189" s="145">
        <f t="shared" si="28"/>
        <v>3.3195543374850152</v>
      </c>
      <c r="Y189" s="145">
        <f t="shared" si="28"/>
        <v>3.3195543374850152</v>
      </c>
      <c r="Z189" s="145">
        <f t="shared" si="28"/>
        <v>3.3195543374850152</v>
      </c>
      <c r="AA189" s="145">
        <f t="shared" si="28"/>
        <v>5.9685586987980566</v>
      </c>
      <c r="AB189" s="145">
        <f t="shared" si="28"/>
        <v>5.9685586987980566</v>
      </c>
      <c r="AC189" s="145">
        <f t="shared" si="28"/>
        <v>5.9685586987980566</v>
      </c>
      <c r="AD189" s="145">
        <f t="shared" si="28"/>
        <v>5.9685586987980566</v>
      </c>
      <c r="AE189" s="145">
        <f t="shared" si="28"/>
        <v>5.9685586987980566</v>
      </c>
      <c r="AF189" s="145">
        <f t="shared" si="28"/>
        <v>5.9685586987980566</v>
      </c>
      <c r="AG189" s="145">
        <f t="shared" si="28"/>
        <v>5.9685586987980566</v>
      </c>
      <c r="AH189" s="145">
        <f t="shared" si="28"/>
        <v>5.9685586987980566</v>
      </c>
      <c r="AI189" s="145">
        <f t="shared" si="28"/>
        <v>5.9685586987980566</v>
      </c>
      <c r="AJ189" s="145">
        <f t="shared" si="28"/>
        <v>5.9685586987980566</v>
      </c>
      <c r="AK189" s="145">
        <f t="shared" si="28"/>
        <v>5.9685586987980566</v>
      </c>
      <c r="AL189" s="145">
        <f t="shared" si="28"/>
        <v>5.9685586987980566</v>
      </c>
      <c r="AM189" s="145">
        <f t="shared" si="28"/>
        <v>5.9685586987980566</v>
      </c>
      <c r="AN189" s="145">
        <f t="shared" si="28"/>
        <v>5.9685586987980566</v>
      </c>
      <c r="AO189" s="145">
        <f t="shared" si="28"/>
        <v>5.9685586987980566</v>
      </c>
      <c r="AP189" s="145">
        <f t="shared" si="28"/>
        <v>5.5270579719125497</v>
      </c>
      <c r="AQ189" s="145">
        <f t="shared" si="28"/>
        <v>5.5270579719125266</v>
      </c>
      <c r="AR189" s="145">
        <f t="shared" si="28"/>
        <v>0</v>
      </c>
      <c r="AS189" s="145"/>
      <c r="AT189" s="145"/>
      <c r="AU189" s="145"/>
      <c r="AV189" s="145"/>
      <c r="AW189" s="145"/>
      <c r="AX189" s="145"/>
      <c r="AY189" s="145"/>
      <c r="AZ189" s="145"/>
      <c r="BA189" s="145"/>
      <c r="BB189" s="145"/>
      <c r="BC189" s="145"/>
    </row>
    <row r="190" spans="2:58" ht="15" customHeight="1">
      <c r="B190" s="87"/>
      <c r="E190" s="180">
        <v>38077</v>
      </c>
      <c r="G190" s="156" t="s">
        <v>657</v>
      </c>
      <c r="H190" s="145"/>
      <c r="I190" s="145">
        <f t="shared" si="24"/>
        <v>125.77347581860529</v>
      </c>
      <c r="J190" s="31" t="s">
        <v>54</v>
      </c>
      <c r="K190" s="145"/>
      <c r="L190" s="145"/>
      <c r="M190" s="145"/>
      <c r="N190" s="145"/>
      <c r="O190" s="145"/>
      <c r="P190" s="145"/>
      <c r="Q190" s="145"/>
      <c r="R190" s="145"/>
      <c r="S190" s="145"/>
      <c r="T190" s="145"/>
      <c r="U190" s="145"/>
      <c r="V190" s="145"/>
      <c r="W190" s="145"/>
      <c r="X190" s="145"/>
      <c r="Y190" s="145">
        <f t="shared" si="28"/>
        <v>3.7769812558139733</v>
      </c>
      <c r="Z190" s="145">
        <f t="shared" si="28"/>
        <v>3.7769812558139733</v>
      </c>
      <c r="AA190" s="145">
        <f t="shared" si="28"/>
        <v>6.6235661289457699</v>
      </c>
      <c r="AB190" s="145">
        <f t="shared" si="28"/>
        <v>6.6235661289457699</v>
      </c>
      <c r="AC190" s="145">
        <f t="shared" si="28"/>
        <v>6.6235661289457699</v>
      </c>
      <c r="AD190" s="145">
        <f t="shared" si="28"/>
        <v>6.6235661289457699</v>
      </c>
      <c r="AE190" s="145">
        <f t="shared" si="28"/>
        <v>6.6235661289457699</v>
      </c>
      <c r="AF190" s="145">
        <f t="shared" si="28"/>
        <v>6.6235661289457699</v>
      </c>
      <c r="AG190" s="145">
        <f t="shared" si="28"/>
        <v>6.6235661289457699</v>
      </c>
      <c r="AH190" s="145">
        <f t="shared" si="28"/>
        <v>6.6235661289457699</v>
      </c>
      <c r="AI190" s="145">
        <f t="shared" si="28"/>
        <v>6.6235661289457699</v>
      </c>
      <c r="AJ190" s="145">
        <f t="shared" si="28"/>
        <v>6.6235661289457699</v>
      </c>
      <c r="AK190" s="145">
        <f t="shared" si="28"/>
        <v>6.6235661289457699</v>
      </c>
      <c r="AL190" s="145">
        <f t="shared" si="28"/>
        <v>6.6235661289457699</v>
      </c>
      <c r="AM190" s="145">
        <f t="shared" si="28"/>
        <v>6.6235661289457699</v>
      </c>
      <c r="AN190" s="145">
        <f t="shared" si="28"/>
        <v>6.6235661289457699</v>
      </c>
      <c r="AO190" s="145">
        <f t="shared" si="28"/>
        <v>6.6235661289457699</v>
      </c>
      <c r="AP190" s="145">
        <f t="shared" si="28"/>
        <v>6.2886737909302646</v>
      </c>
      <c r="AQ190" s="145">
        <f t="shared" si="28"/>
        <v>6.2886737909302646</v>
      </c>
      <c r="AR190" s="145">
        <f t="shared" si="28"/>
        <v>0</v>
      </c>
      <c r="AS190" s="145"/>
      <c r="AT190" s="145"/>
      <c r="AU190" s="145"/>
      <c r="AV190" s="145"/>
      <c r="AW190" s="145"/>
      <c r="AX190" s="145"/>
      <c r="AY190" s="145"/>
      <c r="AZ190" s="145"/>
      <c r="BA190" s="145"/>
      <c r="BB190" s="145"/>
      <c r="BC190" s="145"/>
      <c r="BD190" s="145"/>
    </row>
    <row r="191" spans="2:58" ht="15" customHeight="1">
      <c r="B191" s="87"/>
      <c r="E191" s="180">
        <v>38442</v>
      </c>
      <c r="G191" s="156" t="s">
        <v>657</v>
      </c>
      <c r="H191" s="145"/>
      <c r="I191" s="145">
        <f t="shared" si="24"/>
        <v>136.48520298735869</v>
      </c>
      <c r="J191" s="31" t="s">
        <v>54</v>
      </c>
      <c r="K191" s="145"/>
      <c r="L191" s="145"/>
      <c r="M191" s="145"/>
      <c r="N191" s="145"/>
      <c r="O191" s="145"/>
      <c r="P191" s="145"/>
      <c r="Q191" s="145"/>
      <c r="R191" s="145"/>
      <c r="S191" s="145"/>
      <c r="T191" s="145"/>
      <c r="U191" s="145"/>
      <c r="V191" s="145"/>
      <c r="W191" s="145"/>
      <c r="X191" s="145"/>
      <c r="Y191" s="145"/>
      <c r="Z191" s="145">
        <f t="shared" si="28"/>
        <v>4.0986547443651258</v>
      </c>
      <c r="AA191" s="145">
        <f t="shared" si="28"/>
        <v>7.0059671763681219</v>
      </c>
      <c r="AB191" s="145">
        <f t="shared" si="28"/>
        <v>7.0059671763681219</v>
      </c>
      <c r="AC191" s="145">
        <f t="shared" si="28"/>
        <v>7.0059671763681219</v>
      </c>
      <c r="AD191" s="145">
        <f t="shared" si="28"/>
        <v>7.0059671763681219</v>
      </c>
      <c r="AE191" s="145">
        <f t="shared" si="28"/>
        <v>7.0059671763681219</v>
      </c>
      <c r="AF191" s="145">
        <f t="shared" si="28"/>
        <v>7.0059671763681219</v>
      </c>
      <c r="AG191" s="145">
        <f t="shared" si="28"/>
        <v>7.0059671763681219</v>
      </c>
      <c r="AH191" s="145">
        <f t="shared" si="28"/>
        <v>7.0059671763681219</v>
      </c>
      <c r="AI191" s="145">
        <f t="shared" si="28"/>
        <v>7.0059671763681219</v>
      </c>
      <c r="AJ191" s="145">
        <f t="shared" si="28"/>
        <v>7.0059671763681219</v>
      </c>
      <c r="AK191" s="145">
        <f t="shared" si="28"/>
        <v>7.0059671763681219</v>
      </c>
      <c r="AL191" s="145">
        <f t="shared" si="28"/>
        <v>7.0059671763681219</v>
      </c>
      <c r="AM191" s="145">
        <f t="shared" si="28"/>
        <v>7.0059671763681219</v>
      </c>
      <c r="AN191" s="145">
        <f t="shared" si="28"/>
        <v>7.0059671763681219</v>
      </c>
      <c r="AO191" s="145">
        <f t="shared" si="28"/>
        <v>7.0059671763681219</v>
      </c>
      <c r="AP191" s="145">
        <f t="shared" si="28"/>
        <v>6.8242601493679347</v>
      </c>
      <c r="AQ191" s="145">
        <f t="shared" si="28"/>
        <v>6.8242601493679347</v>
      </c>
      <c r="AR191" s="145">
        <f t="shared" si="28"/>
        <v>0</v>
      </c>
      <c r="AS191" s="145"/>
      <c r="AT191" s="145"/>
      <c r="AU191" s="145"/>
      <c r="AV191" s="145"/>
      <c r="AW191" s="145"/>
      <c r="AX191" s="145"/>
      <c r="AY191" s="145"/>
      <c r="AZ191" s="145"/>
      <c r="BA191" s="145"/>
      <c r="BB191" s="145"/>
      <c r="BC191" s="145"/>
      <c r="BD191" s="145"/>
      <c r="BE191" s="145"/>
    </row>
    <row r="192" spans="2:58" ht="15" customHeight="1">
      <c r="B192" s="87"/>
      <c r="E192" s="180">
        <v>38807</v>
      </c>
      <c r="G192" s="156" t="s">
        <v>657</v>
      </c>
      <c r="H192" s="145"/>
      <c r="I192" s="145">
        <f t="shared" si="24"/>
        <v>133.16539216595041</v>
      </c>
      <c r="J192" s="31" t="s">
        <v>54</v>
      </c>
      <c r="K192" s="145"/>
      <c r="L192" s="145"/>
      <c r="M192" s="145"/>
      <c r="N192" s="145"/>
      <c r="O192" s="145"/>
      <c r="P192" s="145"/>
      <c r="Q192" s="145"/>
      <c r="R192" s="145"/>
      <c r="S192" s="145"/>
      <c r="T192" s="145"/>
      <c r="U192" s="145"/>
      <c r="V192" s="145"/>
      <c r="W192" s="145"/>
      <c r="X192" s="145"/>
      <c r="Y192" s="145"/>
      <c r="Z192" s="145"/>
      <c r="AA192" s="145">
        <f t="shared" si="28"/>
        <v>6.6582696082975206</v>
      </c>
      <c r="AB192" s="145">
        <f t="shared" si="28"/>
        <v>6.6582696082975206</v>
      </c>
      <c r="AC192" s="145">
        <f t="shared" si="28"/>
        <v>6.6582696082975206</v>
      </c>
      <c r="AD192" s="145">
        <f t="shared" si="28"/>
        <v>6.6582696082975206</v>
      </c>
      <c r="AE192" s="145">
        <f t="shared" si="28"/>
        <v>6.6582696082975206</v>
      </c>
      <c r="AF192" s="145">
        <f t="shared" si="28"/>
        <v>6.6582696082975206</v>
      </c>
      <c r="AG192" s="145">
        <f t="shared" si="28"/>
        <v>6.6582696082975206</v>
      </c>
      <c r="AH192" s="145">
        <f t="shared" si="28"/>
        <v>6.6582696082975206</v>
      </c>
      <c r="AI192" s="145">
        <f t="shared" si="28"/>
        <v>6.6582696082975206</v>
      </c>
      <c r="AJ192" s="145">
        <f t="shared" si="28"/>
        <v>6.6582696082975206</v>
      </c>
      <c r="AK192" s="145">
        <f t="shared" si="28"/>
        <v>6.6582696082975206</v>
      </c>
      <c r="AL192" s="145">
        <f t="shared" si="28"/>
        <v>6.6582696082975206</v>
      </c>
      <c r="AM192" s="145">
        <f t="shared" si="28"/>
        <v>6.6582696082975206</v>
      </c>
      <c r="AN192" s="145">
        <f t="shared" si="28"/>
        <v>6.6582696082975206</v>
      </c>
      <c r="AO192" s="145">
        <f t="shared" si="28"/>
        <v>6.6582696082975206</v>
      </c>
      <c r="AP192" s="145">
        <f t="shared" si="28"/>
        <v>6.6582696082975206</v>
      </c>
      <c r="AQ192" s="145">
        <f t="shared" si="28"/>
        <v>6.6582696082975206</v>
      </c>
      <c r="AR192" s="145">
        <f t="shared" si="28"/>
        <v>0</v>
      </c>
      <c r="AS192" s="145"/>
      <c r="AT192" s="145"/>
      <c r="AU192" s="145"/>
      <c r="AV192" s="145"/>
      <c r="AW192" s="145"/>
      <c r="AX192" s="145"/>
      <c r="AY192" s="145"/>
      <c r="AZ192" s="145"/>
      <c r="BA192" s="145"/>
      <c r="BB192" s="145"/>
      <c r="BC192" s="145"/>
      <c r="BD192" s="145"/>
      <c r="BE192" s="145"/>
      <c r="BF192" s="145"/>
    </row>
    <row r="193" spans="2:74" ht="15" customHeight="1">
      <c r="B193" s="87"/>
      <c r="E193" s="180">
        <v>39172</v>
      </c>
      <c r="G193" s="156" t="s">
        <v>657</v>
      </c>
      <c r="H193" s="145"/>
      <c r="I193" s="145">
        <f t="shared" si="24"/>
        <v>138.99996854980139</v>
      </c>
      <c r="J193" s="31" t="s">
        <v>54</v>
      </c>
      <c r="K193" s="145"/>
      <c r="L193" s="145"/>
      <c r="M193" s="145"/>
      <c r="N193" s="145"/>
      <c r="O193" s="145"/>
      <c r="P193" s="145"/>
      <c r="Q193" s="145"/>
      <c r="R193" s="145"/>
      <c r="S193" s="145"/>
      <c r="T193" s="145"/>
      <c r="U193" s="145"/>
      <c r="V193" s="145"/>
      <c r="W193" s="145"/>
      <c r="X193" s="145"/>
      <c r="Y193" s="145"/>
      <c r="Z193" s="145"/>
      <c r="AA193" s="145"/>
      <c r="AB193" s="145">
        <f t="shared" si="28"/>
        <v>6.9499984274900699</v>
      </c>
      <c r="AC193" s="145">
        <f t="shared" si="28"/>
        <v>6.9499984274900699</v>
      </c>
      <c r="AD193" s="145">
        <f t="shared" si="28"/>
        <v>6.9499984274900699</v>
      </c>
      <c r="AE193" s="145">
        <f t="shared" si="28"/>
        <v>6.9499984274900699</v>
      </c>
      <c r="AF193" s="145">
        <f t="shared" si="28"/>
        <v>6.9499984274900699</v>
      </c>
      <c r="AG193" s="145">
        <f t="shared" si="28"/>
        <v>6.9499984274900699</v>
      </c>
      <c r="AH193" s="145">
        <f t="shared" si="28"/>
        <v>6.9499984274900699</v>
      </c>
      <c r="AI193" s="145">
        <f t="shared" si="28"/>
        <v>6.9499984274900699</v>
      </c>
      <c r="AJ193" s="145">
        <f t="shared" si="28"/>
        <v>6.9499984274900699</v>
      </c>
      <c r="AK193" s="145">
        <f t="shared" si="28"/>
        <v>6.9499984274900699</v>
      </c>
      <c r="AL193" s="145">
        <f t="shared" si="28"/>
        <v>6.9499984274900699</v>
      </c>
      <c r="AM193" s="145">
        <f t="shared" si="28"/>
        <v>6.9499984274900699</v>
      </c>
      <c r="AN193" s="145">
        <f t="shared" si="28"/>
        <v>6.9499984274900699</v>
      </c>
      <c r="AO193" s="145">
        <f t="shared" si="28"/>
        <v>6.9499984274900699</v>
      </c>
      <c r="AP193" s="145">
        <f t="shared" si="28"/>
        <v>6.9499984274900699</v>
      </c>
      <c r="AQ193" s="145">
        <f t="shared" si="28"/>
        <v>6.9499984274900699</v>
      </c>
      <c r="AR193" s="145">
        <f t="shared" si="28"/>
        <v>0</v>
      </c>
      <c r="AS193" s="145"/>
      <c r="AT193" s="145"/>
      <c r="AU193" s="145"/>
      <c r="AV193" s="145"/>
      <c r="AW193" s="145"/>
      <c r="AX193" s="145"/>
      <c r="AY193" s="145"/>
      <c r="AZ193" s="145"/>
      <c r="BA193" s="145"/>
      <c r="BB193" s="145"/>
      <c r="BC193" s="145"/>
      <c r="BD193" s="145"/>
      <c r="BE193" s="145"/>
      <c r="BF193" s="145"/>
      <c r="BG193" s="145"/>
    </row>
    <row r="194" spans="2:74" ht="15" customHeight="1">
      <c r="B194" s="87"/>
      <c r="E194" s="180">
        <v>39538</v>
      </c>
      <c r="G194" s="156" t="s">
        <v>657</v>
      </c>
      <c r="H194" s="145"/>
      <c r="I194" s="145">
        <f t="shared" si="24"/>
        <v>166.44661556524062</v>
      </c>
      <c r="J194" s="31" t="s">
        <v>54</v>
      </c>
      <c r="K194" s="145"/>
      <c r="L194" s="145"/>
      <c r="M194" s="145"/>
      <c r="N194" s="145"/>
      <c r="O194" s="145"/>
      <c r="P194" s="145"/>
      <c r="Q194" s="145"/>
      <c r="R194" s="145"/>
      <c r="S194" s="145"/>
      <c r="T194" s="145"/>
      <c r="U194" s="145"/>
      <c r="V194" s="145"/>
      <c r="W194" s="145"/>
      <c r="X194" s="145"/>
      <c r="Y194" s="145"/>
      <c r="Z194" s="145"/>
      <c r="AA194" s="145"/>
      <c r="AB194" s="145"/>
      <c r="AC194" s="145">
        <f t="shared" si="28"/>
        <v>8.3223307782620317</v>
      </c>
      <c r="AD194" s="145">
        <f t="shared" si="28"/>
        <v>8.3223307782620317</v>
      </c>
      <c r="AE194" s="145">
        <f t="shared" si="28"/>
        <v>8.3223307782620317</v>
      </c>
      <c r="AF194" s="145">
        <f t="shared" si="28"/>
        <v>8.3223307782620317</v>
      </c>
      <c r="AG194" s="145">
        <f t="shared" si="28"/>
        <v>8.3223307782620317</v>
      </c>
      <c r="AH194" s="145">
        <f t="shared" si="28"/>
        <v>8.3223307782620317</v>
      </c>
      <c r="AI194" s="145">
        <f t="shared" si="28"/>
        <v>8.3223307782620317</v>
      </c>
      <c r="AJ194" s="145">
        <f t="shared" si="28"/>
        <v>8.3223307782620317</v>
      </c>
      <c r="AK194" s="145">
        <f t="shared" si="28"/>
        <v>8.3223307782620317</v>
      </c>
      <c r="AL194" s="145">
        <f t="shared" si="28"/>
        <v>8.3223307782620317</v>
      </c>
      <c r="AM194" s="145">
        <f t="shared" si="28"/>
        <v>8.3223307782620317</v>
      </c>
      <c r="AN194" s="145">
        <f t="shared" si="28"/>
        <v>8.3223307782620317</v>
      </c>
      <c r="AO194" s="145">
        <f t="shared" si="28"/>
        <v>8.3223307782620317</v>
      </c>
      <c r="AP194" s="145">
        <f t="shared" si="28"/>
        <v>8.3223307782620317</v>
      </c>
      <c r="AQ194" s="145">
        <f t="shared" si="28"/>
        <v>8.3223307782620317</v>
      </c>
      <c r="AR194" s="145">
        <f t="shared" si="28"/>
        <v>0</v>
      </c>
      <c r="AS194" s="145"/>
      <c r="AT194" s="145"/>
      <c r="AU194" s="145"/>
      <c r="AV194" s="145"/>
      <c r="AW194" s="145"/>
      <c r="AX194" s="145"/>
      <c r="AY194" s="145"/>
      <c r="AZ194" s="145"/>
      <c r="BA194" s="145"/>
      <c r="BB194" s="145"/>
      <c r="BC194" s="145"/>
      <c r="BD194" s="145"/>
      <c r="BE194" s="145"/>
      <c r="BF194" s="145"/>
      <c r="BG194" s="145"/>
      <c r="BH194" s="145"/>
    </row>
    <row r="195" spans="2:74" ht="15" customHeight="1">
      <c r="B195" s="87"/>
      <c r="E195" s="180">
        <v>39903</v>
      </c>
      <c r="G195" s="156" t="s">
        <v>657</v>
      </c>
      <c r="H195" s="145"/>
      <c r="I195" s="145">
        <f t="shared" si="24"/>
        <v>200.72197563436023</v>
      </c>
      <c r="J195" s="31" t="s">
        <v>54</v>
      </c>
      <c r="K195" s="145"/>
      <c r="L195" s="145"/>
      <c r="M195" s="145"/>
      <c r="N195" s="145"/>
      <c r="O195" s="145"/>
      <c r="P195" s="145"/>
      <c r="Q195" s="145"/>
      <c r="R195" s="145"/>
      <c r="S195" s="145"/>
      <c r="T195" s="145"/>
      <c r="U195" s="145"/>
      <c r="V195" s="145"/>
      <c r="W195" s="145"/>
      <c r="X195" s="145"/>
      <c r="Y195" s="145"/>
      <c r="Z195" s="145"/>
      <c r="AA195" s="145"/>
      <c r="AB195" s="145"/>
      <c r="AC195" s="145"/>
      <c r="AD195" s="145">
        <f t="shared" si="28"/>
        <v>10.036098781718012</v>
      </c>
      <c r="AE195" s="145">
        <f t="shared" si="28"/>
        <v>10.036098781718012</v>
      </c>
      <c r="AF195" s="145">
        <f t="shared" si="28"/>
        <v>10.036098781718012</v>
      </c>
      <c r="AG195" s="145">
        <f t="shared" si="28"/>
        <v>10.036098781718012</v>
      </c>
      <c r="AH195" s="145">
        <f t="shared" si="28"/>
        <v>10.036098781718012</v>
      </c>
      <c r="AI195" s="145">
        <f t="shared" si="28"/>
        <v>10.036098781718012</v>
      </c>
      <c r="AJ195" s="145">
        <f t="shared" si="28"/>
        <v>10.036098781718012</v>
      </c>
      <c r="AK195" s="145">
        <f t="shared" si="28"/>
        <v>10.036098781718012</v>
      </c>
      <c r="AL195" s="145">
        <f t="shared" si="28"/>
        <v>10.036098781718012</v>
      </c>
      <c r="AM195" s="145">
        <f t="shared" si="28"/>
        <v>10.036098781718012</v>
      </c>
      <c r="AN195" s="145">
        <f t="shared" si="28"/>
        <v>10.036098781718012</v>
      </c>
      <c r="AO195" s="145">
        <f t="shared" si="28"/>
        <v>10.036098781718012</v>
      </c>
      <c r="AP195" s="145">
        <f t="shared" si="28"/>
        <v>10.036098781718012</v>
      </c>
      <c r="AQ195" s="145">
        <f t="shared" si="28"/>
        <v>10.036098781718012</v>
      </c>
      <c r="AR195" s="145">
        <f t="shared" si="28"/>
        <v>0</v>
      </c>
      <c r="AS195" s="145"/>
      <c r="AT195" s="145"/>
      <c r="AU195" s="145"/>
      <c r="AV195" s="145"/>
      <c r="AW195" s="145"/>
      <c r="AX195" s="145"/>
      <c r="AY195" s="145"/>
      <c r="AZ195" s="145"/>
      <c r="BA195" s="145"/>
      <c r="BB195" s="145"/>
      <c r="BC195" s="145"/>
      <c r="BD195" s="145"/>
      <c r="BE195" s="145"/>
      <c r="BF195" s="145"/>
      <c r="BG195" s="145"/>
      <c r="BH195" s="145"/>
      <c r="BI195" s="145"/>
    </row>
    <row r="196" spans="2:74" ht="15" customHeight="1">
      <c r="B196" s="87"/>
      <c r="E196" s="180">
        <v>40268</v>
      </c>
      <c r="G196" s="156" t="s">
        <v>657</v>
      </c>
      <c r="H196" s="145"/>
      <c r="I196" s="145">
        <f t="shared" si="24"/>
        <v>215.32272941719307</v>
      </c>
      <c r="J196" s="31" t="s">
        <v>54</v>
      </c>
      <c r="K196" s="145"/>
      <c r="L196" s="145"/>
      <c r="M196" s="145"/>
      <c r="N196" s="145"/>
      <c r="O196" s="145"/>
      <c r="P196" s="145"/>
      <c r="Q196" s="145"/>
      <c r="R196" s="145"/>
      <c r="S196" s="145"/>
      <c r="T196" s="145"/>
      <c r="U196" s="145"/>
      <c r="V196" s="145"/>
      <c r="W196" s="145"/>
      <c r="X196" s="145"/>
      <c r="Y196" s="145"/>
      <c r="Z196" s="145"/>
      <c r="AA196" s="145"/>
      <c r="AB196" s="145"/>
      <c r="AC196" s="145"/>
      <c r="AD196" s="145"/>
      <c r="AE196" s="145">
        <f t="shared" si="28"/>
        <v>10.766136470859653</v>
      </c>
      <c r="AF196" s="145">
        <f t="shared" si="28"/>
        <v>10.766136470859653</v>
      </c>
      <c r="AG196" s="145">
        <f t="shared" si="28"/>
        <v>10.766136470859653</v>
      </c>
      <c r="AH196" s="145">
        <f t="shared" ref="AH196:AR196" si="29">(AH$83 * AH107) + (AH$38 * AH62) + AH158</f>
        <v>10.766136470859653</v>
      </c>
      <c r="AI196" s="145">
        <f t="shared" si="29"/>
        <v>10.766136470859653</v>
      </c>
      <c r="AJ196" s="145">
        <f t="shared" si="29"/>
        <v>10.766136470859653</v>
      </c>
      <c r="AK196" s="145">
        <f t="shared" si="29"/>
        <v>10.766136470859653</v>
      </c>
      <c r="AL196" s="145">
        <f t="shared" si="29"/>
        <v>10.766136470859653</v>
      </c>
      <c r="AM196" s="145">
        <f t="shared" si="29"/>
        <v>10.766136470859653</v>
      </c>
      <c r="AN196" s="145">
        <f t="shared" si="29"/>
        <v>10.766136470859653</v>
      </c>
      <c r="AO196" s="145">
        <f t="shared" si="29"/>
        <v>10.766136470859653</v>
      </c>
      <c r="AP196" s="145">
        <f t="shared" si="29"/>
        <v>10.766136470859653</v>
      </c>
      <c r="AQ196" s="145">
        <f t="shared" si="29"/>
        <v>10.766136470859653</v>
      </c>
      <c r="AR196" s="145">
        <f t="shared" si="29"/>
        <v>0</v>
      </c>
      <c r="AS196" s="145"/>
      <c r="AT196" s="145"/>
      <c r="AU196" s="145"/>
      <c r="AV196" s="145"/>
      <c r="AW196" s="145"/>
      <c r="AX196" s="145"/>
      <c r="AY196" s="145"/>
      <c r="AZ196" s="145"/>
      <c r="BA196" s="145"/>
      <c r="BB196" s="145"/>
      <c r="BC196" s="145"/>
      <c r="BD196" s="145"/>
      <c r="BE196" s="145"/>
      <c r="BF196" s="145"/>
      <c r="BG196" s="145"/>
      <c r="BH196" s="145"/>
      <c r="BI196" s="145"/>
      <c r="BJ196" s="145"/>
    </row>
    <row r="197" spans="2:74" ht="15" customHeight="1">
      <c r="B197" s="87"/>
      <c r="E197" s="180">
        <v>40633</v>
      </c>
      <c r="G197" s="156" t="s">
        <v>657</v>
      </c>
      <c r="H197" s="145"/>
      <c r="I197" s="145">
        <f t="shared" si="24"/>
        <v>168.84150388749299</v>
      </c>
      <c r="J197" s="31" t="s">
        <v>54</v>
      </c>
      <c r="K197" s="145"/>
      <c r="L197" s="145"/>
      <c r="M197" s="145"/>
      <c r="N197" s="145"/>
      <c r="O197" s="145"/>
      <c r="P197" s="145"/>
      <c r="Q197" s="145"/>
      <c r="R197" s="145"/>
      <c r="S197" s="145"/>
      <c r="T197" s="145"/>
      <c r="U197" s="145"/>
      <c r="V197" s="145"/>
      <c r="W197" s="145"/>
      <c r="X197" s="145"/>
      <c r="Y197" s="145"/>
      <c r="Z197" s="145"/>
      <c r="AA197" s="145"/>
      <c r="AB197" s="145"/>
      <c r="AC197" s="145"/>
      <c r="AD197" s="145"/>
      <c r="AE197" s="145"/>
      <c r="AF197" s="145">
        <f t="shared" ref="AF197:AR208" si="30">(AF$83 * AF108) + (AF$38 * AF63) + AF159</f>
        <v>8.4420751943746488</v>
      </c>
      <c r="AG197" s="145">
        <f t="shared" si="30"/>
        <v>8.4420751943746488</v>
      </c>
      <c r="AH197" s="145">
        <f t="shared" si="30"/>
        <v>8.4420751943746488</v>
      </c>
      <c r="AI197" s="145">
        <f t="shared" si="30"/>
        <v>8.4420751943746488</v>
      </c>
      <c r="AJ197" s="145">
        <f t="shared" si="30"/>
        <v>8.4420751943746488</v>
      </c>
      <c r="AK197" s="145">
        <f t="shared" si="30"/>
        <v>8.4420751943746488</v>
      </c>
      <c r="AL197" s="145">
        <f t="shared" si="30"/>
        <v>8.4420751943746488</v>
      </c>
      <c r="AM197" s="145">
        <f t="shared" si="30"/>
        <v>8.4420751943746488</v>
      </c>
      <c r="AN197" s="145">
        <f t="shared" si="30"/>
        <v>8.4420751943746488</v>
      </c>
      <c r="AO197" s="145">
        <f t="shared" si="30"/>
        <v>8.4420751943746488</v>
      </c>
      <c r="AP197" s="145">
        <f t="shared" si="30"/>
        <v>8.4420751943746488</v>
      </c>
      <c r="AQ197" s="145">
        <f t="shared" si="30"/>
        <v>8.4420751943746488</v>
      </c>
      <c r="AR197" s="145">
        <f t="shared" si="30"/>
        <v>0</v>
      </c>
      <c r="AS197" s="145"/>
      <c r="AT197" s="145"/>
      <c r="AU197" s="145"/>
      <c r="AV197" s="145"/>
      <c r="AW197" s="145"/>
      <c r="AX197" s="145"/>
      <c r="AY197" s="145"/>
      <c r="AZ197" s="145"/>
      <c r="BA197" s="145"/>
      <c r="BB197" s="145"/>
      <c r="BC197" s="145"/>
      <c r="BD197" s="145"/>
      <c r="BE197" s="145"/>
      <c r="BF197" s="145"/>
      <c r="BG197" s="145"/>
      <c r="BH197" s="145"/>
      <c r="BI197" s="145"/>
      <c r="BJ197" s="145"/>
      <c r="BK197" s="145"/>
    </row>
    <row r="198" spans="2:74" ht="15" customHeight="1">
      <c r="B198" s="87"/>
      <c r="E198" s="180">
        <v>40999</v>
      </c>
      <c r="G198" s="156" t="s">
        <v>657</v>
      </c>
      <c r="H198" s="145"/>
      <c r="I198" s="145">
        <f t="shared" si="24"/>
        <v>190.27311408313142</v>
      </c>
      <c r="J198" s="31" t="s">
        <v>54</v>
      </c>
      <c r="K198" s="145"/>
      <c r="L198" s="145"/>
      <c r="M198" s="145"/>
      <c r="N198" s="145"/>
      <c r="O198" s="145"/>
      <c r="P198" s="145"/>
      <c r="Q198" s="145"/>
      <c r="R198" s="145"/>
      <c r="S198" s="145"/>
      <c r="T198" s="145"/>
      <c r="U198" s="145"/>
      <c r="V198" s="145"/>
      <c r="W198" s="145"/>
      <c r="X198" s="145"/>
      <c r="Y198" s="145"/>
      <c r="Z198" s="145"/>
      <c r="AA198" s="145"/>
      <c r="AB198" s="145"/>
      <c r="AC198" s="145"/>
      <c r="AD198" s="145"/>
      <c r="AE198" s="145"/>
      <c r="AF198" s="145"/>
      <c r="AG198" s="145">
        <f t="shared" si="30"/>
        <v>9.5136557041565712</v>
      </c>
      <c r="AH198" s="145">
        <f t="shared" si="30"/>
        <v>9.5136557041565712</v>
      </c>
      <c r="AI198" s="145">
        <f t="shared" si="30"/>
        <v>9.5136557041565712</v>
      </c>
      <c r="AJ198" s="145">
        <f t="shared" si="30"/>
        <v>9.5136557041565712</v>
      </c>
      <c r="AK198" s="145">
        <f t="shared" si="30"/>
        <v>9.5136557041565712</v>
      </c>
      <c r="AL198" s="145">
        <f t="shared" si="30"/>
        <v>9.5136557041565712</v>
      </c>
      <c r="AM198" s="145">
        <f t="shared" si="30"/>
        <v>9.5136557041565712</v>
      </c>
      <c r="AN198" s="145">
        <f t="shared" si="30"/>
        <v>9.5136557041565712</v>
      </c>
      <c r="AO198" s="145">
        <f t="shared" si="30"/>
        <v>9.5136557041565712</v>
      </c>
      <c r="AP198" s="145">
        <f t="shared" si="30"/>
        <v>9.5136557041565712</v>
      </c>
      <c r="AQ198" s="145">
        <f t="shared" si="30"/>
        <v>9.5136557041565712</v>
      </c>
      <c r="AR198" s="145">
        <f t="shared" si="30"/>
        <v>0</v>
      </c>
      <c r="AS198" s="145"/>
      <c r="AT198" s="145"/>
      <c r="AU198" s="145"/>
      <c r="AV198" s="145"/>
      <c r="AW198" s="145"/>
      <c r="AX198" s="145"/>
      <c r="AY198" s="145"/>
      <c r="AZ198" s="145"/>
      <c r="BA198" s="145"/>
      <c r="BB198" s="145"/>
      <c r="BC198" s="145"/>
      <c r="BD198" s="145"/>
      <c r="BE198" s="145"/>
      <c r="BF198" s="145"/>
      <c r="BG198" s="145"/>
      <c r="BH198" s="145"/>
      <c r="BI198" s="145"/>
      <c r="BJ198" s="145"/>
      <c r="BK198" s="145"/>
      <c r="BL198" s="145"/>
    </row>
    <row r="199" spans="2:74" ht="15" customHeight="1">
      <c r="B199" s="87"/>
      <c r="E199" s="180">
        <v>41364</v>
      </c>
      <c r="G199" s="156" t="s">
        <v>657</v>
      </c>
      <c r="H199" s="145"/>
      <c r="I199" s="145">
        <f t="shared" si="24"/>
        <v>215.06223577807756</v>
      </c>
      <c r="J199" s="31"/>
      <c r="K199" s="145"/>
      <c r="L199" s="145"/>
      <c r="M199" s="145"/>
      <c r="N199" s="145"/>
      <c r="O199" s="145"/>
      <c r="P199" s="145"/>
      <c r="Q199" s="145"/>
      <c r="R199" s="145"/>
      <c r="S199" s="145"/>
      <c r="T199" s="145"/>
      <c r="U199" s="145"/>
      <c r="V199" s="145"/>
      <c r="W199" s="145"/>
      <c r="X199" s="145"/>
      <c r="Y199" s="145"/>
      <c r="Z199" s="145"/>
      <c r="AA199" s="145"/>
      <c r="AB199" s="145"/>
      <c r="AC199" s="145"/>
      <c r="AD199" s="145"/>
      <c r="AE199" s="145"/>
      <c r="AF199" s="145"/>
      <c r="AG199" s="145"/>
      <c r="AH199" s="145">
        <f t="shared" si="30"/>
        <v>10.753111788903878</v>
      </c>
      <c r="AI199" s="145">
        <f t="shared" si="30"/>
        <v>10.753111788903878</v>
      </c>
      <c r="AJ199" s="145">
        <f t="shared" si="30"/>
        <v>10.753111788903878</v>
      </c>
      <c r="AK199" s="145">
        <f t="shared" si="30"/>
        <v>10.753111788903878</v>
      </c>
      <c r="AL199" s="145">
        <f t="shared" si="30"/>
        <v>10.753111788903878</v>
      </c>
      <c r="AM199" s="145">
        <f t="shared" si="30"/>
        <v>10.753111788903878</v>
      </c>
      <c r="AN199" s="145">
        <f t="shared" si="30"/>
        <v>10.753111788903878</v>
      </c>
      <c r="AO199" s="145">
        <f t="shared" si="30"/>
        <v>10.753111788903878</v>
      </c>
      <c r="AP199" s="145">
        <f t="shared" si="30"/>
        <v>10.753111788903878</v>
      </c>
      <c r="AQ199" s="145">
        <f t="shared" si="30"/>
        <v>10.753111788903878</v>
      </c>
      <c r="AR199" s="145">
        <f t="shared" si="30"/>
        <v>0</v>
      </c>
      <c r="AS199" s="145"/>
      <c r="AT199" s="145"/>
      <c r="AU199" s="145"/>
      <c r="AV199" s="145"/>
      <c r="AW199" s="145"/>
      <c r="AX199" s="145"/>
      <c r="AY199" s="145"/>
      <c r="AZ199" s="145"/>
      <c r="BA199" s="145"/>
      <c r="BB199" s="145"/>
      <c r="BC199" s="145"/>
      <c r="BD199" s="145"/>
      <c r="BE199" s="145"/>
      <c r="BF199" s="145"/>
      <c r="BG199" s="145"/>
      <c r="BH199" s="145"/>
      <c r="BI199" s="145"/>
      <c r="BJ199" s="145"/>
      <c r="BK199" s="145"/>
      <c r="BL199" s="145"/>
      <c r="BM199" s="145"/>
    </row>
    <row r="200" spans="2:74" ht="15" customHeight="1">
      <c r="B200" s="87"/>
      <c r="E200" s="180">
        <v>41729</v>
      </c>
      <c r="G200" s="156" t="s">
        <v>657</v>
      </c>
      <c r="H200" s="145"/>
      <c r="I200" s="145">
        <f t="shared" si="24"/>
        <v>241.2930578422361</v>
      </c>
      <c r="J200" s="31"/>
      <c r="K200" s="145"/>
      <c r="L200" s="145"/>
      <c r="M200" s="145"/>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f t="shared" si="30"/>
        <v>12.064652892111805</v>
      </c>
      <c r="AJ200" s="145">
        <f t="shared" si="30"/>
        <v>12.064652892111805</v>
      </c>
      <c r="AK200" s="145">
        <f t="shared" si="30"/>
        <v>12.064652892111805</v>
      </c>
      <c r="AL200" s="145">
        <f t="shared" si="30"/>
        <v>12.064652892111805</v>
      </c>
      <c r="AM200" s="145">
        <f t="shared" si="30"/>
        <v>12.064652892111805</v>
      </c>
      <c r="AN200" s="145">
        <f t="shared" si="30"/>
        <v>12.064652892111805</v>
      </c>
      <c r="AO200" s="145">
        <f t="shared" si="30"/>
        <v>12.064652892111805</v>
      </c>
      <c r="AP200" s="145">
        <f t="shared" si="30"/>
        <v>12.064652892111805</v>
      </c>
      <c r="AQ200" s="145">
        <f t="shared" si="30"/>
        <v>12.064652892111805</v>
      </c>
      <c r="AR200" s="145">
        <f t="shared" si="30"/>
        <v>0</v>
      </c>
      <c r="AS200" s="145"/>
      <c r="AT200" s="145"/>
      <c r="AU200" s="145"/>
      <c r="AV200" s="145"/>
      <c r="AW200" s="145"/>
      <c r="AX200" s="145"/>
      <c r="AY200" s="145"/>
      <c r="AZ200" s="145"/>
      <c r="BA200" s="145"/>
      <c r="BB200" s="145"/>
      <c r="BC200" s="145"/>
      <c r="BD200" s="145"/>
      <c r="BE200" s="145"/>
      <c r="BF200" s="145"/>
      <c r="BG200" s="145"/>
      <c r="BH200" s="145"/>
      <c r="BI200" s="145"/>
      <c r="BJ200" s="145"/>
      <c r="BK200" s="145"/>
      <c r="BL200" s="145"/>
      <c r="BM200" s="145"/>
      <c r="BN200" s="145"/>
    </row>
    <row r="201" spans="2:74" ht="15" customHeight="1">
      <c r="B201" s="87"/>
      <c r="E201" s="180">
        <v>42094</v>
      </c>
      <c r="G201" s="156" t="s">
        <v>657</v>
      </c>
      <c r="H201" s="145"/>
      <c r="I201" s="145">
        <f t="shared" si="24"/>
        <v>252.92877731841884</v>
      </c>
      <c r="J201" s="31"/>
      <c r="K201" s="145"/>
      <c r="L201" s="145"/>
      <c r="M201" s="145"/>
      <c r="N201" s="145"/>
      <c r="O201" s="145"/>
      <c r="P201" s="145"/>
      <c r="Q201" s="145"/>
      <c r="R201" s="145"/>
      <c r="S201" s="145"/>
      <c r="T201" s="145"/>
      <c r="U201" s="145"/>
      <c r="V201" s="145"/>
      <c r="W201" s="145"/>
      <c r="X201" s="145"/>
      <c r="Y201" s="145"/>
      <c r="Z201" s="145"/>
      <c r="AA201" s="145"/>
      <c r="AB201" s="145"/>
      <c r="AC201" s="145"/>
      <c r="AD201" s="145"/>
      <c r="AE201" s="145"/>
      <c r="AF201" s="145"/>
      <c r="AG201" s="145"/>
      <c r="AH201" s="145"/>
      <c r="AI201" s="145"/>
      <c r="AJ201" s="145">
        <f>(AJ$83 * AJ112) + (AJ$38 * AJ67) + AJ163</f>
        <v>12.646438865920942</v>
      </c>
      <c r="AK201" s="145">
        <f t="shared" si="30"/>
        <v>12.646438865920942</v>
      </c>
      <c r="AL201" s="145">
        <f t="shared" si="30"/>
        <v>12.646438865920942</v>
      </c>
      <c r="AM201" s="145">
        <f t="shared" si="30"/>
        <v>12.646438865920942</v>
      </c>
      <c r="AN201" s="145">
        <f t="shared" si="30"/>
        <v>12.646438865920942</v>
      </c>
      <c r="AO201" s="145">
        <f t="shared" si="30"/>
        <v>12.646438865920942</v>
      </c>
      <c r="AP201" s="145">
        <f t="shared" si="30"/>
        <v>12.646438865920942</v>
      </c>
      <c r="AQ201" s="145">
        <f t="shared" si="30"/>
        <v>12.646438865920942</v>
      </c>
      <c r="AR201" s="145">
        <f t="shared" si="30"/>
        <v>0</v>
      </c>
      <c r="AS201" s="145"/>
      <c r="AT201" s="145"/>
      <c r="AU201" s="145"/>
      <c r="AV201" s="145"/>
      <c r="AW201" s="145"/>
      <c r="AX201" s="145"/>
      <c r="AY201" s="145"/>
      <c r="AZ201" s="145"/>
      <c r="BA201" s="145"/>
      <c r="BB201" s="145"/>
      <c r="BC201" s="145"/>
      <c r="BD201" s="145"/>
      <c r="BE201" s="145"/>
      <c r="BF201" s="145"/>
      <c r="BG201" s="145"/>
      <c r="BH201" s="145"/>
      <c r="BI201" s="145"/>
      <c r="BJ201" s="145"/>
      <c r="BK201" s="145"/>
      <c r="BL201" s="145"/>
      <c r="BM201" s="145"/>
      <c r="BN201" s="145"/>
      <c r="BO201" s="145"/>
    </row>
    <row r="202" spans="2:74" ht="15" customHeight="1">
      <c r="B202" s="87"/>
      <c r="E202" s="180">
        <v>42460</v>
      </c>
      <c r="G202" s="156" t="s">
        <v>657</v>
      </c>
      <c r="H202" s="145"/>
      <c r="I202" s="145">
        <f t="shared" si="24"/>
        <v>214.30283536876493</v>
      </c>
      <c r="J202" s="31"/>
      <c r="K202" s="145"/>
      <c r="L202" s="145"/>
      <c r="M202" s="145"/>
      <c r="N202" s="145"/>
      <c r="O202" s="145"/>
      <c r="P202" s="145"/>
      <c r="Q202" s="145"/>
      <c r="R202" s="145"/>
      <c r="S202" s="145"/>
      <c r="T202" s="145"/>
      <c r="U202" s="145"/>
      <c r="V202" s="145"/>
      <c r="W202" s="145"/>
      <c r="X202" s="145"/>
      <c r="Y202" s="145"/>
      <c r="Z202" s="145"/>
      <c r="AA202" s="145"/>
      <c r="AB202" s="145"/>
      <c r="AC202" s="145"/>
      <c r="AD202" s="145"/>
      <c r="AE202" s="145"/>
      <c r="AF202" s="145"/>
      <c r="AG202" s="145"/>
      <c r="AH202" s="145"/>
      <c r="AI202" s="145"/>
      <c r="AJ202" s="145"/>
      <c r="AK202" s="145">
        <f>(AK$83 * AK113) + (AK$38 * AK68) + AK164</f>
        <v>9.2671496375682132</v>
      </c>
      <c r="AL202" s="145">
        <f t="shared" si="30"/>
        <v>9.2671496375682132</v>
      </c>
      <c r="AM202" s="145">
        <f t="shared" si="30"/>
        <v>9.2671496375682132</v>
      </c>
      <c r="AN202" s="145">
        <f t="shared" si="30"/>
        <v>9.2671496375682132</v>
      </c>
      <c r="AO202" s="145">
        <f t="shared" si="30"/>
        <v>9.2671496375682132</v>
      </c>
      <c r="AP202" s="145">
        <f t="shared" si="30"/>
        <v>9.2671496375682132</v>
      </c>
      <c r="AQ202" s="145">
        <f t="shared" si="30"/>
        <v>9.2671496375682132</v>
      </c>
      <c r="AR202" s="145">
        <f t="shared" si="30"/>
        <v>0</v>
      </c>
      <c r="AS202" s="145"/>
      <c r="AT202" s="145"/>
      <c r="AU202" s="145"/>
      <c r="AV202" s="145"/>
      <c r="AW202" s="145"/>
      <c r="AX202" s="145"/>
      <c r="AY202" s="145"/>
      <c r="AZ202" s="145"/>
      <c r="BA202" s="145"/>
      <c r="BB202" s="145"/>
      <c r="BC202" s="145"/>
      <c r="BD202" s="145"/>
      <c r="BE202" s="145"/>
      <c r="BF202" s="145"/>
      <c r="BG202" s="145"/>
      <c r="BH202" s="145"/>
      <c r="BI202" s="145"/>
      <c r="BJ202" s="145"/>
      <c r="BK202" s="145"/>
      <c r="BL202" s="145"/>
      <c r="BM202" s="145"/>
      <c r="BN202" s="145"/>
      <c r="BO202" s="145"/>
      <c r="BP202" s="145"/>
    </row>
    <row r="203" spans="2:74" ht="15" customHeight="1">
      <c r="B203" s="87"/>
      <c r="E203" s="180">
        <v>42825</v>
      </c>
      <c r="G203" s="156" t="s">
        <v>657</v>
      </c>
      <c r="H203" s="145"/>
      <c r="I203" s="145">
        <f t="shared" si="24"/>
        <v>218.74958717835483</v>
      </c>
      <c r="J203" s="31"/>
      <c r="K203" s="145"/>
      <c r="L203" s="145"/>
      <c r="M203" s="145"/>
      <c r="N203" s="145"/>
      <c r="O203" s="145"/>
      <c r="P203" s="145"/>
      <c r="Q203" s="145"/>
      <c r="R203" s="145"/>
      <c r="S203" s="145"/>
      <c r="T203" s="145"/>
      <c r="U203" s="145"/>
      <c r="V203" s="145"/>
      <c r="W203" s="145"/>
      <c r="X203" s="145"/>
      <c r="Y203" s="145"/>
      <c r="Z203" s="145"/>
      <c r="AA203" s="145"/>
      <c r="AB203" s="145"/>
      <c r="AC203" s="145"/>
      <c r="AD203" s="145"/>
      <c r="AE203" s="145"/>
      <c r="AF203" s="145"/>
      <c r="AG203" s="145"/>
      <c r="AH203" s="145"/>
      <c r="AI203" s="145"/>
      <c r="AJ203" s="145"/>
      <c r="AK203" s="145"/>
      <c r="AL203" s="145">
        <f t="shared" si="30"/>
        <v>8.3333176067944699</v>
      </c>
      <c r="AM203" s="145">
        <f t="shared" si="30"/>
        <v>8.3333176067944699</v>
      </c>
      <c r="AN203" s="145">
        <f t="shared" si="30"/>
        <v>8.3333176067944699</v>
      </c>
      <c r="AO203" s="145">
        <f t="shared" si="30"/>
        <v>8.3333176067944699</v>
      </c>
      <c r="AP203" s="145">
        <f t="shared" si="30"/>
        <v>8.3333176067944699</v>
      </c>
      <c r="AQ203" s="145">
        <f t="shared" si="30"/>
        <v>8.3333176067944699</v>
      </c>
      <c r="AR203" s="145">
        <f t="shared" si="30"/>
        <v>0</v>
      </c>
      <c r="AS203" s="145"/>
      <c r="AT203" s="145"/>
      <c r="AU203" s="145"/>
      <c r="AV203" s="145"/>
      <c r="AW203" s="145"/>
      <c r="AX203" s="145"/>
      <c r="AY203" s="145"/>
      <c r="AZ203" s="145"/>
      <c r="BA203" s="145"/>
      <c r="BB203" s="145"/>
      <c r="BC203" s="145"/>
      <c r="BD203" s="145"/>
      <c r="BE203" s="145"/>
      <c r="BF203" s="145"/>
      <c r="BG203" s="145"/>
      <c r="BH203" s="145"/>
      <c r="BI203" s="145"/>
      <c r="BJ203" s="145"/>
      <c r="BK203" s="145"/>
      <c r="BL203" s="145"/>
      <c r="BM203" s="145"/>
      <c r="BN203" s="145"/>
      <c r="BO203" s="145"/>
      <c r="BP203" s="145"/>
      <c r="BQ203" s="145"/>
      <c r="BR203" s="145"/>
    </row>
    <row r="204" spans="2:74" ht="15" customHeight="1">
      <c r="B204" s="87"/>
      <c r="E204" s="180">
        <v>43190</v>
      </c>
      <c r="G204" s="156" t="s">
        <v>657</v>
      </c>
      <c r="H204" s="145"/>
      <c r="I204" s="145">
        <f t="shared" si="24"/>
        <v>213.07955677040144</v>
      </c>
      <c r="J204" s="31"/>
      <c r="K204" s="145"/>
      <c r="L204" s="145"/>
      <c r="M204" s="145"/>
      <c r="N204" s="145"/>
      <c r="O204" s="145"/>
      <c r="P204" s="145"/>
      <c r="Q204" s="145"/>
      <c r="R204" s="145"/>
      <c r="S204" s="145"/>
      <c r="T204" s="145"/>
      <c r="U204" s="145"/>
      <c r="V204" s="145"/>
      <c r="W204" s="145"/>
      <c r="X204" s="145"/>
      <c r="Y204" s="145"/>
      <c r="Z204" s="145"/>
      <c r="AA204" s="145"/>
      <c r="AB204" s="145"/>
      <c r="AC204" s="145"/>
      <c r="AD204" s="145"/>
      <c r="AE204" s="145"/>
      <c r="AF204" s="145"/>
      <c r="AG204" s="145"/>
      <c r="AH204" s="145"/>
      <c r="AI204" s="145"/>
      <c r="AJ204" s="145"/>
      <c r="AK204" s="145"/>
      <c r="AL204" s="145"/>
      <c r="AM204" s="145">
        <f>(AM$83 * AM115) + (AM$38 * AM70) + AM166</f>
        <v>7.2537721453753683</v>
      </c>
      <c r="AN204" s="145">
        <f t="shared" si="30"/>
        <v>7.2537721453753683</v>
      </c>
      <c r="AO204" s="145">
        <f t="shared" si="30"/>
        <v>7.2537721453753683</v>
      </c>
      <c r="AP204" s="145">
        <f t="shared" si="30"/>
        <v>7.2537721453753683</v>
      </c>
      <c r="AQ204" s="145">
        <f t="shared" si="30"/>
        <v>7.2537721453753683</v>
      </c>
      <c r="AR204" s="145">
        <f t="shared" si="30"/>
        <v>0</v>
      </c>
      <c r="AS204" s="145"/>
      <c r="AT204" s="145"/>
      <c r="AU204" s="145"/>
      <c r="AV204" s="145"/>
      <c r="AW204" s="145"/>
      <c r="AX204" s="145"/>
      <c r="AY204" s="145"/>
      <c r="AZ204" s="145"/>
      <c r="BA204" s="145"/>
      <c r="BB204" s="145"/>
      <c r="BC204" s="145"/>
      <c r="BD204" s="145"/>
      <c r="BE204" s="145"/>
      <c r="BF204" s="145"/>
      <c r="BG204" s="145"/>
      <c r="BH204" s="145"/>
      <c r="BI204" s="145"/>
      <c r="BJ204" s="145"/>
      <c r="BK204" s="145"/>
      <c r="BL204" s="145"/>
      <c r="BM204" s="145"/>
      <c r="BN204" s="145"/>
      <c r="BO204" s="145"/>
      <c r="BP204" s="145"/>
      <c r="BQ204" s="145"/>
      <c r="BR204" s="145"/>
      <c r="BS204" s="145"/>
    </row>
    <row r="205" spans="2:74" ht="15" customHeight="1">
      <c r="B205" s="87"/>
      <c r="E205" s="180">
        <v>43555</v>
      </c>
      <c r="G205" s="156" t="s">
        <v>657</v>
      </c>
      <c r="H205" s="145"/>
      <c r="I205" s="145">
        <f t="shared" si="24"/>
        <v>212.77598368354523</v>
      </c>
      <c r="J205" s="31"/>
      <c r="K205" s="145"/>
      <c r="L205" s="145"/>
      <c r="M205" s="145"/>
      <c r="N205" s="145"/>
      <c r="O205" s="145"/>
      <c r="P205" s="145"/>
      <c r="Q205" s="145"/>
      <c r="R205" s="145"/>
      <c r="S205" s="145"/>
      <c r="T205" s="145"/>
      <c r="U205" s="145"/>
      <c r="V205" s="145"/>
      <c r="W205" s="145"/>
      <c r="X205" s="145"/>
      <c r="Y205" s="145"/>
      <c r="Z205" s="145"/>
      <c r="AA205" s="145"/>
      <c r="AB205" s="145"/>
      <c r="AC205" s="145"/>
      <c r="AD205" s="145"/>
      <c r="AE205" s="145"/>
      <c r="AF205" s="145"/>
      <c r="AG205" s="145"/>
      <c r="AH205" s="145"/>
      <c r="AI205" s="145"/>
      <c r="AJ205" s="145"/>
      <c r="AK205" s="145"/>
      <c r="AL205" s="145"/>
      <c r="AM205" s="145"/>
      <c r="AN205" s="145">
        <f t="shared" si="30"/>
        <v>6.5469533441090846</v>
      </c>
      <c r="AO205" s="145">
        <f t="shared" si="30"/>
        <v>6.5469533441090846</v>
      </c>
      <c r="AP205" s="145">
        <f t="shared" si="30"/>
        <v>6.5469533441090846</v>
      </c>
      <c r="AQ205" s="145">
        <f t="shared" si="30"/>
        <v>6.5469533441090846</v>
      </c>
      <c r="AR205" s="145">
        <f t="shared" si="30"/>
        <v>0</v>
      </c>
      <c r="AS205" s="145"/>
      <c r="AT205" s="145"/>
      <c r="AU205" s="145"/>
      <c r="AV205" s="145"/>
      <c r="AW205" s="145"/>
      <c r="AX205" s="145"/>
      <c r="AY205" s="145"/>
      <c r="AZ205" s="145"/>
      <c r="BA205" s="145"/>
      <c r="BB205" s="145"/>
      <c r="BC205" s="145"/>
      <c r="BD205" s="145"/>
      <c r="BE205" s="145"/>
      <c r="BF205" s="145"/>
      <c r="BG205" s="145"/>
      <c r="BH205" s="145"/>
      <c r="BI205" s="145"/>
      <c r="BJ205" s="145"/>
      <c r="BK205" s="145"/>
      <c r="BL205" s="145"/>
      <c r="BM205" s="145"/>
      <c r="BN205" s="145"/>
      <c r="BO205" s="145"/>
      <c r="BP205" s="145"/>
      <c r="BQ205" s="145"/>
      <c r="BR205" s="145"/>
      <c r="BS205" s="145"/>
      <c r="BT205" s="145"/>
    </row>
    <row r="206" spans="2:74" ht="15" customHeight="1">
      <c r="B206" s="87"/>
      <c r="E206" s="180">
        <v>43921</v>
      </c>
      <c r="G206" s="156" t="s">
        <v>657</v>
      </c>
      <c r="H206" s="145"/>
      <c r="I206" s="145">
        <f t="shared" si="24"/>
        <v>191.35412942848416</v>
      </c>
      <c r="J206" s="31"/>
      <c r="K206" s="145"/>
      <c r="L206" s="145"/>
      <c r="M206" s="145"/>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5"/>
      <c r="AM206" s="145"/>
      <c r="AN206" s="145"/>
      <c r="AO206" s="145">
        <f t="shared" si="30"/>
        <v>5.3713439839574502</v>
      </c>
      <c r="AP206" s="145">
        <f t="shared" si="30"/>
        <v>5.3713439839574502</v>
      </c>
      <c r="AQ206" s="145">
        <f t="shared" si="30"/>
        <v>5.3713439839574502</v>
      </c>
      <c r="AR206" s="145">
        <f t="shared" si="30"/>
        <v>0</v>
      </c>
      <c r="AS206" s="145"/>
      <c r="AT206" s="145"/>
      <c r="AU206" s="145"/>
      <c r="AV206" s="145"/>
      <c r="AW206" s="145"/>
      <c r="AX206" s="145"/>
      <c r="AY206" s="145"/>
      <c r="AZ206" s="145"/>
      <c r="BA206" s="145"/>
      <c r="BB206" s="145"/>
      <c r="BC206" s="145"/>
      <c r="BD206" s="145"/>
      <c r="BE206" s="145"/>
      <c r="BF206" s="145"/>
      <c r="BG206" s="145"/>
      <c r="BH206" s="145"/>
      <c r="BI206" s="145"/>
      <c r="BJ206" s="145"/>
      <c r="BK206" s="145"/>
      <c r="BL206" s="145"/>
      <c r="BM206" s="145"/>
      <c r="BN206" s="145"/>
      <c r="BO206" s="145"/>
      <c r="BP206" s="145"/>
      <c r="BQ206" s="145"/>
      <c r="BR206" s="145"/>
      <c r="BS206" s="145"/>
      <c r="BT206" s="145"/>
      <c r="BU206" s="145"/>
    </row>
    <row r="207" spans="2:74" ht="15" customHeight="1">
      <c r="B207" s="87"/>
      <c r="E207" s="180">
        <v>44286</v>
      </c>
      <c r="G207" s="156" t="s">
        <v>657</v>
      </c>
      <c r="H207" s="145"/>
      <c r="I207" s="145">
        <f t="shared" si="24"/>
        <v>191.61771831702322</v>
      </c>
      <c r="J207" s="31"/>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f>(AP$83 * AP118) + (AP$38 * AP73) + AP169</f>
        <v>4.9449733759231798</v>
      </c>
      <c r="AQ207" s="145">
        <f t="shared" si="30"/>
        <v>4.9449733759231798</v>
      </c>
      <c r="AR207" s="145">
        <f t="shared" si="30"/>
        <v>0</v>
      </c>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c r="BS207" s="145"/>
      <c r="BT207" s="145"/>
      <c r="BU207" s="145"/>
      <c r="BV207" s="145"/>
    </row>
    <row r="208" spans="2:74" ht="15" customHeight="1">
      <c r="E208" s="267">
        <v>44651</v>
      </c>
      <c r="F208" s="152"/>
      <c r="G208" s="152" t="s">
        <v>657</v>
      </c>
      <c r="H208" s="155"/>
      <c r="I208" s="155">
        <f t="shared" si="24"/>
        <v>197.19301522840377</v>
      </c>
      <c r="J208" s="31"/>
      <c r="K208" s="145"/>
      <c r="L208" s="145"/>
      <c r="M208" s="145"/>
      <c r="N208" s="145"/>
      <c r="O208" s="145"/>
      <c r="P208" s="145"/>
      <c r="Q208" s="145"/>
      <c r="R208" s="145"/>
      <c r="S208" s="145"/>
      <c r="T208" s="145"/>
      <c r="U208" s="145"/>
      <c r="V208" s="145"/>
      <c r="W208" s="145"/>
      <c r="X208" s="145"/>
      <c r="Y208" s="145"/>
      <c r="Z208" s="145"/>
      <c r="AA208" s="145"/>
      <c r="AB208" s="145"/>
      <c r="AC208" s="145"/>
      <c r="AD208" s="145"/>
      <c r="AE208" s="145"/>
      <c r="AF208" s="145"/>
      <c r="AG208" s="145"/>
      <c r="AH208" s="145"/>
      <c r="AI208" s="145"/>
      <c r="AJ208" s="145"/>
      <c r="AK208" s="145"/>
      <c r="AL208" s="145"/>
      <c r="AM208" s="145"/>
      <c r="AN208" s="145"/>
      <c r="AO208" s="145"/>
      <c r="AP208" s="145"/>
      <c r="AQ208" s="145">
        <f t="shared" si="30"/>
        <v>4.7090869308275529</v>
      </c>
      <c r="AR208" s="145">
        <f t="shared" si="30"/>
        <v>0</v>
      </c>
      <c r="AS208" s="145"/>
      <c r="AT208" s="145"/>
      <c r="AU208" s="145"/>
      <c r="AV208" s="145"/>
      <c r="AW208" s="145"/>
      <c r="AX208" s="145"/>
    </row>
    <row r="209" spans="2:43" ht="15" customHeight="1">
      <c r="E209" s="267">
        <v>45016</v>
      </c>
      <c r="F209" s="152"/>
      <c r="G209" s="152" t="s">
        <v>657</v>
      </c>
      <c r="H209" s="155"/>
      <c r="I209" s="155">
        <f t="shared" si="24"/>
        <v>192.13875531318419</v>
      </c>
      <c r="J209" s="31"/>
      <c r="K209" s="145"/>
      <c r="L209" s="145"/>
      <c r="M209" s="145"/>
      <c r="N209" s="145"/>
      <c r="O209" s="145"/>
      <c r="P209" s="145"/>
      <c r="Q209" s="145"/>
      <c r="R209" s="145"/>
      <c r="S209" s="145"/>
      <c r="T209" s="145"/>
      <c r="U209" s="145"/>
      <c r="V209" s="145"/>
      <c r="W209" s="145"/>
      <c r="X209" s="145"/>
      <c r="Y209" s="145"/>
      <c r="Z209" s="145"/>
      <c r="AA209" s="145"/>
      <c r="AB209" s="145"/>
      <c r="AC209" s="145"/>
      <c r="AD209" s="145"/>
      <c r="AE209" s="145"/>
      <c r="AF209" s="145"/>
      <c r="AG209" s="145"/>
      <c r="AH209" s="145"/>
      <c r="AI209" s="145"/>
      <c r="AJ209" s="145"/>
      <c r="AK209" s="145"/>
      <c r="AL209" s="145"/>
      <c r="AM209" s="145"/>
      <c r="AN209" s="145"/>
      <c r="AO209" s="145"/>
      <c r="AP209" s="145"/>
      <c r="AQ209" s="145"/>
    </row>
    <row r="210" spans="2:43" ht="15" customHeight="1">
      <c r="B210" s="361">
        <f t="shared" ref="B210" si="31">SUM(B177:B209)</f>
        <v>0</v>
      </c>
      <c r="C210" s="361">
        <f t="shared" ref="C210" si="32">SUM(C177:C209)</f>
        <v>0</v>
      </c>
      <c r="E210" s="147" t="s">
        <v>5</v>
      </c>
      <c r="H210" s="145"/>
      <c r="I210" s="145"/>
      <c r="J210" s="31"/>
      <c r="K210" s="145"/>
      <c r="L210" s="166">
        <f t="shared" ref="L210:AI210" si="33">SUM(L177:L209)</f>
        <v>1.1659303738854561</v>
      </c>
      <c r="M210" s="166">
        <f t="shared" si="33"/>
        <v>5.3901146253037941</v>
      </c>
      <c r="N210" s="166">
        <f t="shared" si="33"/>
        <v>10.336065298651224</v>
      </c>
      <c r="O210" s="166">
        <f t="shared" si="33"/>
        <v>16.225864369905928</v>
      </c>
      <c r="P210" s="166">
        <f t="shared" si="33"/>
        <v>21.958355374842753</v>
      </c>
      <c r="Q210" s="166">
        <f t="shared" si="33"/>
        <v>27.922181771423517</v>
      </c>
      <c r="R210" s="166">
        <f t="shared" si="33"/>
        <v>34.26539821030034</v>
      </c>
      <c r="S210" s="166">
        <f t="shared" si="33"/>
        <v>40.113556911059135</v>
      </c>
      <c r="T210" s="166">
        <f t="shared" si="33"/>
        <v>45.395042365711106</v>
      </c>
      <c r="U210" s="166">
        <f t="shared" si="33"/>
        <v>49.811993130723188</v>
      </c>
      <c r="V210" s="166">
        <f t="shared" si="33"/>
        <v>53.595126128804615</v>
      </c>
      <c r="W210" s="166">
        <f t="shared" si="33"/>
        <v>57.523127458322421</v>
      </c>
      <c r="X210" s="361">
        <f t="shared" si="33"/>
        <v>60.842681795807437</v>
      </c>
      <c r="Y210" s="166">
        <f t="shared" si="33"/>
        <v>64.619663051621416</v>
      </c>
      <c r="Z210" s="166">
        <f t="shared" si="33"/>
        <v>68.718317795986536</v>
      </c>
      <c r="AA210" s="166">
        <f t="shared" si="33"/>
        <v>145.80710029931259</v>
      </c>
      <c r="AB210" s="166">
        <f t="shared" si="33"/>
        <v>152.75709872680267</v>
      </c>
      <c r="AC210" s="166">
        <f t="shared" si="33"/>
        <v>161.0794295050647</v>
      </c>
      <c r="AD210" s="166">
        <f t="shared" si="33"/>
        <v>171.11552828678271</v>
      </c>
      <c r="AE210" s="166">
        <f t="shared" si="33"/>
        <v>181.88166475764237</v>
      </c>
      <c r="AF210" s="166">
        <f t="shared" si="33"/>
        <v>188.38246587949772</v>
      </c>
      <c r="AG210" s="166">
        <f t="shared" si="33"/>
        <v>190.86285480504273</v>
      </c>
      <c r="AH210" s="166">
        <f t="shared" si="33"/>
        <v>193.38095872282321</v>
      </c>
      <c r="AI210" s="166">
        <f t="shared" si="33"/>
        <v>195.63909616129592</v>
      </c>
      <c r="AJ210" s="306">
        <f>SUM(AJ177:AJ209)</f>
        <v>198.74093750399697</v>
      </c>
      <c r="AK210" s="166">
        <f t="shared" ref="AK210:AQ210" si="34">SUM(AK177:AK209)</f>
        <v>198.07831619125824</v>
      </c>
      <c r="AL210" s="166">
        <f t="shared" si="34"/>
        <v>195.85017842732279</v>
      </c>
      <c r="AM210" s="166">
        <f t="shared" si="34"/>
        <v>193.36676633593478</v>
      </c>
      <c r="AN210" s="166">
        <f t="shared" si="34"/>
        <v>191.12004639804832</v>
      </c>
      <c r="AO210" s="166">
        <f t="shared" si="34"/>
        <v>189.13716735826065</v>
      </c>
      <c r="AP210" s="166">
        <f t="shared" si="34"/>
        <v>163.05039273168077</v>
      </c>
      <c r="AQ210" s="166">
        <f t="shared" si="34"/>
        <v>161.21935744886116</v>
      </c>
    </row>
    <row r="211" spans="2:43" ht="15" customHeight="1">
      <c r="E211" s="147"/>
      <c r="H211" s="145"/>
      <c r="I211" s="145"/>
      <c r="J211" s="31"/>
      <c r="K211" s="145"/>
      <c r="L211" s="145"/>
      <c r="M211" s="145"/>
      <c r="N211" s="145"/>
      <c r="O211" s="145"/>
      <c r="P211" s="145"/>
      <c r="Q211" s="145"/>
      <c r="R211" s="145"/>
      <c r="S211" s="145"/>
      <c r="T211" s="145"/>
      <c r="U211" s="145"/>
      <c r="V211" s="145"/>
      <c r="W211" s="145"/>
      <c r="X211" s="145"/>
      <c r="Y211" s="145"/>
      <c r="Z211" s="145"/>
      <c r="AA211" s="145"/>
      <c r="AB211" s="145"/>
      <c r="AC211" s="145"/>
      <c r="AD211" s="145"/>
      <c r="AE211" s="145"/>
      <c r="AF211" s="145"/>
      <c r="AG211" s="145"/>
      <c r="AH211" s="145"/>
      <c r="AI211" s="145"/>
      <c r="AJ211" s="145"/>
      <c r="AK211" s="145"/>
      <c r="AL211" s="145"/>
      <c r="AM211" s="145"/>
      <c r="AN211" s="145"/>
      <c r="AO211" s="145"/>
      <c r="AP211" s="145"/>
      <c r="AQ211" s="145"/>
    </row>
    <row r="212" spans="2:43" ht="15" customHeight="1">
      <c r="E212" s="147"/>
      <c r="H212" s="145"/>
      <c r="I212" s="145"/>
      <c r="J212" s="31"/>
      <c r="K212" s="145"/>
      <c r="L212" s="145"/>
      <c r="M212" s="145"/>
      <c r="N212" s="145"/>
      <c r="O212" s="145"/>
      <c r="P212" s="145"/>
      <c r="Q212" s="145"/>
      <c r="R212" s="147"/>
      <c r="S212" s="147"/>
      <c r="T212" s="147"/>
      <c r="U212" s="147"/>
      <c r="V212" s="145"/>
      <c r="W212" s="145"/>
      <c r="X212" s="145"/>
      <c r="Y212" s="145"/>
      <c r="Z212" s="145"/>
      <c r="AA212" s="145"/>
      <c r="AB212" s="145"/>
      <c r="AC212" s="145"/>
      <c r="AD212" s="145"/>
      <c r="AE212" s="145"/>
      <c r="AF212" s="145"/>
      <c r="AG212" s="145"/>
      <c r="AH212" s="145"/>
      <c r="AI212" s="145"/>
      <c r="AJ212" s="145"/>
      <c r="AK212" s="145"/>
      <c r="AL212" s="145"/>
      <c r="AM212" s="145"/>
      <c r="AN212" s="145"/>
      <c r="AO212" s="145"/>
      <c r="AP212" s="147"/>
      <c r="AQ212" s="147"/>
    </row>
    <row r="213" spans="2:43" ht="15" customHeight="1">
      <c r="C213" s="17" t="s">
        <v>228</v>
      </c>
      <c r="D213" s="17"/>
      <c r="E213" s="17"/>
      <c r="F213" s="17"/>
      <c r="G213" s="17"/>
      <c r="H213" s="17"/>
      <c r="I213" s="292"/>
      <c r="J213" s="303"/>
      <c r="K213" s="292"/>
      <c r="L213" s="292"/>
      <c r="M213" s="292"/>
      <c r="N213" s="292"/>
      <c r="O213" s="292"/>
      <c r="P213" s="292"/>
      <c r="Q213" s="292"/>
      <c r="R213" s="292"/>
      <c r="S213" s="292"/>
      <c r="T213" s="292"/>
      <c r="U213" s="292"/>
      <c r="V213" s="292"/>
      <c r="W213" s="292"/>
      <c r="X213" s="292"/>
      <c r="Y213" s="292"/>
      <c r="Z213" s="292"/>
      <c r="AA213" s="292"/>
      <c r="AB213" s="292"/>
      <c r="AC213" s="292"/>
      <c r="AD213" s="292"/>
      <c r="AE213" s="292"/>
      <c r="AF213" s="292"/>
      <c r="AG213" s="292"/>
      <c r="AH213" s="292"/>
      <c r="AI213" s="292"/>
      <c r="AJ213" s="292"/>
      <c r="AK213" s="292"/>
      <c r="AL213" s="292"/>
      <c r="AM213" s="292"/>
      <c r="AN213" s="292"/>
      <c r="AO213" s="292"/>
      <c r="AP213" s="292"/>
      <c r="AQ213" s="292"/>
    </row>
    <row r="214" spans="2:43" s="149" customFormat="1" ht="15" customHeight="1">
      <c r="B214" s="145"/>
      <c r="C214" s="164" t="s">
        <v>390</v>
      </c>
      <c r="D214" s="164"/>
      <c r="E214" s="164"/>
      <c r="F214" s="164"/>
      <c r="G214" s="164"/>
      <c r="H214" s="164"/>
      <c r="I214" s="192"/>
      <c r="J214" s="192"/>
      <c r="K214" s="192"/>
      <c r="L214" s="192"/>
      <c r="M214" s="192"/>
      <c r="N214" s="192"/>
      <c r="O214" s="192"/>
      <c r="P214" s="192"/>
      <c r="Q214" s="192"/>
      <c r="R214" s="192"/>
      <c r="S214" s="192"/>
      <c r="T214" s="192"/>
      <c r="U214" s="192"/>
      <c r="V214" s="192"/>
      <c r="W214" s="192"/>
      <c r="X214" s="192"/>
      <c r="Y214" s="192"/>
      <c r="Z214" s="192"/>
      <c r="AA214" s="192"/>
      <c r="AB214" s="192"/>
      <c r="AC214" s="192"/>
      <c r="AD214" s="192"/>
      <c r="AE214" s="192"/>
      <c r="AF214" s="192"/>
      <c r="AG214" s="192"/>
      <c r="AH214" s="192"/>
      <c r="AI214" s="192"/>
      <c r="AJ214" s="192"/>
      <c r="AK214" s="192"/>
      <c r="AL214" s="192"/>
      <c r="AM214" s="192"/>
      <c r="AN214" s="192"/>
      <c r="AO214" s="192"/>
      <c r="AP214" s="192"/>
      <c r="AQ214" s="192"/>
    </row>
    <row r="215" spans="2:43" ht="15" customHeight="1">
      <c r="E215" s="147"/>
      <c r="H215" s="145"/>
      <c r="I215" s="145"/>
      <c r="J215" s="31"/>
      <c r="K215" s="145"/>
      <c r="L215" s="145"/>
      <c r="M215" s="145"/>
      <c r="N215" s="145"/>
      <c r="O215" s="145"/>
      <c r="P215" s="145"/>
      <c r="Q215" s="145"/>
      <c r="R215" s="147"/>
      <c r="S215" s="147"/>
      <c r="T215" s="147"/>
      <c r="U215" s="147"/>
      <c r="V215" s="145"/>
      <c r="W215" s="145"/>
      <c r="X215" s="145"/>
      <c r="Y215" s="145"/>
      <c r="Z215" s="145"/>
      <c r="AA215" s="145"/>
      <c r="AB215" s="145"/>
      <c r="AC215" s="145"/>
      <c r="AD215" s="145"/>
      <c r="AE215" s="145"/>
      <c r="AF215" s="145"/>
      <c r="AG215" s="145"/>
      <c r="AH215" s="145"/>
      <c r="AI215" s="145"/>
      <c r="AJ215" s="145"/>
      <c r="AK215" s="145"/>
      <c r="AL215" s="145"/>
      <c r="AM215" s="145"/>
      <c r="AN215" s="145"/>
      <c r="AO215" s="145"/>
      <c r="AP215" s="147"/>
      <c r="AQ215" s="147"/>
    </row>
    <row r="216" spans="2:43" s="149" customFormat="1" ht="15" customHeight="1">
      <c r="B216" s="145"/>
      <c r="D216" s="145"/>
      <c r="E216" s="145" t="s">
        <v>225</v>
      </c>
      <c r="F216" s="145"/>
      <c r="G216" s="156" t="s">
        <v>657</v>
      </c>
      <c r="H216" s="145"/>
      <c r="I216" s="145"/>
      <c r="J216" s="31" t="s">
        <v>54</v>
      </c>
      <c r="K216" s="145"/>
      <c r="L216" s="145"/>
      <c r="M216" s="145"/>
      <c r="N216" s="145"/>
      <c r="O216" s="145"/>
      <c r="P216" s="145"/>
      <c r="Q216" s="145"/>
      <c r="R216" s="145"/>
      <c r="S216" s="145"/>
      <c r="T216" s="145"/>
      <c r="U216" s="145"/>
      <c r="V216" s="145"/>
      <c r="W216" s="145"/>
      <c r="X216" s="145"/>
      <c r="Y216" s="145"/>
      <c r="Z216" s="145"/>
      <c r="AA216" s="145"/>
      <c r="AB216" s="145"/>
      <c r="AC216" s="145"/>
      <c r="AD216" s="145"/>
      <c r="AE216" s="145"/>
      <c r="AF216" s="145"/>
      <c r="AG216" s="145"/>
      <c r="AH216" s="107"/>
      <c r="AI216" s="107">
        <f>SUM($K18:AI18)</f>
        <v>4211.3753528482539</v>
      </c>
      <c r="AJ216" s="145"/>
      <c r="AL216" s="145"/>
      <c r="AM216" s="145"/>
      <c r="AN216" s="145"/>
      <c r="AO216" s="145"/>
      <c r="AP216" s="145"/>
      <c r="AQ216" s="145"/>
    </row>
    <row r="217" spans="2:43" ht="15" customHeight="1">
      <c r="E217" s="147" t="s">
        <v>114</v>
      </c>
      <c r="G217" s="156" t="s">
        <v>657</v>
      </c>
      <c r="H217" s="145"/>
      <c r="I217" s="145"/>
      <c r="J217" s="31" t="s">
        <v>54</v>
      </c>
      <c r="K217" s="145"/>
      <c r="L217" s="145"/>
      <c r="M217" s="145"/>
      <c r="N217" s="145"/>
      <c r="O217" s="145"/>
      <c r="P217" s="145"/>
      <c r="Q217" s="145"/>
      <c r="R217" s="147"/>
      <c r="S217" s="147"/>
      <c r="T217" s="147"/>
      <c r="U217" s="147"/>
      <c r="V217" s="145"/>
      <c r="W217" s="145"/>
      <c r="X217" s="145"/>
      <c r="Y217" s="145"/>
      <c r="Z217" s="145"/>
      <c r="AA217" s="145"/>
      <c r="AB217" s="145"/>
      <c r="AC217" s="145"/>
      <c r="AD217" s="145"/>
      <c r="AE217" s="145"/>
      <c r="AF217" s="145"/>
      <c r="AG217" s="145"/>
      <c r="AH217" s="107"/>
      <c r="AI217" s="107">
        <f>SUM($K$23:$AI$23) + SUM($K210:AI210)</f>
        <v>2138.7896158066133</v>
      </c>
      <c r="AJ217" s="145"/>
      <c r="AL217" s="145"/>
      <c r="AM217" s="145"/>
      <c r="AN217" s="145"/>
      <c r="AO217" s="145"/>
      <c r="AP217" s="145"/>
      <c r="AQ217" s="145"/>
    </row>
    <row r="218" spans="2:43" ht="15" customHeight="1">
      <c r="E218" s="147"/>
      <c r="H218" s="145"/>
      <c r="I218" s="145"/>
      <c r="J218" s="31"/>
      <c r="K218" s="145"/>
      <c r="L218" s="145"/>
      <c r="M218" s="145"/>
      <c r="N218" s="145"/>
      <c r="O218" s="145"/>
      <c r="P218" s="145"/>
      <c r="Q218" s="145"/>
      <c r="R218" s="147"/>
      <c r="S218" s="147"/>
      <c r="T218" s="147"/>
      <c r="U218" s="147"/>
      <c r="V218" s="145"/>
      <c r="W218" s="145"/>
      <c r="X218" s="145"/>
      <c r="Y218" s="145"/>
      <c r="Z218" s="145"/>
      <c r="AA218" s="145"/>
      <c r="AB218" s="145"/>
      <c r="AC218" s="145"/>
      <c r="AD218" s="145"/>
      <c r="AE218" s="145"/>
      <c r="AF218" s="145"/>
      <c r="AG218" s="145"/>
      <c r="AH218" s="145"/>
      <c r="AI218" s="145"/>
      <c r="AJ218" s="145"/>
      <c r="AL218" s="145"/>
      <c r="AM218" s="145"/>
      <c r="AN218" s="145"/>
      <c r="AO218" s="145"/>
      <c r="AP218" s="147"/>
      <c r="AQ218" s="147"/>
    </row>
    <row r="219" spans="2:43" ht="15" customHeight="1">
      <c r="E219" s="147" t="s">
        <v>226</v>
      </c>
      <c r="G219" s="156" t="s">
        <v>657</v>
      </c>
      <c r="H219" s="145"/>
      <c r="I219" s="145"/>
      <c r="J219" s="31"/>
      <c r="K219" s="145"/>
      <c r="L219" s="145"/>
      <c r="M219" s="145"/>
      <c r="N219" s="145"/>
      <c r="O219" s="145"/>
      <c r="P219" s="145"/>
      <c r="Q219" s="145"/>
      <c r="R219" s="147"/>
      <c r="S219" s="147"/>
      <c r="T219" s="147"/>
      <c r="U219" s="147"/>
      <c r="V219" s="145"/>
      <c r="W219" s="145"/>
      <c r="X219" s="145"/>
      <c r="Y219" s="145"/>
      <c r="Z219" s="145"/>
      <c r="AA219" s="145"/>
      <c r="AB219" s="145"/>
      <c r="AC219" s="145"/>
      <c r="AD219" s="145"/>
      <c r="AE219" s="145"/>
      <c r="AF219" s="145"/>
      <c r="AG219" s="145"/>
      <c r="AH219" s="147"/>
      <c r="AI219" s="107"/>
      <c r="AJ219" s="107">
        <f>AI216</f>
        <v>4211.3753528482539</v>
      </c>
      <c r="AK219" s="145"/>
      <c r="AL219" s="145"/>
      <c r="AM219" s="145"/>
      <c r="AN219" s="145"/>
      <c r="AO219" s="145"/>
      <c r="AP219" s="147"/>
      <c r="AQ219" s="147"/>
    </row>
    <row r="220" spans="2:43" ht="15" customHeight="1">
      <c r="E220" s="147" t="s">
        <v>227</v>
      </c>
      <c r="G220" s="156" t="s">
        <v>657</v>
      </c>
      <c r="H220" s="145"/>
      <c r="I220" s="145"/>
      <c r="J220" s="31"/>
      <c r="K220" s="145"/>
      <c r="L220" s="145"/>
      <c r="M220" s="145"/>
      <c r="N220" s="145"/>
      <c r="O220" s="145"/>
      <c r="P220" s="145"/>
      <c r="Q220" s="145"/>
      <c r="R220" s="147"/>
      <c r="S220" s="147"/>
      <c r="T220" s="147"/>
      <c r="U220" s="147"/>
      <c r="V220" s="145"/>
      <c r="W220" s="145"/>
      <c r="X220" s="145"/>
      <c r="Y220" s="145"/>
      <c r="Z220" s="145"/>
      <c r="AA220" s="145"/>
      <c r="AB220" s="145"/>
      <c r="AC220" s="145"/>
      <c r="AD220" s="145"/>
      <c r="AE220" s="145"/>
      <c r="AF220" s="145"/>
      <c r="AG220" s="145"/>
      <c r="AH220" s="147"/>
      <c r="AI220" s="107"/>
      <c r="AJ220" s="107">
        <f>AI217</f>
        <v>2138.7896158066133</v>
      </c>
      <c r="AK220" s="145"/>
      <c r="AL220" s="145"/>
      <c r="AM220" s="145"/>
      <c r="AN220" s="145"/>
      <c r="AO220" s="145"/>
      <c r="AP220" s="147"/>
      <c r="AQ220" s="147"/>
    </row>
    <row r="221" spans="2:43" ht="15" customHeight="1"/>
    <row r="222" spans="2:43" ht="15" customHeight="1">
      <c r="E222" s="156" t="s">
        <v>561</v>
      </c>
      <c r="G222" s="360" t="str">
        <f>IF(SUM(K225:K257)=0,"OK","Error")</f>
        <v>OK</v>
      </c>
    </row>
    <row r="223" spans="2:43" ht="15" customHeight="1"/>
    <row r="224" spans="2:43" ht="15" customHeight="1">
      <c r="E224" s="156" t="s">
        <v>467</v>
      </c>
      <c r="G224" s="156" t="s">
        <v>485</v>
      </c>
      <c r="I224" s="156" t="s">
        <v>562</v>
      </c>
      <c r="K224" s="156" t="s">
        <v>563</v>
      </c>
    </row>
    <row r="225" spans="5:36" ht="15" customHeight="1">
      <c r="E225" s="267">
        <f>E177</f>
        <v>33328</v>
      </c>
      <c r="G225" s="156">
        <f>SUM(K177:AQ177)</f>
        <v>38.825481450385666</v>
      </c>
      <c r="I225" s="156">
        <f>I177</f>
        <v>38.825481450385681</v>
      </c>
      <c r="K225" s="156">
        <f>IF(ROUND(G225,6)&gt;ROUND(I225,6),1,0)</f>
        <v>0</v>
      </c>
    </row>
    <row r="226" spans="5:36" ht="15" customHeight="1">
      <c r="E226" s="267">
        <f t="shared" ref="E226:E257" si="35">E178</f>
        <v>33694</v>
      </c>
      <c r="G226" s="156">
        <f t="shared" ref="G226:G257" si="36">SUM(K178:AQ178)</f>
        <v>140.66533557223062</v>
      </c>
      <c r="I226" s="156">
        <f t="shared" ref="I226:I257" si="37">I178</f>
        <v>140.66533557223065</v>
      </c>
      <c r="K226" s="156">
        <f t="shared" ref="K226:K257" si="38">IF(ROUND(G226,6)&gt;ROUND(I226,6),1,0)</f>
        <v>0</v>
      </c>
      <c r="AJ226" s="218"/>
    </row>
    <row r="227" spans="5:36" ht="15" customHeight="1">
      <c r="E227" s="267">
        <f t="shared" si="35"/>
        <v>34059</v>
      </c>
      <c r="G227" s="156">
        <f t="shared" si="36"/>
        <v>164.70015742246946</v>
      </c>
      <c r="I227" s="156">
        <f t="shared" si="37"/>
        <v>164.7001574224694</v>
      </c>
      <c r="K227" s="156">
        <f t="shared" si="38"/>
        <v>0</v>
      </c>
    </row>
    <row r="228" spans="5:36" ht="15" customHeight="1">
      <c r="E228" s="267">
        <f t="shared" si="35"/>
        <v>34424</v>
      </c>
      <c r="G228" s="156">
        <f t="shared" si="36"/>
        <v>196.13030907278164</v>
      </c>
      <c r="I228" s="156">
        <f t="shared" si="37"/>
        <v>196.13030907278159</v>
      </c>
      <c r="K228" s="156">
        <f t="shared" si="38"/>
        <v>0</v>
      </c>
    </row>
    <row r="229" spans="5:36" ht="15" customHeight="1">
      <c r="E229" s="267">
        <f t="shared" si="35"/>
        <v>34789</v>
      </c>
      <c r="G229" s="156">
        <f t="shared" si="36"/>
        <v>190.89195046439619</v>
      </c>
      <c r="I229" s="156">
        <f t="shared" si="37"/>
        <v>190.89195046439625</v>
      </c>
      <c r="K229" s="156">
        <f t="shared" si="38"/>
        <v>0</v>
      </c>
    </row>
    <row r="230" spans="5:36" ht="15" customHeight="1">
      <c r="E230" s="267">
        <f t="shared" si="35"/>
        <v>35155</v>
      </c>
      <c r="G230" s="156">
        <f t="shared" si="36"/>
        <v>198.59541900613939</v>
      </c>
      <c r="I230" s="156">
        <f t="shared" si="37"/>
        <v>198.59541900613948</v>
      </c>
      <c r="K230" s="156">
        <f t="shared" si="38"/>
        <v>0</v>
      </c>
    </row>
    <row r="231" spans="5:36" ht="15" customHeight="1">
      <c r="E231" s="267">
        <f t="shared" si="35"/>
        <v>35520</v>
      </c>
      <c r="G231" s="156">
        <f t="shared" si="36"/>
        <v>211.22910741459827</v>
      </c>
      <c r="I231" s="156">
        <f t="shared" si="37"/>
        <v>211.22910741459825</v>
      </c>
      <c r="K231" s="156">
        <f t="shared" si="38"/>
        <v>0</v>
      </c>
    </row>
    <row r="232" spans="5:36" ht="15" customHeight="1">
      <c r="E232" s="267">
        <f t="shared" si="35"/>
        <v>35885</v>
      </c>
      <c r="G232" s="156">
        <f t="shared" si="36"/>
        <v>194.74368473526783</v>
      </c>
      <c r="I232" s="156">
        <f t="shared" si="37"/>
        <v>194.74368473526786</v>
      </c>
      <c r="K232" s="156">
        <f t="shared" si="38"/>
        <v>0</v>
      </c>
    </row>
    <row r="233" spans="5:36" ht="15" customHeight="1">
      <c r="E233" s="267">
        <f t="shared" si="35"/>
        <v>36250</v>
      </c>
      <c r="G233" s="156">
        <f t="shared" si="36"/>
        <v>175.87346563991059</v>
      </c>
      <c r="I233" s="156">
        <f t="shared" si="37"/>
        <v>175.87346563991051</v>
      </c>
      <c r="K233" s="156">
        <f t="shared" si="38"/>
        <v>0</v>
      </c>
    </row>
    <row r="234" spans="5:36" ht="15" customHeight="1">
      <c r="E234" s="267">
        <f t="shared" si="35"/>
        <v>36616</v>
      </c>
      <c r="G234" s="156">
        <f t="shared" si="36"/>
        <v>147.0844604749023</v>
      </c>
      <c r="I234" s="156">
        <f t="shared" si="37"/>
        <v>147.08446047490233</v>
      </c>
      <c r="K234" s="156">
        <f t="shared" si="38"/>
        <v>0</v>
      </c>
    </row>
    <row r="235" spans="5:36" ht="15" customHeight="1">
      <c r="E235" s="267">
        <f t="shared" si="35"/>
        <v>36981</v>
      </c>
      <c r="G235" s="156">
        <f t="shared" si="36"/>
        <v>125.97832883611153</v>
      </c>
      <c r="I235" s="156">
        <f t="shared" si="37"/>
        <v>125.97832883611149</v>
      </c>
      <c r="K235" s="156">
        <f t="shared" si="38"/>
        <v>0</v>
      </c>
    </row>
    <row r="236" spans="5:36" ht="15" customHeight="1">
      <c r="E236" s="267">
        <f t="shared" si="35"/>
        <v>37346</v>
      </c>
      <c r="G236" s="156">
        <f t="shared" si="36"/>
        <v>130.80244427294286</v>
      </c>
      <c r="I236" s="156">
        <f t="shared" si="37"/>
        <v>130.80244427294289</v>
      </c>
      <c r="K236" s="156">
        <f t="shared" si="38"/>
        <v>0</v>
      </c>
    </row>
    <row r="237" spans="5:36" ht="15" customHeight="1">
      <c r="E237" s="267">
        <f t="shared" si="35"/>
        <v>37711</v>
      </c>
      <c r="G237" s="156">
        <f t="shared" si="36"/>
        <v>110.541159438251</v>
      </c>
      <c r="I237" s="156">
        <f t="shared" si="37"/>
        <v>110.541159438251</v>
      </c>
      <c r="K237" s="156">
        <f t="shared" si="38"/>
        <v>0</v>
      </c>
    </row>
    <row r="238" spans="5:36" ht="15" customHeight="1">
      <c r="E238" s="267">
        <f t="shared" si="35"/>
        <v>38077</v>
      </c>
      <c r="G238" s="156">
        <f t="shared" si="36"/>
        <v>119.484802027675</v>
      </c>
      <c r="I238" s="156">
        <f t="shared" si="37"/>
        <v>125.77347581860529</v>
      </c>
      <c r="K238" s="156">
        <f t="shared" si="38"/>
        <v>0</v>
      </c>
    </row>
    <row r="239" spans="5:36" ht="15" customHeight="1">
      <c r="E239" s="267">
        <f t="shared" si="35"/>
        <v>38442</v>
      </c>
      <c r="G239" s="156">
        <f t="shared" si="36"/>
        <v>122.83668268862279</v>
      </c>
      <c r="I239" s="156">
        <f t="shared" si="37"/>
        <v>136.48520298735869</v>
      </c>
      <c r="K239" s="156">
        <f t="shared" si="38"/>
        <v>0</v>
      </c>
    </row>
    <row r="240" spans="5:36" ht="15" customHeight="1">
      <c r="E240" s="267">
        <f t="shared" si="35"/>
        <v>38807</v>
      </c>
      <c r="G240" s="156">
        <f t="shared" si="36"/>
        <v>113.19058334105783</v>
      </c>
      <c r="I240" s="156">
        <f t="shared" si="37"/>
        <v>133.16539216595041</v>
      </c>
      <c r="K240" s="156">
        <f t="shared" si="38"/>
        <v>0</v>
      </c>
    </row>
    <row r="241" spans="5:11" ht="15" customHeight="1">
      <c r="E241" s="267">
        <f t="shared" si="35"/>
        <v>39172</v>
      </c>
      <c r="G241" s="156">
        <f t="shared" si="36"/>
        <v>111.19997483984115</v>
      </c>
      <c r="I241" s="156">
        <f t="shared" si="37"/>
        <v>138.99996854980139</v>
      </c>
      <c r="K241" s="156">
        <f t="shared" si="38"/>
        <v>0</v>
      </c>
    </row>
    <row r="242" spans="5:11" ht="15" customHeight="1">
      <c r="E242" s="267">
        <f t="shared" si="35"/>
        <v>39538</v>
      </c>
      <c r="G242" s="156">
        <f t="shared" si="36"/>
        <v>124.83496167393044</v>
      </c>
      <c r="I242" s="156">
        <f t="shared" si="37"/>
        <v>166.44661556524062</v>
      </c>
      <c r="K242" s="156">
        <f t="shared" si="38"/>
        <v>0</v>
      </c>
    </row>
    <row r="243" spans="5:11" ht="15" customHeight="1">
      <c r="E243" s="267">
        <f t="shared" si="35"/>
        <v>39903</v>
      </c>
      <c r="G243" s="156">
        <f t="shared" si="36"/>
        <v>140.50538294405217</v>
      </c>
      <c r="I243" s="156">
        <f t="shared" si="37"/>
        <v>200.72197563436023</v>
      </c>
      <c r="K243" s="156">
        <f t="shared" si="38"/>
        <v>0</v>
      </c>
    </row>
    <row r="244" spans="5:11" ht="15" customHeight="1">
      <c r="E244" s="267">
        <f t="shared" si="35"/>
        <v>40268</v>
      </c>
      <c r="G244" s="156">
        <f t="shared" si="36"/>
        <v>139.95977412117549</v>
      </c>
      <c r="I244" s="156">
        <f t="shared" si="37"/>
        <v>215.32272941719307</v>
      </c>
      <c r="K244" s="156">
        <f t="shared" si="38"/>
        <v>0</v>
      </c>
    </row>
    <row r="245" spans="5:11" ht="15" customHeight="1">
      <c r="E245" s="267">
        <f t="shared" si="35"/>
        <v>40633</v>
      </c>
      <c r="G245" s="156">
        <f t="shared" si="36"/>
        <v>101.30490233249581</v>
      </c>
      <c r="I245" s="156">
        <f t="shared" si="37"/>
        <v>168.84150388749299</v>
      </c>
      <c r="K245" s="156">
        <f t="shared" si="38"/>
        <v>0</v>
      </c>
    </row>
    <row r="246" spans="5:11" ht="15" customHeight="1">
      <c r="E246" s="267">
        <f t="shared" si="35"/>
        <v>40999</v>
      </c>
      <c r="G246" s="156">
        <f t="shared" si="36"/>
        <v>104.6502127457223</v>
      </c>
      <c r="I246" s="156">
        <f t="shared" si="37"/>
        <v>190.27311408313142</v>
      </c>
      <c r="K246" s="156">
        <f t="shared" si="38"/>
        <v>0</v>
      </c>
    </row>
    <row r="247" spans="5:11" ht="15" customHeight="1">
      <c r="E247" s="267">
        <f t="shared" si="35"/>
        <v>41364</v>
      </c>
      <c r="G247" s="156">
        <f t="shared" si="36"/>
        <v>107.53111788903878</v>
      </c>
      <c r="I247" s="156">
        <f t="shared" si="37"/>
        <v>215.06223577807756</v>
      </c>
      <c r="K247" s="156">
        <f t="shared" si="38"/>
        <v>0</v>
      </c>
    </row>
    <row r="248" spans="5:11" ht="15" customHeight="1">
      <c r="E248" s="267">
        <f t="shared" si="35"/>
        <v>41729</v>
      </c>
      <c r="G248" s="156">
        <f t="shared" si="36"/>
        <v>108.58187602900627</v>
      </c>
      <c r="I248" s="156">
        <f t="shared" si="37"/>
        <v>241.2930578422361</v>
      </c>
      <c r="K248" s="156">
        <f t="shared" si="38"/>
        <v>0</v>
      </c>
    </row>
    <row r="249" spans="5:11" ht="15" customHeight="1">
      <c r="E249" s="267">
        <f t="shared" si="35"/>
        <v>42094</v>
      </c>
      <c r="G249" s="156">
        <f t="shared" si="36"/>
        <v>101.17151092736754</v>
      </c>
      <c r="I249" s="156">
        <f t="shared" si="37"/>
        <v>252.92877731841884</v>
      </c>
      <c r="K249" s="156">
        <f t="shared" si="38"/>
        <v>0</v>
      </c>
    </row>
    <row r="250" spans="5:11" ht="15" customHeight="1">
      <c r="E250" s="267">
        <f t="shared" si="35"/>
        <v>42460</v>
      </c>
      <c r="G250" s="156">
        <f t="shared" si="36"/>
        <v>64.870047462977482</v>
      </c>
      <c r="I250" s="156">
        <f t="shared" si="37"/>
        <v>214.30283536876493</v>
      </c>
      <c r="K250" s="156">
        <f t="shared" si="38"/>
        <v>0</v>
      </c>
    </row>
    <row r="251" spans="5:11" ht="15" customHeight="1">
      <c r="E251" s="267">
        <f t="shared" si="35"/>
        <v>42825</v>
      </c>
      <c r="G251" s="156">
        <f t="shared" si="36"/>
        <v>49.999905640766812</v>
      </c>
      <c r="I251" s="156">
        <f t="shared" si="37"/>
        <v>218.74958717835483</v>
      </c>
      <c r="K251" s="156">
        <f t="shared" si="38"/>
        <v>0</v>
      </c>
    </row>
    <row r="252" spans="5:11" ht="15" customHeight="1">
      <c r="E252" s="267">
        <f t="shared" si="35"/>
        <v>43190</v>
      </c>
      <c r="G252" s="156">
        <f t="shared" si="36"/>
        <v>36.268860726876838</v>
      </c>
      <c r="I252" s="156">
        <f t="shared" si="37"/>
        <v>213.07955677040144</v>
      </c>
      <c r="K252" s="156">
        <f t="shared" si="38"/>
        <v>0</v>
      </c>
    </row>
    <row r="253" spans="5:11" ht="15" customHeight="1">
      <c r="E253" s="267">
        <f t="shared" si="35"/>
        <v>43555</v>
      </c>
      <c r="G253" s="156">
        <f t="shared" si="36"/>
        <v>26.187813376436338</v>
      </c>
      <c r="I253" s="156">
        <f t="shared" si="37"/>
        <v>212.77598368354523</v>
      </c>
      <c r="K253" s="156">
        <f t="shared" si="38"/>
        <v>0</v>
      </c>
    </row>
    <row r="254" spans="5:11" ht="15" customHeight="1">
      <c r="E254" s="267">
        <f t="shared" si="35"/>
        <v>43921</v>
      </c>
      <c r="G254" s="156">
        <f t="shared" si="36"/>
        <v>16.114031951872349</v>
      </c>
      <c r="I254" s="156">
        <f t="shared" si="37"/>
        <v>191.35412942848416</v>
      </c>
      <c r="K254" s="156">
        <f t="shared" si="38"/>
        <v>0</v>
      </c>
    </row>
    <row r="255" spans="5:11" ht="15" customHeight="1">
      <c r="E255" s="267">
        <f t="shared" si="35"/>
        <v>44286</v>
      </c>
      <c r="G255" s="156">
        <f t="shared" si="36"/>
        <v>9.8899467518463595</v>
      </c>
      <c r="I255" s="156">
        <f t="shared" si="37"/>
        <v>191.61771831702322</v>
      </c>
      <c r="K255" s="156">
        <f t="shared" si="38"/>
        <v>0</v>
      </c>
    </row>
    <row r="256" spans="5:11" ht="15" customHeight="1">
      <c r="E256" s="267">
        <f t="shared" si="35"/>
        <v>44651</v>
      </c>
      <c r="G256" s="156">
        <f t="shared" si="36"/>
        <v>4.7090869308275529</v>
      </c>
      <c r="I256" s="156">
        <f t="shared" si="37"/>
        <v>197.19301522840377</v>
      </c>
      <c r="K256" s="156">
        <f t="shared" si="38"/>
        <v>0</v>
      </c>
    </row>
    <row r="257" spans="2:43" ht="15" customHeight="1">
      <c r="E257" s="267">
        <f t="shared" si="35"/>
        <v>45016</v>
      </c>
      <c r="G257" s="156">
        <f t="shared" si="36"/>
        <v>0</v>
      </c>
      <c r="I257" s="156">
        <f t="shared" si="37"/>
        <v>192.13875531318419</v>
      </c>
      <c r="K257" s="156">
        <f t="shared" si="38"/>
        <v>0</v>
      </c>
    </row>
    <row r="258" spans="2:43" ht="15" customHeight="1">
      <c r="E258" s="267"/>
    </row>
    <row r="259" spans="2:43" ht="15" customHeight="1">
      <c r="B259" s="84" t="s">
        <v>51</v>
      </c>
      <c r="C259" s="84"/>
      <c r="D259" s="84"/>
      <c r="E259" s="84"/>
      <c r="F259" s="84"/>
      <c r="G259" s="84"/>
      <c r="H259" s="84"/>
      <c r="I259" s="84"/>
      <c r="J259" s="84"/>
      <c r="K259" s="84"/>
      <c r="L259" s="84"/>
      <c r="M259" s="84"/>
      <c r="N259" s="84"/>
      <c r="O259" s="84"/>
      <c r="P259" s="84"/>
      <c r="Q259" s="84"/>
      <c r="R259" s="84"/>
      <c r="S259" s="84"/>
      <c r="T259" s="84"/>
      <c r="U259" s="84"/>
      <c r="V259" s="84"/>
      <c r="W259" s="84"/>
      <c r="X259" s="84"/>
      <c r="Y259" s="84"/>
      <c r="Z259" s="84"/>
      <c r="AA259" s="84"/>
      <c r="AB259" s="84"/>
      <c r="AC259" s="84"/>
      <c r="AD259" s="84"/>
      <c r="AE259" s="84"/>
      <c r="AF259" s="84"/>
      <c r="AG259" s="84"/>
      <c r="AH259" s="84"/>
      <c r="AI259" s="84"/>
      <c r="AJ259" s="84"/>
      <c r="AK259" s="84"/>
      <c r="AL259" s="84"/>
      <c r="AM259" s="84"/>
      <c r="AN259" s="84"/>
      <c r="AO259" s="84"/>
      <c r="AP259" s="84"/>
      <c r="AQ259" s="84"/>
    </row>
    <row r="260" spans="2:43" ht="15" customHeight="1"/>
  </sheetData>
  <conditionalFormatting sqref="K79:AB79 L83:AQ83 L127:AQ127 L38:AQ38 L129:AR129">
    <cfRule type="cellIs" dxfId="82" priority="76" operator="equal">
      <formula>FALSE()</formula>
    </cfRule>
  </conditionalFormatting>
  <conditionalFormatting sqref="L88:AQ120">
    <cfRule type="expression" dxfId="81" priority="75">
      <formula>L$83 = FALSE()</formula>
    </cfRule>
  </conditionalFormatting>
  <conditionalFormatting sqref="L43:AQ75">
    <cfRule type="expression" dxfId="80" priority="74">
      <formula>L$38 = FALSE()</formula>
    </cfRule>
  </conditionalFormatting>
  <conditionalFormatting sqref="AR45">
    <cfRule type="expression" dxfId="79" priority="69">
      <formula>AT$38 = FALSE()</formula>
    </cfRule>
  </conditionalFormatting>
  <conditionalFormatting sqref="AR46">
    <cfRule type="expression" dxfId="78" priority="68">
      <formula>AT$38 = FALSE()</formula>
    </cfRule>
  </conditionalFormatting>
  <conditionalFormatting sqref="AS46">
    <cfRule type="expression" dxfId="77" priority="67">
      <formula>AU$38 = FALSE()</formula>
    </cfRule>
  </conditionalFormatting>
  <conditionalFormatting sqref="AS47">
    <cfRule type="expression" dxfId="76" priority="66">
      <formula>AU$38 = FALSE()</formula>
    </cfRule>
  </conditionalFormatting>
  <conditionalFormatting sqref="AT47">
    <cfRule type="expression" dxfId="75" priority="65">
      <formula>AV$38 = FALSE()</formula>
    </cfRule>
  </conditionalFormatting>
  <conditionalFormatting sqref="AT48">
    <cfRule type="expression" dxfId="74" priority="64">
      <formula>AV$38 = FALSE()</formula>
    </cfRule>
  </conditionalFormatting>
  <conditionalFormatting sqref="AU48">
    <cfRule type="expression" dxfId="73" priority="63">
      <formula>AW$38 = FALSE()</formula>
    </cfRule>
  </conditionalFormatting>
  <conditionalFormatting sqref="AU49">
    <cfRule type="expression" dxfId="72" priority="62">
      <formula>AW$38 = FALSE()</formula>
    </cfRule>
  </conditionalFormatting>
  <conditionalFormatting sqref="AV49">
    <cfRule type="expression" dxfId="71" priority="61">
      <formula>AX$38 = FALSE()</formula>
    </cfRule>
  </conditionalFormatting>
  <conditionalFormatting sqref="AV50">
    <cfRule type="expression" dxfId="70" priority="60">
      <formula>AX$38 = FALSE()</formula>
    </cfRule>
  </conditionalFormatting>
  <conditionalFormatting sqref="AW50">
    <cfRule type="expression" dxfId="69" priority="59">
      <formula>AY$38 = FALSE()</formula>
    </cfRule>
  </conditionalFormatting>
  <conditionalFormatting sqref="AW51">
    <cfRule type="expression" dxfId="68" priority="58">
      <formula>AY$38 = FALSE()</formula>
    </cfRule>
  </conditionalFormatting>
  <conditionalFormatting sqref="AX51">
    <cfRule type="expression" dxfId="67" priority="57">
      <formula>AZ$38 = FALSE()</formula>
    </cfRule>
  </conditionalFormatting>
  <conditionalFormatting sqref="AX52">
    <cfRule type="expression" dxfId="66" priority="56">
      <formula>AZ$38 = FALSE()</formula>
    </cfRule>
  </conditionalFormatting>
  <conditionalFormatting sqref="AY52">
    <cfRule type="expression" dxfId="65" priority="55">
      <formula>BA$38 = FALSE()</formula>
    </cfRule>
  </conditionalFormatting>
  <conditionalFormatting sqref="AY53">
    <cfRule type="expression" dxfId="64" priority="54">
      <formula>BA$38 = FALSE()</formula>
    </cfRule>
  </conditionalFormatting>
  <conditionalFormatting sqref="AZ53">
    <cfRule type="expression" dxfId="63" priority="53">
      <formula>BB$38 = FALSE()</formula>
    </cfRule>
  </conditionalFormatting>
  <conditionalFormatting sqref="AZ54">
    <cfRule type="expression" dxfId="62" priority="52">
      <formula>BB$38 = FALSE()</formula>
    </cfRule>
  </conditionalFormatting>
  <conditionalFormatting sqref="BA54">
    <cfRule type="expression" dxfId="61" priority="51">
      <formula>BC$38 = FALSE()</formula>
    </cfRule>
  </conditionalFormatting>
  <conditionalFormatting sqref="BA55">
    <cfRule type="expression" dxfId="60" priority="50">
      <formula>BC$38 = FALSE()</formula>
    </cfRule>
  </conditionalFormatting>
  <conditionalFormatting sqref="BB55">
    <cfRule type="expression" dxfId="59" priority="49">
      <formula>BD$38 = FALSE()</formula>
    </cfRule>
  </conditionalFormatting>
  <conditionalFormatting sqref="BB56">
    <cfRule type="expression" dxfId="58" priority="48">
      <formula>BD$38 = FALSE()</formula>
    </cfRule>
  </conditionalFormatting>
  <conditionalFormatting sqref="BC56">
    <cfRule type="expression" dxfId="57" priority="47">
      <formula>BE$38 = FALSE()</formula>
    </cfRule>
  </conditionalFormatting>
  <conditionalFormatting sqref="BC57">
    <cfRule type="expression" dxfId="56" priority="46">
      <formula>BE$38 = FALSE()</formula>
    </cfRule>
  </conditionalFormatting>
  <conditionalFormatting sqref="BD57">
    <cfRule type="expression" dxfId="55" priority="45">
      <formula>BF$38 = FALSE()</formula>
    </cfRule>
  </conditionalFormatting>
  <conditionalFormatting sqref="BD58">
    <cfRule type="expression" dxfId="54" priority="44">
      <formula>BF$38 = FALSE()</formula>
    </cfRule>
  </conditionalFormatting>
  <conditionalFormatting sqref="BE58">
    <cfRule type="expression" dxfId="53" priority="43">
      <formula>BG$38 = FALSE()</formula>
    </cfRule>
  </conditionalFormatting>
  <conditionalFormatting sqref="BE59">
    <cfRule type="expression" dxfId="52" priority="42">
      <formula>BG$38 = FALSE()</formula>
    </cfRule>
  </conditionalFormatting>
  <conditionalFormatting sqref="BF59">
    <cfRule type="expression" dxfId="51" priority="41">
      <formula>BH$38 = FALSE()</formula>
    </cfRule>
  </conditionalFormatting>
  <conditionalFormatting sqref="BF60">
    <cfRule type="expression" dxfId="50" priority="40">
      <formula>BH$38 = FALSE()</formula>
    </cfRule>
  </conditionalFormatting>
  <conditionalFormatting sqref="BG60">
    <cfRule type="expression" dxfId="49" priority="39">
      <formula>BI$38 = FALSE()</formula>
    </cfRule>
  </conditionalFormatting>
  <conditionalFormatting sqref="BG61">
    <cfRule type="expression" dxfId="48" priority="38">
      <formula>BI$38 = FALSE()</formula>
    </cfRule>
  </conditionalFormatting>
  <conditionalFormatting sqref="BH61">
    <cfRule type="expression" dxfId="47" priority="37">
      <formula>BJ$38 = FALSE()</formula>
    </cfRule>
  </conditionalFormatting>
  <conditionalFormatting sqref="BH62">
    <cfRule type="expression" dxfId="46" priority="36">
      <formula>BJ$38 = FALSE()</formula>
    </cfRule>
  </conditionalFormatting>
  <conditionalFormatting sqref="BI62">
    <cfRule type="expression" dxfId="45" priority="35">
      <formula>BK$38 = FALSE()</formula>
    </cfRule>
  </conditionalFormatting>
  <conditionalFormatting sqref="BI63">
    <cfRule type="expression" dxfId="44" priority="34">
      <formula>BK$38 = FALSE()</formula>
    </cfRule>
  </conditionalFormatting>
  <conditionalFormatting sqref="BJ63">
    <cfRule type="expression" dxfId="43" priority="33">
      <formula>BL$38 = FALSE()</formula>
    </cfRule>
  </conditionalFormatting>
  <conditionalFormatting sqref="BJ64">
    <cfRule type="expression" dxfId="42" priority="32">
      <formula>BL$38 = FALSE()</formula>
    </cfRule>
  </conditionalFormatting>
  <conditionalFormatting sqref="BK64">
    <cfRule type="expression" dxfId="41" priority="31">
      <formula>BM$38 = FALSE()</formula>
    </cfRule>
  </conditionalFormatting>
  <conditionalFormatting sqref="BK65">
    <cfRule type="expression" dxfId="40" priority="30">
      <formula>BM$38 = FALSE()</formula>
    </cfRule>
  </conditionalFormatting>
  <conditionalFormatting sqref="BL65">
    <cfRule type="expression" dxfId="39" priority="29">
      <formula>BN$38 = FALSE()</formula>
    </cfRule>
  </conditionalFormatting>
  <conditionalFormatting sqref="BL66">
    <cfRule type="expression" dxfId="38" priority="28">
      <formula>BN$38 = FALSE()</formula>
    </cfRule>
  </conditionalFormatting>
  <conditionalFormatting sqref="BM66">
    <cfRule type="expression" dxfId="37" priority="27">
      <formula>BO$38 = FALSE()</formula>
    </cfRule>
  </conditionalFormatting>
  <conditionalFormatting sqref="BM67">
    <cfRule type="expression" dxfId="36" priority="26">
      <formula>BO$38 = FALSE()</formula>
    </cfRule>
  </conditionalFormatting>
  <conditionalFormatting sqref="BN67">
    <cfRule type="expression" dxfId="35" priority="25">
      <formula>BP$38 = FALSE()</formula>
    </cfRule>
  </conditionalFormatting>
  <conditionalFormatting sqref="BN68">
    <cfRule type="expression" dxfId="34" priority="24">
      <formula>BP$38 = FALSE()</formula>
    </cfRule>
  </conditionalFormatting>
  <conditionalFormatting sqref="BO68">
    <cfRule type="expression" dxfId="33" priority="23">
      <formula>BQ$38 = FALSE()</formula>
    </cfRule>
  </conditionalFormatting>
  <conditionalFormatting sqref="BO69">
    <cfRule type="expression" dxfId="32" priority="22">
      <formula>BQ$38 = FALSE()</formula>
    </cfRule>
  </conditionalFormatting>
  <conditionalFormatting sqref="BP69">
    <cfRule type="expression" dxfId="31" priority="21">
      <formula>BR$38 = FALSE()</formula>
    </cfRule>
  </conditionalFormatting>
  <conditionalFormatting sqref="BP70">
    <cfRule type="expression" dxfId="30" priority="20">
      <formula>BR$38 = FALSE()</formula>
    </cfRule>
  </conditionalFormatting>
  <conditionalFormatting sqref="BQ70">
    <cfRule type="expression" dxfId="29" priority="19">
      <formula>BS$38 = FALSE()</formula>
    </cfRule>
  </conditionalFormatting>
  <conditionalFormatting sqref="BQ71">
    <cfRule type="expression" dxfId="28" priority="18">
      <formula>BS$38 = FALSE()</formula>
    </cfRule>
  </conditionalFormatting>
  <conditionalFormatting sqref="BR71">
    <cfRule type="expression" dxfId="27" priority="17">
      <formula>BT$38 = FALSE()</formula>
    </cfRule>
  </conditionalFormatting>
  <conditionalFormatting sqref="BR72">
    <cfRule type="expression" dxfId="26" priority="16">
      <formula>BT$38 = FALSE()</formula>
    </cfRule>
  </conditionalFormatting>
  <conditionalFormatting sqref="BS72">
    <cfRule type="expression" dxfId="25" priority="15">
      <formula>BU$38 = FALSE()</formula>
    </cfRule>
  </conditionalFormatting>
  <conditionalFormatting sqref="BS73">
    <cfRule type="expression" dxfId="24" priority="12">
      <formula>BU$38 = FALSE()</formula>
    </cfRule>
  </conditionalFormatting>
  <conditionalFormatting sqref="BT73">
    <cfRule type="expression" dxfId="23" priority="11">
      <formula>BV$38 = FALSE()</formula>
    </cfRule>
  </conditionalFormatting>
  <conditionalFormatting sqref="BT74">
    <cfRule type="expression" dxfId="22" priority="8">
      <formula>BV$38 = FALSE()</formula>
    </cfRule>
  </conditionalFormatting>
  <conditionalFormatting sqref="BU74">
    <cfRule type="expression" dxfId="21" priority="7">
      <formula>BW$38 = FALSE()</formula>
    </cfRule>
  </conditionalFormatting>
  <pageMargins left="0.23622047244094491" right="0.23622047244094491" top="0.74803149606299213" bottom="0.74803149606299213" header="0.31496062992125984" footer="0.31496062992125984"/>
  <pageSetup paperSize="8" scale="42" fitToHeight="0" orientation="landscape" r:id="rId1"/>
  <headerFooter>
    <oddFooter>&amp;LDraft at &amp;D&amp;C&amp;P of &amp;N&amp;R"&amp;A" sheet</oddFooter>
  </headerFooter>
  <rowBreaks count="2" manualBreakCount="2">
    <brk id="76" max="41" man="1"/>
    <brk id="172" max="41" man="1"/>
  </rowBreaks>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Drop Down 1">
              <controlPr defaultSize="0" autoLine="0" autoPict="0">
                <anchor moveWithCells="1">
                  <from>
                    <xdr:col>4</xdr:col>
                    <xdr:colOff>2390775</xdr:colOff>
                    <xdr:row>0</xdr:row>
                    <xdr:rowOff>114300</xdr:rowOff>
                  </from>
                  <to>
                    <xdr:col>8</xdr:col>
                    <xdr:colOff>561975</xdr:colOff>
                    <xdr:row>1</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tint="0.59999389629810485"/>
    <pageSetUpPr autoPageBreaks="0"/>
  </sheetPr>
  <dimension ref="A1:AR345"/>
  <sheetViews>
    <sheetView zoomScale="70" zoomScaleNormal="70" zoomScaleSheetLayoutView="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47" customWidth="1"/>
    <col min="5" max="5" width="50.625" style="25" customWidth="1"/>
    <col min="6" max="6" width="1.625" style="147" customWidth="1"/>
    <col min="7" max="7" width="12.625" style="147" customWidth="1"/>
    <col min="8" max="8" width="1.625" style="147" customWidth="1"/>
    <col min="9" max="9" width="10.625" style="147" customWidth="1"/>
    <col min="10" max="10" width="1.625" style="151" customWidth="1"/>
    <col min="11" max="24" width="10.625" style="151" hidden="1" customWidth="1" outlineLevel="1"/>
    <col min="25" max="35" width="10.625" style="147" hidden="1" customWidth="1" outlineLevel="1"/>
    <col min="36" max="36" width="10.625" style="147" customWidth="1" collapsed="1"/>
    <col min="37" max="43" width="10.625" style="147" customWidth="1"/>
    <col min="44" max="44" width="1.625" style="147" customWidth="1"/>
    <col min="45" max="16384" width="9" style="147" hidden="1"/>
  </cols>
  <sheetData>
    <row r="1" spans="1:44" s="10" customFormat="1" ht="19.5">
      <c r="A1" s="307" t="s">
        <v>162</v>
      </c>
      <c r="J1" s="308"/>
      <c r="K1" s="308"/>
      <c r="L1" s="308"/>
      <c r="M1" s="308"/>
      <c r="N1" s="308"/>
      <c r="O1" s="308"/>
      <c r="P1" s="308"/>
      <c r="Q1" s="308"/>
      <c r="R1" s="308"/>
      <c r="S1" s="308"/>
      <c r="T1" s="308"/>
      <c r="U1" s="308"/>
      <c r="V1" s="308"/>
      <c r="W1" s="308"/>
      <c r="X1" s="308"/>
      <c r="AR1" s="309"/>
    </row>
    <row r="2" spans="1:44" s="10" customFormat="1" ht="15" customHeight="1">
      <c r="B2" s="10" t="str">
        <f>UserInterface!G17</f>
        <v>SSES</v>
      </c>
    </row>
    <row r="3" spans="1:44" s="10" customFormat="1" ht="15" customHeight="1"/>
    <row r="4" spans="1:44" s="10" customFormat="1" ht="15" customHeight="1"/>
    <row r="5" spans="1:44" s="10" customFormat="1" ht="15" customHeight="1"/>
    <row r="6" spans="1:44" s="10" customFormat="1" ht="15" customHeight="1">
      <c r="E6" s="9" t="s">
        <v>42</v>
      </c>
      <c r="F6" s="9"/>
      <c r="G6" s="9" t="s">
        <v>38</v>
      </c>
      <c r="H6" s="9"/>
      <c r="I6" s="9" t="s">
        <v>41</v>
      </c>
      <c r="AJ6" s="9" t="s">
        <v>39</v>
      </c>
    </row>
    <row r="7" spans="1:44" s="10" customFormat="1" ht="15" customHeight="1">
      <c r="E7" s="10" t="s">
        <v>231</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row>
    <row r="8" spans="1:44" ht="15" customHeight="1">
      <c r="E8" s="147"/>
      <c r="J8" s="147"/>
      <c r="K8" s="147"/>
      <c r="L8" s="147"/>
      <c r="M8" s="147"/>
      <c r="N8" s="147"/>
      <c r="O8" s="147"/>
      <c r="P8" s="147"/>
      <c r="Q8" s="147"/>
      <c r="R8" s="147"/>
      <c r="S8" s="147"/>
      <c r="T8" s="147"/>
      <c r="U8" s="147"/>
      <c r="V8" s="147"/>
      <c r="W8" s="147"/>
      <c r="X8" s="147"/>
    </row>
    <row r="9" spans="1:44" s="190" customFormat="1" ht="15" customHeight="1">
      <c r="B9" s="294" t="s">
        <v>18</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313"/>
      <c r="AK9" s="313"/>
      <c r="AL9" s="313"/>
      <c r="AM9" s="313"/>
      <c r="AN9" s="313"/>
      <c r="AO9" s="313"/>
      <c r="AP9" s="313"/>
      <c r="AQ9" s="313"/>
      <c r="AR9" s="113"/>
    </row>
    <row r="10" spans="1:44" s="190" customFormat="1" ht="15" customHeight="1">
      <c r="E10" s="18"/>
      <c r="H10" s="113"/>
      <c r="AJ10" s="155"/>
      <c r="AK10" s="155"/>
      <c r="AL10" s="155"/>
      <c r="AM10" s="155"/>
      <c r="AN10" s="155"/>
      <c r="AO10" s="155"/>
      <c r="AP10" s="155"/>
      <c r="AQ10" s="155"/>
      <c r="AR10" s="113"/>
    </row>
    <row r="11" spans="1:44" s="190" customFormat="1" ht="15" customHeight="1">
      <c r="C11" s="291" t="s">
        <v>160</v>
      </c>
      <c r="D11" s="291"/>
      <c r="E11" s="291"/>
      <c r="F11" s="291"/>
      <c r="G11" s="291"/>
      <c r="H11" s="291"/>
      <c r="I11" s="291"/>
      <c r="J11" s="291"/>
      <c r="K11" s="291"/>
      <c r="L11" s="291"/>
      <c r="M11" s="291"/>
      <c r="N11" s="291"/>
      <c r="O11" s="291"/>
      <c r="P11" s="291"/>
      <c r="Q11" s="291"/>
      <c r="R11" s="291"/>
      <c r="S11" s="291"/>
      <c r="T11" s="291"/>
      <c r="U11" s="291"/>
      <c r="V11" s="291"/>
      <c r="W11" s="291"/>
      <c r="X11" s="291"/>
      <c r="Y11" s="291"/>
      <c r="Z11" s="291"/>
      <c r="AA11" s="291"/>
      <c r="AB11" s="291"/>
      <c r="AC11" s="291"/>
      <c r="AD11" s="291"/>
      <c r="AE11" s="291"/>
      <c r="AF11" s="291"/>
      <c r="AG11" s="291"/>
      <c r="AH11" s="291"/>
      <c r="AI11" s="291"/>
      <c r="AJ11" s="291"/>
      <c r="AK11" s="291"/>
      <c r="AL11" s="291"/>
      <c r="AM11" s="291"/>
      <c r="AN11" s="291"/>
      <c r="AO11" s="291"/>
      <c r="AP11" s="291"/>
      <c r="AQ11" s="291"/>
      <c r="AR11" s="113"/>
    </row>
    <row r="12" spans="1:44" s="190" customFormat="1" ht="15" customHeight="1">
      <c r="C12" s="192" t="s">
        <v>370</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13"/>
    </row>
    <row r="13" spans="1:44" s="190" customFormat="1" ht="15" customHeight="1">
      <c r="E13" s="18"/>
      <c r="H13" s="113"/>
      <c r="AJ13" s="155"/>
      <c r="AK13" s="155"/>
      <c r="AL13" s="155"/>
      <c r="AM13" s="155"/>
      <c r="AN13" s="155"/>
      <c r="AO13" s="155"/>
      <c r="AP13" s="155"/>
      <c r="AQ13" s="155"/>
      <c r="AR13" s="113"/>
    </row>
    <row r="14" spans="1:44" s="190" customFormat="1" ht="15" customHeight="1">
      <c r="D14" s="193" t="s">
        <v>229</v>
      </c>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c r="AR14" s="113"/>
    </row>
    <row r="15" spans="1:44" s="190" customFormat="1" ht="15" customHeight="1">
      <c r="E15" s="18"/>
      <c r="H15" s="113"/>
      <c r="AJ15" s="155"/>
      <c r="AK15" s="155"/>
      <c r="AL15" s="155"/>
      <c r="AM15" s="155"/>
      <c r="AN15" s="155"/>
      <c r="AO15" s="155"/>
      <c r="AP15" s="155"/>
      <c r="AQ15" s="155"/>
      <c r="AR15" s="113"/>
    </row>
    <row r="16" spans="1:44" s="190" customFormat="1" ht="15" customHeight="1">
      <c r="E16" s="18" t="s">
        <v>8</v>
      </c>
      <c r="G16" s="190" t="s">
        <v>40</v>
      </c>
      <c r="H16" s="113"/>
      <c r="AJ16" s="230">
        <f>Input!AJ53</f>
        <v>3.7574999999999997E-2</v>
      </c>
      <c r="AK16" s="230">
        <f>Input!AK53</f>
        <v>3.7574999999999997E-2</v>
      </c>
      <c r="AL16" s="230">
        <f>Input!AL53</f>
        <v>3.7574999999999997E-2</v>
      </c>
      <c r="AM16" s="230">
        <f>Input!AM53</f>
        <v>3.7574999999999997E-2</v>
      </c>
      <c r="AN16" s="230">
        <f>Input!AN53</f>
        <v>3.7574999999999997E-2</v>
      </c>
      <c r="AO16" s="230">
        <f>Input!AO53</f>
        <v>3.7574999999999997E-2</v>
      </c>
      <c r="AP16" s="230">
        <f>Input!AP53</f>
        <v>3.7574999999999997E-2</v>
      </c>
      <c r="AQ16" s="230">
        <f>Input!AQ53</f>
        <v>3.7574999999999997E-2</v>
      </c>
      <c r="AR16" s="113"/>
    </row>
    <row r="17" spans="3:44" s="190" customFormat="1" ht="15" customHeight="1">
      <c r="E17" s="25" t="s">
        <v>159</v>
      </c>
      <c r="G17" s="190" t="s">
        <v>44</v>
      </c>
      <c r="H17" s="113"/>
      <c r="AJ17" s="19">
        <f>1 / (1 + AJ16)</f>
        <v>0.96378575042768</v>
      </c>
      <c r="AK17" s="19">
        <f t="shared" ref="AK17:AQ17" si="0">1 / (1 + AK16)</f>
        <v>0.96378575042768</v>
      </c>
      <c r="AL17" s="19">
        <f t="shared" si="0"/>
        <v>0.96378575042768</v>
      </c>
      <c r="AM17" s="19">
        <f t="shared" si="0"/>
        <v>0.96378575042768</v>
      </c>
      <c r="AN17" s="19">
        <f t="shared" si="0"/>
        <v>0.96378575042768</v>
      </c>
      <c r="AO17" s="19">
        <f t="shared" si="0"/>
        <v>0.96378575042768</v>
      </c>
      <c r="AP17" s="19">
        <f t="shared" si="0"/>
        <v>0.96378575042768</v>
      </c>
      <c r="AQ17" s="19">
        <f t="shared" si="0"/>
        <v>0.96378575042768</v>
      </c>
      <c r="AR17" s="113"/>
    </row>
    <row r="18" spans="3:44" s="190" customFormat="1" ht="15" customHeight="1">
      <c r="E18" s="25"/>
      <c r="H18" s="113"/>
      <c r="AJ18" s="19"/>
      <c r="AK18" s="19"/>
      <c r="AL18" s="19"/>
      <c r="AM18" s="19"/>
      <c r="AN18" s="19"/>
      <c r="AO18" s="19"/>
      <c r="AP18" s="19"/>
      <c r="AQ18" s="19"/>
      <c r="AR18" s="113"/>
    </row>
    <row r="19" spans="3:44" s="190" customFormat="1" ht="15" customHeight="1">
      <c r="E19" s="25" t="s">
        <v>101</v>
      </c>
      <c r="G19" s="147" t="s">
        <v>657</v>
      </c>
      <c r="H19" s="113"/>
      <c r="I19" s="155"/>
      <c r="AJ19" s="155">
        <f t="shared" ref="AJ19:AQ19" si="1">AJ47</f>
        <v>2068.4376775502119</v>
      </c>
      <c r="AK19" s="155">
        <f t="shared" si="1"/>
        <v>2089.1089485373086</v>
      </c>
      <c r="AL19" s="155">
        <f t="shared" si="1"/>
        <v>2106.3383268803873</v>
      </c>
      <c r="AM19" s="155">
        <f t="shared" si="1"/>
        <v>2125.7475442279979</v>
      </c>
      <c r="AN19" s="155">
        <f t="shared" si="1"/>
        <v>2125.9816272584339</v>
      </c>
      <c r="AO19" s="155">
        <f t="shared" si="1"/>
        <v>2128.4621782171962</v>
      </c>
      <c r="AP19" s="155">
        <f t="shared" si="1"/>
        <v>2162.6048007139193</v>
      </c>
      <c r="AQ19" s="155">
        <f t="shared" si="1"/>
        <v>2193.5241985782422</v>
      </c>
      <c r="AR19" s="113"/>
    </row>
    <row r="20" spans="3:44" s="190" customFormat="1" ht="15" customHeight="1">
      <c r="E20" s="25"/>
      <c r="G20" s="147"/>
      <c r="H20" s="113"/>
      <c r="AJ20" s="155"/>
      <c r="AK20" s="155"/>
      <c r="AL20" s="155"/>
      <c r="AM20" s="155"/>
      <c r="AN20" s="155"/>
      <c r="AO20" s="155"/>
      <c r="AP20" s="155"/>
      <c r="AQ20" s="155"/>
      <c r="AR20" s="113"/>
    </row>
    <row r="21" spans="3:44" s="190" customFormat="1" ht="15" customHeight="1">
      <c r="E21" s="18" t="s">
        <v>430</v>
      </c>
      <c r="G21" s="147" t="s">
        <v>657</v>
      </c>
      <c r="H21" s="113"/>
      <c r="AJ21" s="38">
        <f t="shared" ref="AJ21:AQ21" si="2">AJ19 * AJ17</f>
        <v>1993.5307592706185</v>
      </c>
      <c r="AK21" s="38">
        <f t="shared" si="2"/>
        <v>2013.4534356912116</v>
      </c>
      <c r="AL21" s="38">
        <f t="shared" si="2"/>
        <v>2030.0588650269981</v>
      </c>
      <c r="AM21" s="38">
        <f t="shared" si="2"/>
        <v>2048.7651921335787</v>
      </c>
      <c r="AN21" s="38">
        <f t="shared" si="2"/>
        <v>2048.9907980227299</v>
      </c>
      <c r="AO21" s="38">
        <f t="shared" si="2"/>
        <v>2051.3815176899948</v>
      </c>
      <c r="AP21" s="38">
        <f t="shared" si="2"/>
        <v>2084.2876907345681</v>
      </c>
      <c r="AQ21" s="38">
        <f t="shared" si="2"/>
        <v>2114.0873658080068</v>
      </c>
      <c r="AR21" s="113"/>
    </row>
    <row r="22" spans="3:44" s="190" customFormat="1" ht="15" customHeight="1">
      <c r="E22" s="25"/>
      <c r="H22" s="113"/>
      <c r="AJ22" s="155"/>
      <c r="AK22" s="155"/>
      <c r="AL22" s="155"/>
      <c r="AM22" s="155"/>
      <c r="AN22" s="155"/>
      <c r="AO22" s="155"/>
      <c r="AP22" s="155"/>
      <c r="AQ22" s="155"/>
      <c r="AR22" s="113"/>
    </row>
    <row r="23" spans="3:44" s="190" customFormat="1" ht="15" customHeight="1">
      <c r="D23" s="193" t="s">
        <v>230</v>
      </c>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13"/>
    </row>
    <row r="24" spans="3:44" s="190" customFormat="1" ht="15" customHeight="1">
      <c r="E24" s="25"/>
      <c r="H24" s="113"/>
      <c r="AJ24" s="314"/>
      <c r="AK24" s="155"/>
      <c r="AL24" s="155"/>
      <c r="AM24" s="155"/>
      <c r="AN24" s="155"/>
      <c r="AO24" s="155"/>
      <c r="AP24" s="155"/>
      <c r="AQ24" s="155"/>
      <c r="AR24" s="113"/>
    </row>
    <row r="25" spans="3:44" s="190" customFormat="1" ht="15" customHeight="1">
      <c r="E25" s="25" t="s">
        <v>238</v>
      </c>
      <c r="G25" s="147" t="s">
        <v>657</v>
      </c>
      <c r="H25" s="113"/>
      <c r="AJ25" s="155">
        <f t="shared" ref="AJ25:AQ25" si="3">AJ44</f>
        <v>2052.8757796854438</v>
      </c>
      <c r="AK25" s="155">
        <f t="shared" si="3"/>
        <v>2068.4376775502119</v>
      </c>
      <c r="AL25" s="155">
        <f t="shared" si="3"/>
        <v>2089.1089485373086</v>
      </c>
      <c r="AM25" s="155">
        <f t="shared" si="3"/>
        <v>2106.3383268803873</v>
      </c>
      <c r="AN25" s="155">
        <f t="shared" si="3"/>
        <v>2125.7475442279979</v>
      </c>
      <c r="AO25" s="155">
        <f t="shared" si="3"/>
        <v>2125.9816272584339</v>
      </c>
      <c r="AP25" s="155">
        <f t="shared" si="3"/>
        <v>2128.4621782171962</v>
      </c>
      <c r="AQ25" s="155">
        <f t="shared" si="3"/>
        <v>2162.6048007139193</v>
      </c>
      <c r="AR25" s="113"/>
    </row>
    <row r="26" spans="3:44" s="190" customFormat="1" ht="15" customHeight="1">
      <c r="E26" s="25" t="s">
        <v>430</v>
      </c>
      <c r="G26" s="147" t="s">
        <v>657</v>
      </c>
      <c r="H26" s="113"/>
      <c r="AJ26" s="155">
        <f>AJ21</f>
        <v>1993.5307592706185</v>
      </c>
      <c r="AK26" s="155">
        <f t="shared" ref="AK26:AQ26" si="4">AK21</f>
        <v>2013.4534356912116</v>
      </c>
      <c r="AL26" s="155">
        <f t="shared" si="4"/>
        <v>2030.0588650269981</v>
      </c>
      <c r="AM26" s="155">
        <f t="shared" si="4"/>
        <v>2048.7651921335787</v>
      </c>
      <c r="AN26" s="155">
        <f t="shared" si="4"/>
        <v>2048.9907980227299</v>
      </c>
      <c r="AO26" s="155">
        <f t="shared" si="4"/>
        <v>2051.3815176899948</v>
      </c>
      <c r="AP26" s="155">
        <f t="shared" si="4"/>
        <v>2084.2876907345681</v>
      </c>
      <c r="AQ26" s="155">
        <f t="shared" si="4"/>
        <v>2114.0873658080068</v>
      </c>
      <c r="AR26" s="113"/>
    </row>
    <row r="27" spans="3:44" s="190" customFormat="1" ht="15" customHeight="1">
      <c r="E27" s="18"/>
      <c r="H27" s="113"/>
      <c r="AJ27" s="155"/>
      <c r="AK27" s="155"/>
      <c r="AL27" s="155"/>
      <c r="AM27" s="155"/>
      <c r="AN27" s="155"/>
      <c r="AO27" s="155"/>
      <c r="AP27" s="155"/>
      <c r="AQ27" s="155"/>
      <c r="AR27" s="113"/>
    </row>
    <row r="28" spans="3:44" s="190" customFormat="1" ht="15" customHeight="1">
      <c r="E28" s="18" t="s">
        <v>230</v>
      </c>
      <c r="G28" s="147" t="s">
        <v>657</v>
      </c>
      <c r="H28" s="113"/>
      <c r="AJ28" s="38">
        <f>AVERAGE(AJ25:AJ26)</f>
        <v>2023.2032694780312</v>
      </c>
      <c r="AK28" s="38">
        <f t="shared" ref="AK28:AQ28" si="5">AVERAGE(AK25:AK26)</f>
        <v>2040.9455566207116</v>
      </c>
      <c r="AL28" s="38">
        <f t="shared" si="5"/>
        <v>2059.5839067821535</v>
      </c>
      <c r="AM28" s="38">
        <f t="shared" si="5"/>
        <v>2077.5517595069832</v>
      </c>
      <c r="AN28" s="38">
        <f t="shared" si="5"/>
        <v>2087.3691711253641</v>
      </c>
      <c r="AO28" s="38">
        <f t="shared" si="5"/>
        <v>2088.6815724742146</v>
      </c>
      <c r="AP28" s="38">
        <f t="shared" si="5"/>
        <v>2106.3749344758821</v>
      </c>
      <c r="AQ28" s="38">
        <f t="shared" si="5"/>
        <v>2138.346083260963</v>
      </c>
      <c r="AR28" s="113"/>
    </row>
    <row r="29" spans="3:44" s="190" customFormat="1" ht="15" customHeight="1">
      <c r="E29" s="18"/>
      <c r="H29" s="113"/>
      <c r="AJ29" s="155"/>
      <c r="AK29" s="155"/>
      <c r="AL29" s="155"/>
      <c r="AM29" s="155"/>
      <c r="AN29" s="155"/>
      <c r="AO29" s="155"/>
      <c r="AP29" s="155"/>
      <c r="AQ29" s="155"/>
      <c r="AR29" s="113"/>
    </row>
    <row r="30" spans="3:44" s="190" customFormat="1" ht="15" customHeight="1">
      <c r="C30" s="291" t="s">
        <v>161</v>
      </c>
      <c r="D30" s="291"/>
      <c r="E30" s="291"/>
      <c r="F30" s="291"/>
      <c r="G30" s="291"/>
      <c r="H30" s="291"/>
      <c r="I30" s="291"/>
      <c r="J30" s="291"/>
      <c r="K30" s="291"/>
      <c r="L30" s="291"/>
      <c r="M30" s="291"/>
      <c r="N30" s="291"/>
      <c r="O30" s="291"/>
      <c r="P30" s="291"/>
      <c r="Q30" s="291"/>
      <c r="R30" s="291"/>
      <c r="S30" s="291"/>
      <c r="T30" s="291"/>
      <c r="U30" s="291"/>
      <c r="V30" s="291"/>
      <c r="W30" s="291"/>
      <c r="X30" s="291"/>
      <c r="Y30" s="291"/>
      <c r="Z30" s="291"/>
      <c r="AA30" s="291"/>
      <c r="AB30" s="291"/>
      <c r="AC30" s="291"/>
      <c r="AD30" s="291"/>
      <c r="AE30" s="291"/>
      <c r="AF30" s="291"/>
      <c r="AG30" s="291"/>
      <c r="AH30" s="291"/>
      <c r="AI30" s="291"/>
      <c r="AJ30" s="291"/>
      <c r="AK30" s="291"/>
      <c r="AL30" s="291"/>
      <c r="AM30" s="291"/>
      <c r="AN30" s="291"/>
      <c r="AO30" s="291"/>
      <c r="AP30" s="291"/>
      <c r="AQ30" s="291"/>
      <c r="AR30" s="113"/>
    </row>
    <row r="31" spans="3:44" s="190" customFormat="1" ht="15" customHeight="1">
      <c r="E31" s="18"/>
      <c r="H31" s="113"/>
      <c r="AJ31" s="155"/>
      <c r="AK31" s="155"/>
      <c r="AL31" s="155"/>
      <c r="AM31" s="155"/>
      <c r="AN31" s="155"/>
      <c r="AO31" s="155"/>
      <c r="AP31" s="155"/>
      <c r="AQ31" s="155"/>
      <c r="AR31" s="113"/>
    </row>
    <row r="32" spans="3:44" s="190" customFormat="1" ht="15" customHeight="1">
      <c r="E32" s="18" t="s">
        <v>230</v>
      </c>
      <c r="G32" s="147" t="s">
        <v>657</v>
      </c>
      <c r="H32" s="113"/>
      <c r="AJ32" s="155">
        <f>AJ28</f>
        <v>2023.2032694780312</v>
      </c>
      <c r="AK32" s="155">
        <f t="shared" ref="AK32:AQ32" si="6">AK28</f>
        <v>2040.9455566207116</v>
      </c>
      <c r="AL32" s="155">
        <f t="shared" si="6"/>
        <v>2059.5839067821535</v>
      </c>
      <c r="AM32" s="155">
        <f t="shared" si="6"/>
        <v>2077.5517595069832</v>
      </c>
      <c r="AN32" s="155">
        <f t="shared" si="6"/>
        <v>2087.3691711253641</v>
      </c>
      <c r="AO32" s="155">
        <f t="shared" si="6"/>
        <v>2088.6815724742146</v>
      </c>
      <c r="AP32" s="155">
        <f t="shared" si="6"/>
        <v>2106.3749344758821</v>
      </c>
      <c r="AQ32" s="155">
        <f t="shared" si="6"/>
        <v>2138.346083260963</v>
      </c>
      <c r="AR32" s="113"/>
    </row>
    <row r="33" spans="2:44" s="190" customFormat="1" ht="15" customHeight="1">
      <c r="E33" s="18" t="s">
        <v>8</v>
      </c>
      <c r="G33" s="190" t="s">
        <v>40</v>
      </c>
      <c r="H33" s="113"/>
      <c r="AJ33" s="163">
        <f>AJ16</f>
        <v>3.7574999999999997E-2</v>
      </c>
      <c r="AK33" s="163">
        <f t="shared" ref="AK33:AQ33" si="7">AK16</f>
        <v>3.7574999999999997E-2</v>
      </c>
      <c r="AL33" s="163">
        <f t="shared" si="7"/>
        <v>3.7574999999999997E-2</v>
      </c>
      <c r="AM33" s="163">
        <f t="shared" si="7"/>
        <v>3.7574999999999997E-2</v>
      </c>
      <c r="AN33" s="163">
        <f t="shared" si="7"/>
        <v>3.7574999999999997E-2</v>
      </c>
      <c r="AO33" s="163">
        <f t="shared" si="7"/>
        <v>3.7574999999999997E-2</v>
      </c>
      <c r="AP33" s="163">
        <f t="shared" si="7"/>
        <v>3.7574999999999997E-2</v>
      </c>
      <c r="AQ33" s="163">
        <f t="shared" si="7"/>
        <v>3.7574999999999997E-2</v>
      </c>
      <c r="AR33" s="113"/>
    </row>
    <row r="34" spans="2:44" s="190" customFormat="1" ht="15" customHeight="1">
      <c r="E34" s="18"/>
      <c r="H34" s="113"/>
      <c r="AJ34" s="155"/>
      <c r="AK34" s="155"/>
      <c r="AL34" s="155"/>
      <c r="AM34" s="155"/>
      <c r="AN34" s="155"/>
      <c r="AO34" s="155"/>
      <c r="AP34" s="155"/>
      <c r="AQ34" s="155"/>
      <c r="AR34" s="113"/>
    </row>
    <row r="35" spans="2:44" s="190" customFormat="1" ht="15" customHeight="1">
      <c r="E35" s="18" t="s">
        <v>18</v>
      </c>
      <c r="G35" s="190" t="s">
        <v>657</v>
      </c>
      <c r="H35" s="113"/>
      <c r="AJ35" s="337">
        <f>AJ32 * AJ33</f>
        <v>76.021862850637021</v>
      </c>
      <c r="AK35" s="38">
        <f t="shared" ref="AK35:AQ35" si="8">AK32 * AK33</f>
        <v>76.68852929002324</v>
      </c>
      <c r="AL35" s="38">
        <f t="shared" si="8"/>
        <v>77.388865297339407</v>
      </c>
      <c r="AM35" s="38">
        <f t="shared" si="8"/>
        <v>78.064007363474886</v>
      </c>
      <c r="AN35" s="38">
        <f t="shared" si="8"/>
        <v>78.432896605035552</v>
      </c>
      <c r="AO35" s="38">
        <f t="shared" si="8"/>
        <v>78.482210085718606</v>
      </c>
      <c r="AP35" s="38">
        <f t="shared" si="8"/>
        <v>79.147038162931267</v>
      </c>
      <c r="AQ35" s="38">
        <f t="shared" si="8"/>
        <v>80.348354078530676</v>
      </c>
      <c r="AR35" s="113"/>
    </row>
    <row r="36" spans="2:44" s="190" customFormat="1" ht="15" customHeight="1">
      <c r="E36" s="18"/>
      <c r="H36" s="113"/>
      <c r="AJ36" s="155"/>
      <c r="AK36" s="155"/>
      <c r="AL36" s="155"/>
      <c r="AM36" s="155"/>
      <c r="AN36" s="155"/>
      <c r="AO36" s="155"/>
      <c r="AP36" s="155"/>
      <c r="AQ36" s="155"/>
      <c r="AR36" s="113"/>
    </row>
    <row r="37" spans="2:44" ht="15" customHeight="1">
      <c r="B37" s="315" t="s">
        <v>27</v>
      </c>
      <c r="C37" s="316"/>
      <c r="D37" s="316"/>
      <c r="E37" s="317"/>
      <c r="F37" s="316"/>
      <c r="G37" s="316"/>
      <c r="H37" s="316"/>
      <c r="I37" s="316"/>
      <c r="J37" s="318"/>
      <c r="K37" s="318"/>
      <c r="L37" s="318"/>
      <c r="M37" s="318"/>
      <c r="N37" s="318"/>
      <c r="O37" s="318"/>
      <c r="P37" s="318"/>
      <c r="Q37" s="318"/>
      <c r="R37" s="318"/>
      <c r="S37" s="318"/>
      <c r="T37" s="318"/>
      <c r="U37" s="318"/>
      <c r="V37" s="318"/>
      <c r="W37" s="318"/>
      <c r="X37" s="318"/>
      <c r="Y37" s="316"/>
      <c r="Z37" s="316"/>
      <c r="AA37" s="316"/>
      <c r="AB37" s="316"/>
      <c r="AC37" s="316"/>
      <c r="AD37" s="316"/>
      <c r="AE37" s="316"/>
      <c r="AF37" s="316"/>
      <c r="AG37" s="316"/>
      <c r="AH37" s="316"/>
      <c r="AI37" s="316"/>
      <c r="AJ37" s="316"/>
      <c r="AK37" s="316"/>
      <c r="AL37" s="316"/>
      <c r="AM37" s="316"/>
      <c r="AN37" s="316"/>
      <c r="AO37" s="316"/>
      <c r="AP37" s="316"/>
      <c r="AQ37" s="316"/>
    </row>
    <row r="38" spans="2:44" ht="15" customHeight="1">
      <c r="B38" s="192" t="s">
        <v>371</v>
      </c>
      <c r="C38" s="192"/>
      <c r="D38" s="192"/>
      <c r="E38" s="192"/>
      <c r="F38" s="192"/>
      <c r="G38" s="192"/>
      <c r="H38" s="192"/>
      <c r="I38" s="192"/>
      <c r="J38" s="192"/>
      <c r="K38" s="192"/>
      <c r="L38" s="192"/>
      <c r="M38" s="192"/>
      <c r="N38" s="192"/>
      <c r="O38" s="192"/>
      <c r="P38" s="192"/>
      <c r="Q38" s="192"/>
      <c r="R38" s="192"/>
      <c r="S38" s="192"/>
      <c r="T38" s="192"/>
      <c r="U38" s="192"/>
      <c r="V38" s="192"/>
      <c r="W38" s="192"/>
      <c r="X38" s="192"/>
      <c r="Y38" s="192"/>
      <c r="Z38" s="192"/>
      <c r="AA38" s="192"/>
      <c r="AB38" s="192"/>
      <c r="AC38" s="192"/>
      <c r="AD38" s="192"/>
      <c r="AE38" s="192"/>
      <c r="AF38" s="192"/>
      <c r="AG38" s="192"/>
      <c r="AH38" s="192"/>
      <c r="AI38" s="192"/>
      <c r="AJ38" s="192"/>
      <c r="AK38" s="192"/>
      <c r="AL38" s="192"/>
      <c r="AM38" s="192"/>
      <c r="AN38" s="192"/>
      <c r="AO38" s="192"/>
      <c r="AP38" s="192"/>
      <c r="AQ38" s="192"/>
    </row>
    <row r="39" spans="2:44" ht="15" customHeight="1">
      <c r="C39" s="311"/>
    </row>
    <row r="40" spans="2:44" ht="15" customHeight="1">
      <c r="C40" s="292" t="s">
        <v>122</v>
      </c>
      <c r="D40" s="292"/>
      <c r="E40" s="292"/>
      <c r="F40" s="292"/>
      <c r="G40" s="292"/>
      <c r="H40" s="292"/>
      <c r="I40" s="292"/>
      <c r="J40" s="292"/>
      <c r="K40" s="292"/>
      <c r="L40" s="292"/>
      <c r="M40" s="292"/>
      <c r="N40" s="292"/>
      <c r="O40" s="292"/>
      <c r="P40" s="292"/>
      <c r="Q40" s="292"/>
      <c r="R40" s="292"/>
      <c r="S40" s="292"/>
      <c r="T40" s="292"/>
      <c r="U40" s="292"/>
      <c r="V40" s="292"/>
      <c r="W40" s="292"/>
      <c r="X40" s="292"/>
      <c r="Y40" s="292"/>
      <c r="Z40" s="292"/>
      <c r="AA40" s="292"/>
      <c r="AB40" s="292"/>
      <c r="AC40" s="292"/>
      <c r="AD40" s="292"/>
      <c r="AE40" s="292"/>
      <c r="AF40" s="292"/>
      <c r="AG40" s="292"/>
      <c r="AH40" s="292"/>
      <c r="AI40" s="292"/>
      <c r="AJ40" s="291"/>
      <c r="AK40" s="291"/>
      <c r="AL40" s="291"/>
      <c r="AM40" s="291"/>
      <c r="AN40" s="291"/>
      <c r="AO40" s="291"/>
      <c r="AP40" s="291"/>
      <c r="AQ40" s="291"/>
    </row>
    <row r="41" spans="2:44" ht="15" customHeight="1">
      <c r="C41" s="311"/>
      <c r="AJ41" s="155"/>
      <c r="AK41" s="155"/>
      <c r="AL41" s="155"/>
      <c r="AM41" s="155"/>
      <c r="AN41" s="155"/>
      <c r="AO41" s="155"/>
      <c r="AP41" s="155"/>
      <c r="AQ41" s="155"/>
    </row>
    <row r="42" spans="2:44" ht="15" customHeight="1">
      <c r="D42" s="319"/>
      <c r="E42" s="25" t="s">
        <v>237</v>
      </c>
      <c r="G42" s="147" t="s">
        <v>657</v>
      </c>
      <c r="Y42" s="151"/>
      <c r="Z42" s="151"/>
      <c r="AA42" s="151"/>
      <c r="AB42" s="151"/>
      <c r="AC42" s="151"/>
      <c r="AD42" s="151"/>
      <c r="AE42" s="151"/>
      <c r="AF42" s="151"/>
      <c r="AG42" s="151"/>
      <c r="AH42" s="151"/>
      <c r="AI42" s="151"/>
      <c r="AJ42" s="42">
        <f>(AJ56 - AJ64)-AJ76</f>
        <v>2052.8757796854438</v>
      </c>
      <c r="AK42" s="147">
        <f t="shared" ref="AK42:AQ42" si="9">AJ47</f>
        <v>2068.4376775502119</v>
      </c>
      <c r="AL42" s="147">
        <f t="shared" si="9"/>
        <v>2089.1089485373086</v>
      </c>
      <c r="AM42" s="147">
        <f t="shared" si="9"/>
        <v>2106.3383268803873</v>
      </c>
      <c r="AN42" s="147">
        <f t="shared" si="9"/>
        <v>2125.7475442279979</v>
      </c>
      <c r="AO42" s="147">
        <f t="shared" si="9"/>
        <v>2125.9816272584339</v>
      </c>
      <c r="AP42" s="147">
        <f t="shared" si="9"/>
        <v>2128.4621782171962</v>
      </c>
      <c r="AQ42" s="147">
        <f t="shared" si="9"/>
        <v>2162.6048007139193</v>
      </c>
    </row>
    <row r="43" spans="2:44" ht="15" customHeight="1">
      <c r="D43" s="319"/>
      <c r="E43" s="25" t="s">
        <v>119</v>
      </c>
      <c r="G43" s="147" t="s">
        <v>657</v>
      </c>
      <c r="Y43" s="151"/>
      <c r="Z43" s="151"/>
      <c r="AA43" s="151"/>
      <c r="AB43" s="151"/>
      <c r="AC43" s="151"/>
      <c r="AD43" s="151"/>
      <c r="AE43" s="151"/>
      <c r="AF43" s="151"/>
      <c r="AG43" s="151"/>
      <c r="AH43" s="151"/>
      <c r="AI43" s="151"/>
      <c r="AJ43" s="155">
        <f t="shared" ref="AJ43:AQ43" si="10">(AJ57 - AJ65)</f>
        <v>0</v>
      </c>
      <c r="AK43" s="155">
        <f t="shared" si="10"/>
        <v>0</v>
      </c>
      <c r="AL43" s="155">
        <f t="shared" si="10"/>
        <v>0</v>
      </c>
      <c r="AM43" s="155">
        <f t="shared" si="10"/>
        <v>0</v>
      </c>
      <c r="AN43" s="155">
        <f t="shared" si="10"/>
        <v>0</v>
      </c>
      <c r="AO43" s="155">
        <f t="shared" si="10"/>
        <v>0</v>
      </c>
      <c r="AP43" s="155">
        <f t="shared" si="10"/>
        <v>0</v>
      </c>
      <c r="AQ43" s="155">
        <f t="shared" si="10"/>
        <v>0</v>
      </c>
    </row>
    <row r="44" spans="2:44" ht="15" customHeight="1">
      <c r="E44" s="25" t="s">
        <v>238</v>
      </c>
      <c r="G44" s="147" t="s">
        <v>657</v>
      </c>
      <c r="Y44" s="151"/>
      <c r="Z44" s="151"/>
      <c r="AA44" s="151"/>
      <c r="AB44" s="151"/>
      <c r="AC44" s="151"/>
      <c r="AD44" s="151"/>
      <c r="AE44" s="151"/>
      <c r="AF44" s="151"/>
      <c r="AG44" s="151"/>
      <c r="AH44" s="151"/>
      <c r="AI44" s="151"/>
      <c r="AJ44" s="165">
        <f t="shared" ref="AJ44:AQ44" si="11">SUM(AJ42:AJ43)</f>
        <v>2052.8757796854438</v>
      </c>
      <c r="AK44" s="165">
        <f t="shared" si="11"/>
        <v>2068.4376775502119</v>
      </c>
      <c r="AL44" s="165">
        <f t="shared" si="11"/>
        <v>2089.1089485373086</v>
      </c>
      <c r="AM44" s="165">
        <f t="shared" si="11"/>
        <v>2106.3383268803873</v>
      </c>
      <c r="AN44" s="165">
        <f t="shared" si="11"/>
        <v>2125.7475442279979</v>
      </c>
      <c r="AO44" s="165">
        <f t="shared" si="11"/>
        <v>2125.9816272584339</v>
      </c>
      <c r="AP44" s="165">
        <f t="shared" si="11"/>
        <v>2128.4621782171962</v>
      </c>
      <c r="AQ44" s="165">
        <f t="shared" si="11"/>
        <v>2162.6048007139193</v>
      </c>
    </row>
    <row r="45" spans="2:44" ht="15" customHeight="1">
      <c r="E45" s="25" t="s">
        <v>123</v>
      </c>
      <c r="G45" s="147" t="s">
        <v>657</v>
      </c>
      <c r="Y45" s="151"/>
      <c r="Z45" s="151"/>
      <c r="AA45" s="151"/>
      <c r="AB45" s="151"/>
      <c r="AC45" s="151"/>
      <c r="AD45" s="151"/>
      <c r="AE45" s="151"/>
      <c r="AF45" s="151"/>
      <c r="AG45" s="151"/>
      <c r="AH45" s="151"/>
      <c r="AI45" s="151"/>
      <c r="AJ45" s="155">
        <f>AJ59</f>
        <v>214.30283536876493</v>
      </c>
      <c r="AK45" s="155">
        <f t="shared" ref="AK45:AQ45" si="12">AK59</f>
        <v>218.74958717835483</v>
      </c>
      <c r="AL45" s="155">
        <f t="shared" si="12"/>
        <v>213.07955677040144</v>
      </c>
      <c r="AM45" s="155">
        <f t="shared" si="12"/>
        <v>212.77598368354523</v>
      </c>
      <c r="AN45" s="155">
        <f t="shared" si="12"/>
        <v>191.35412942848416</v>
      </c>
      <c r="AO45" s="155">
        <f t="shared" si="12"/>
        <v>191.61771831702322</v>
      </c>
      <c r="AP45" s="155">
        <f t="shared" si="12"/>
        <v>197.19301522840377</v>
      </c>
      <c r="AQ45" s="155">
        <f t="shared" si="12"/>
        <v>192.13875531318419</v>
      </c>
    </row>
    <row r="46" spans="2:44" ht="15" customHeight="1">
      <c r="E46" s="30" t="s">
        <v>0</v>
      </c>
      <c r="G46" s="147" t="s">
        <v>657</v>
      </c>
      <c r="Y46" s="151"/>
      <c r="Z46" s="151"/>
      <c r="AA46" s="151"/>
      <c r="AB46" s="151"/>
      <c r="AC46" s="151"/>
      <c r="AD46" s="151"/>
      <c r="AE46" s="151"/>
      <c r="AF46" s="151"/>
      <c r="AG46" s="151"/>
      <c r="AH46" s="151"/>
      <c r="AI46" s="151"/>
      <c r="AJ46" s="155">
        <f>-( AJ67)</f>
        <v>-198.74093750399697</v>
      </c>
      <c r="AK46" s="155">
        <f t="shared" ref="AK46:AQ46" si="13">-( AK67)</f>
        <v>-198.07831619125824</v>
      </c>
      <c r="AL46" s="155">
        <f t="shared" si="13"/>
        <v>-195.85017842732279</v>
      </c>
      <c r="AM46" s="155">
        <f t="shared" si="13"/>
        <v>-193.36676633593478</v>
      </c>
      <c r="AN46" s="155">
        <f t="shared" si="13"/>
        <v>-191.12004639804832</v>
      </c>
      <c r="AO46" s="155">
        <f t="shared" si="13"/>
        <v>-189.13716735826065</v>
      </c>
      <c r="AP46" s="155">
        <f t="shared" si="13"/>
        <v>-163.05039273168077</v>
      </c>
      <c r="AQ46" s="155">
        <f t="shared" si="13"/>
        <v>-161.21935744886116</v>
      </c>
    </row>
    <row r="47" spans="2:44" ht="15" customHeight="1">
      <c r="E47" s="25" t="s">
        <v>101</v>
      </c>
      <c r="G47" s="147" t="s">
        <v>657</v>
      </c>
      <c r="Y47" s="151"/>
      <c r="Z47" s="151"/>
      <c r="AA47" s="151"/>
      <c r="AB47" s="151"/>
      <c r="AC47" s="151"/>
      <c r="AD47" s="151"/>
      <c r="AE47" s="151"/>
      <c r="AF47" s="151"/>
      <c r="AG47" s="151"/>
      <c r="AH47" s="151"/>
      <c r="AI47" s="151"/>
      <c r="AJ47" s="320">
        <f>SUM(AJ44:AJ46)</f>
        <v>2068.4376775502119</v>
      </c>
      <c r="AK47" s="320">
        <f t="shared" ref="AK47:AQ47" si="14">SUM(AK44:AK46)</f>
        <v>2089.1089485373086</v>
      </c>
      <c r="AL47" s="320">
        <f t="shared" si="14"/>
        <v>2106.3383268803873</v>
      </c>
      <c r="AM47" s="320">
        <f t="shared" si="14"/>
        <v>2125.7475442279979</v>
      </c>
      <c r="AN47" s="320">
        <f t="shared" si="14"/>
        <v>2125.9816272584339</v>
      </c>
      <c r="AO47" s="320">
        <f t="shared" si="14"/>
        <v>2128.4621782171962</v>
      </c>
      <c r="AP47" s="320">
        <f t="shared" si="14"/>
        <v>2162.6048007139193</v>
      </c>
      <c r="AQ47" s="320">
        <f t="shared" si="14"/>
        <v>2193.5241985782422</v>
      </c>
    </row>
    <row r="48" spans="2:44" ht="15" customHeight="1">
      <c r="Y48" s="151"/>
      <c r="Z48" s="151"/>
      <c r="AA48" s="151"/>
      <c r="AB48" s="151"/>
      <c r="AC48" s="151"/>
      <c r="AD48" s="151"/>
      <c r="AE48" s="151"/>
      <c r="AF48" s="151"/>
      <c r="AG48" s="151"/>
      <c r="AH48" s="151"/>
      <c r="AI48" s="151"/>
    </row>
    <row r="49" spans="3:43" ht="15" customHeight="1">
      <c r="Y49" s="151"/>
      <c r="Z49" s="151"/>
      <c r="AA49" s="151"/>
      <c r="AB49" s="151"/>
      <c r="AC49" s="151"/>
      <c r="AD49" s="151"/>
      <c r="AE49" s="151"/>
      <c r="AF49" s="151"/>
      <c r="AG49" s="151"/>
      <c r="AH49" s="151"/>
      <c r="AI49" s="151"/>
    </row>
    <row r="50" spans="3:43" ht="15" customHeight="1">
      <c r="C50" s="292" t="s">
        <v>202</v>
      </c>
      <c r="D50" s="292"/>
      <c r="E50" s="292"/>
      <c r="F50" s="292"/>
      <c r="G50" s="292"/>
      <c r="H50" s="292"/>
      <c r="I50" s="292"/>
      <c r="J50" s="292"/>
      <c r="K50" s="292"/>
      <c r="L50" s="292"/>
      <c r="M50" s="292"/>
      <c r="N50" s="292"/>
      <c r="O50" s="292"/>
      <c r="P50" s="292"/>
      <c r="Q50" s="292"/>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row>
    <row r="51" spans="3:43" s="145" customFormat="1" ht="15" customHeight="1">
      <c r="C51" s="192" t="s">
        <v>373</v>
      </c>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c r="AK51" s="192"/>
      <c r="AL51" s="192"/>
      <c r="AM51" s="192"/>
      <c r="AN51" s="192"/>
      <c r="AO51" s="192"/>
      <c r="AP51" s="192"/>
      <c r="AQ51" s="192"/>
    </row>
    <row r="52" spans="3:43" s="145" customFormat="1" ht="15" customHeight="1">
      <c r="C52" s="192" t="s">
        <v>372</v>
      </c>
      <c r="D52" s="192"/>
      <c r="E52" s="192"/>
      <c r="F52" s="192"/>
      <c r="G52" s="192"/>
      <c r="H52" s="192"/>
      <c r="I52" s="192"/>
      <c r="J52" s="192"/>
      <c r="K52" s="192"/>
      <c r="L52" s="192"/>
      <c r="M52" s="192"/>
      <c r="N52" s="192"/>
      <c r="O52" s="192"/>
      <c r="P52" s="192"/>
      <c r="Q52" s="192"/>
      <c r="R52" s="192"/>
      <c r="S52" s="192"/>
      <c r="T52" s="192"/>
      <c r="U52" s="192"/>
      <c r="V52" s="192"/>
      <c r="W52" s="192"/>
      <c r="X52" s="192"/>
      <c r="Y52" s="192"/>
      <c r="Z52" s="192"/>
      <c r="AA52" s="192"/>
      <c r="AB52" s="192"/>
      <c r="AC52" s="192"/>
      <c r="AD52" s="192"/>
      <c r="AE52" s="192"/>
      <c r="AF52" s="192"/>
      <c r="AG52" s="192"/>
      <c r="AH52" s="192"/>
      <c r="AI52" s="192"/>
      <c r="AJ52" s="192"/>
      <c r="AK52" s="192"/>
      <c r="AL52" s="192"/>
      <c r="AM52" s="192"/>
      <c r="AN52" s="192"/>
      <c r="AO52" s="192"/>
      <c r="AP52" s="192"/>
      <c r="AQ52" s="192"/>
    </row>
    <row r="53" spans="3:43" ht="15" customHeight="1">
      <c r="Y53" s="151"/>
      <c r="Z53" s="151"/>
      <c r="AA53" s="151"/>
      <c r="AB53" s="151"/>
      <c r="AC53" s="151"/>
      <c r="AD53" s="151"/>
      <c r="AE53" s="151"/>
      <c r="AF53" s="151"/>
      <c r="AG53" s="151"/>
      <c r="AH53" s="151"/>
      <c r="AI53" s="151"/>
    </row>
    <row r="54" spans="3:43" ht="15" customHeight="1">
      <c r="D54" s="29" t="s">
        <v>10</v>
      </c>
      <c r="E54" s="321"/>
      <c r="F54" s="322"/>
      <c r="G54" s="322"/>
      <c r="H54" s="322"/>
      <c r="I54" s="322"/>
      <c r="J54" s="323"/>
      <c r="K54" s="323"/>
      <c r="L54" s="323"/>
      <c r="M54" s="323"/>
      <c r="N54" s="323"/>
      <c r="O54" s="323"/>
      <c r="P54" s="323"/>
      <c r="Q54" s="323"/>
      <c r="R54" s="323"/>
      <c r="S54" s="323"/>
      <c r="T54" s="323"/>
      <c r="U54" s="323"/>
      <c r="V54" s="323"/>
      <c r="W54" s="323"/>
      <c r="X54" s="323"/>
      <c r="Y54" s="322"/>
      <c r="Z54" s="322"/>
      <c r="AA54" s="322"/>
      <c r="AB54" s="322"/>
      <c r="AC54" s="322"/>
      <c r="AD54" s="322"/>
      <c r="AE54" s="322"/>
      <c r="AF54" s="322"/>
      <c r="AG54" s="322"/>
      <c r="AH54" s="322"/>
      <c r="AI54" s="322"/>
      <c r="AJ54" s="322"/>
      <c r="AK54" s="322"/>
      <c r="AL54" s="322"/>
      <c r="AM54" s="322"/>
      <c r="AN54" s="322"/>
      <c r="AO54" s="322"/>
      <c r="AP54" s="322"/>
      <c r="AQ54" s="322"/>
    </row>
    <row r="55" spans="3:43" ht="15" customHeight="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24"/>
      <c r="AK55" s="31"/>
      <c r="AL55" s="31"/>
      <c r="AM55" s="31"/>
      <c r="AN55" s="31"/>
      <c r="AO55" s="31"/>
      <c r="AP55" s="31"/>
      <c r="AQ55" s="31"/>
    </row>
    <row r="56" spans="3:43" ht="15" customHeight="1">
      <c r="E56" s="25" t="s">
        <v>120</v>
      </c>
      <c r="G56" s="147" t="s">
        <v>657</v>
      </c>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1"/>
      <c r="AJ56" s="42">
        <f>Depn!AJ219</f>
        <v>4211.3753528482539</v>
      </c>
      <c r="AK56" s="147">
        <f t="shared" ref="AK56:AQ56" si="15">AJ60</f>
        <v>4425.6781882170189</v>
      </c>
      <c r="AL56" s="147">
        <f t="shared" si="15"/>
        <v>4644.4277753953738</v>
      </c>
      <c r="AM56" s="147">
        <f t="shared" si="15"/>
        <v>4857.5073321657756</v>
      </c>
      <c r="AN56" s="147">
        <f t="shared" si="15"/>
        <v>5070.2833158493204</v>
      </c>
      <c r="AO56" s="147">
        <f t="shared" si="15"/>
        <v>5261.6374452778045</v>
      </c>
      <c r="AP56" s="147">
        <f t="shared" si="15"/>
        <v>5453.2551635948275</v>
      </c>
      <c r="AQ56" s="147">
        <f t="shared" si="15"/>
        <v>5650.4481788232315</v>
      </c>
    </row>
    <row r="57" spans="3:43" ht="15" customHeight="1">
      <c r="E57" s="25" t="s">
        <v>119</v>
      </c>
      <c r="G57" s="147" t="s">
        <v>657</v>
      </c>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1"/>
      <c r="AJ57" s="150"/>
      <c r="AK57" s="150"/>
      <c r="AL57" s="150"/>
      <c r="AM57" s="150"/>
      <c r="AN57" s="150"/>
      <c r="AO57" s="150"/>
      <c r="AP57" s="150"/>
      <c r="AQ57" s="150"/>
    </row>
    <row r="58" spans="3:43" ht="15" customHeight="1">
      <c r="E58" s="25" t="s">
        <v>121</v>
      </c>
      <c r="G58" s="147" t="s">
        <v>657</v>
      </c>
      <c r="Y58" s="151"/>
      <c r="Z58" s="151"/>
      <c r="AA58" s="151"/>
      <c r="AB58" s="151"/>
      <c r="AC58" s="151"/>
      <c r="AD58" s="151"/>
      <c r="AE58" s="151"/>
      <c r="AF58" s="151"/>
      <c r="AG58" s="151"/>
      <c r="AH58" s="151"/>
      <c r="AI58" s="151"/>
      <c r="AJ58" s="166">
        <f t="shared" ref="AJ58:AQ58" si="16">SUM(AJ56:AJ57)</f>
        <v>4211.3753528482539</v>
      </c>
      <c r="AK58" s="166">
        <f t="shared" si="16"/>
        <v>4425.6781882170189</v>
      </c>
      <c r="AL58" s="166">
        <f t="shared" si="16"/>
        <v>4644.4277753953738</v>
      </c>
      <c r="AM58" s="166">
        <f t="shared" si="16"/>
        <v>4857.5073321657756</v>
      </c>
      <c r="AN58" s="166">
        <f t="shared" si="16"/>
        <v>5070.2833158493204</v>
      </c>
      <c r="AO58" s="166">
        <f t="shared" si="16"/>
        <v>5261.6374452778045</v>
      </c>
      <c r="AP58" s="166">
        <f t="shared" si="16"/>
        <v>5453.2551635948275</v>
      </c>
      <c r="AQ58" s="166">
        <f t="shared" si="16"/>
        <v>5650.4481788232315</v>
      </c>
    </row>
    <row r="59" spans="3:43" ht="15" customHeight="1">
      <c r="E59" s="25" t="s">
        <v>123</v>
      </c>
      <c r="G59" s="147" t="s">
        <v>657</v>
      </c>
      <c r="Y59" s="151"/>
      <c r="Z59" s="151"/>
      <c r="AA59" s="151"/>
      <c r="AB59" s="151"/>
      <c r="AC59" s="151"/>
      <c r="AD59" s="151"/>
      <c r="AE59" s="151"/>
      <c r="AF59" s="151"/>
      <c r="AG59" s="151"/>
      <c r="AH59" s="151"/>
      <c r="AI59" s="151"/>
      <c r="AJ59" s="150">
        <f>Depn!AJ18</f>
        <v>214.30283536876493</v>
      </c>
      <c r="AK59" s="150">
        <f>Depn!AK18</f>
        <v>218.74958717835483</v>
      </c>
      <c r="AL59" s="150">
        <f>Depn!AL18</f>
        <v>213.07955677040144</v>
      </c>
      <c r="AM59" s="150">
        <f>Depn!AM18</f>
        <v>212.77598368354523</v>
      </c>
      <c r="AN59" s="150">
        <f>Depn!AN18</f>
        <v>191.35412942848416</v>
      </c>
      <c r="AO59" s="150">
        <f>Depn!AO18</f>
        <v>191.61771831702322</v>
      </c>
      <c r="AP59" s="150">
        <f>Depn!AP18</f>
        <v>197.19301522840377</v>
      </c>
      <c r="AQ59" s="150">
        <f>Depn!AQ18</f>
        <v>192.13875531318419</v>
      </c>
    </row>
    <row r="60" spans="3:43" ht="15" customHeight="1">
      <c r="E60" s="25" t="s">
        <v>69</v>
      </c>
      <c r="G60" s="147" t="s">
        <v>657</v>
      </c>
      <c r="Y60" s="151"/>
      <c r="Z60" s="151"/>
      <c r="AA60" s="151"/>
      <c r="AB60" s="151"/>
      <c r="AC60" s="151"/>
      <c r="AD60" s="151"/>
      <c r="AE60" s="151"/>
      <c r="AF60" s="151"/>
      <c r="AG60" s="151"/>
      <c r="AH60" s="151"/>
      <c r="AI60" s="151"/>
      <c r="AJ60" s="142">
        <f t="shared" ref="AJ60:AK60" si="17">AJ58 + AJ59</f>
        <v>4425.6781882170189</v>
      </c>
      <c r="AK60" s="142">
        <f t="shared" si="17"/>
        <v>4644.4277753953738</v>
      </c>
      <c r="AL60" s="142">
        <f>AL58 + AL59</f>
        <v>4857.5073321657756</v>
      </c>
      <c r="AM60" s="142">
        <f t="shared" ref="AM60:AQ60" si="18">AM58 + AM59</f>
        <v>5070.2833158493204</v>
      </c>
      <c r="AN60" s="142">
        <f t="shared" si="18"/>
        <v>5261.6374452778045</v>
      </c>
      <c r="AO60" s="142">
        <f t="shared" si="18"/>
        <v>5453.2551635948275</v>
      </c>
      <c r="AP60" s="142">
        <f t="shared" si="18"/>
        <v>5650.4481788232315</v>
      </c>
      <c r="AQ60" s="142">
        <f t="shared" si="18"/>
        <v>5842.5869341364159</v>
      </c>
    </row>
    <row r="61" spans="3:43" ht="15" customHeight="1">
      <c r="Y61" s="151"/>
      <c r="Z61" s="151"/>
      <c r="AA61" s="151"/>
      <c r="AB61" s="151"/>
      <c r="AC61" s="151"/>
      <c r="AD61" s="151"/>
      <c r="AE61" s="151"/>
      <c r="AF61" s="151"/>
      <c r="AG61" s="151"/>
      <c r="AH61" s="151"/>
      <c r="AI61" s="151"/>
    </row>
    <row r="62" spans="3:43" ht="15" customHeight="1">
      <c r="D62" s="27" t="s">
        <v>114</v>
      </c>
      <c r="E62" s="27"/>
      <c r="F62" s="29"/>
      <c r="G62" s="29"/>
      <c r="H62" s="29"/>
      <c r="I62" s="29"/>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9"/>
      <c r="AK62" s="29"/>
      <c r="AL62" s="29"/>
      <c r="AM62" s="29"/>
      <c r="AN62" s="29"/>
      <c r="AO62" s="29"/>
      <c r="AP62" s="29"/>
      <c r="AQ62" s="29"/>
    </row>
    <row r="63" spans="3:43" ht="15" customHeight="1">
      <c r="Y63" s="151"/>
      <c r="Z63" s="151"/>
      <c r="AA63" s="151"/>
      <c r="AB63" s="151"/>
      <c r="AC63" s="151"/>
      <c r="AD63" s="151"/>
      <c r="AE63" s="151"/>
      <c r="AF63" s="151"/>
      <c r="AG63" s="151"/>
      <c r="AH63" s="151"/>
      <c r="AI63" s="151"/>
    </row>
    <row r="64" spans="3:43" ht="15" customHeight="1">
      <c r="E64" s="25" t="s">
        <v>120</v>
      </c>
      <c r="G64" s="147" t="s">
        <v>657</v>
      </c>
      <c r="I64" s="378"/>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1"/>
      <c r="AJ64" s="42">
        <f>Depn!AJ220</f>
        <v>2138.7896158066133</v>
      </c>
      <c r="AK64" s="147">
        <f t="shared" ref="AK64:AQ64" si="19">AJ68</f>
        <v>2337.5305533106102</v>
      </c>
      <c r="AL64" s="147">
        <f t="shared" si="19"/>
        <v>2535.6088695018684</v>
      </c>
      <c r="AM64" s="147">
        <f t="shared" si="19"/>
        <v>2731.459047929191</v>
      </c>
      <c r="AN64" s="147">
        <f t="shared" si="19"/>
        <v>2924.8258142651257</v>
      </c>
      <c r="AO64" s="147">
        <f t="shared" si="19"/>
        <v>3115.9458606631742</v>
      </c>
      <c r="AP64" s="147">
        <f t="shared" si="19"/>
        <v>3305.083028021435</v>
      </c>
      <c r="AQ64" s="147">
        <f t="shared" si="19"/>
        <v>3468.1334207531158</v>
      </c>
    </row>
    <row r="65" spans="2:43" ht="15" customHeight="1">
      <c r="G65" s="147" t="s">
        <v>657</v>
      </c>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1"/>
      <c r="AJ65" s="150"/>
      <c r="AK65" s="150"/>
      <c r="AL65" s="150"/>
      <c r="AM65" s="150"/>
      <c r="AN65" s="150"/>
      <c r="AO65" s="150"/>
      <c r="AP65" s="150"/>
      <c r="AQ65" s="150"/>
    </row>
    <row r="66" spans="2:43" ht="15" customHeight="1">
      <c r="E66" s="25" t="s">
        <v>121</v>
      </c>
      <c r="G66" s="147" t="s">
        <v>657</v>
      </c>
      <c r="Y66" s="151"/>
      <c r="Z66" s="151"/>
      <c r="AA66" s="151"/>
      <c r="AB66" s="151"/>
      <c r="AC66" s="151"/>
      <c r="AD66" s="151"/>
      <c r="AE66" s="151"/>
      <c r="AF66" s="151"/>
      <c r="AG66" s="151"/>
      <c r="AH66" s="151"/>
      <c r="AI66" s="151"/>
      <c r="AJ66" s="165">
        <f t="shared" ref="AJ66:AQ66" si="20">SUM(AJ64:AJ65)</f>
        <v>2138.7896158066133</v>
      </c>
      <c r="AK66" s="165">
        <f t="shared" si="20"/>
        <v>2337.5305533106102</v>
      </c>
      <c r="AL66" s="165">
        <f t="shared" si="20"/>
        <v>2535.6088695018684</v>
      </c>
      <c r="AM66" s="165">
        <f t="shared" si="20"/>
        <v>2731.459047929191</v>
      </c>
      <c r="AN66" s="165">
        <f t="shared" si="20"/>
        <v>2924.8258142651257</v>
      </c>
      <c r="AO66" s="165">
        <f t="shared" si="20"/>
        <v>3115.9458606631742</v>
      </c>
      <c r="AP66" s="165">
        <f t="shared" si="20"/>
        <v>3305.083028021435</v>
      </c>
      <c r="AQ66" s="165">
        <f t="shared" si="20"/>
        <v>3468.1334207531158</v>
      </c>
    </row>
    <row r="67" spans="2:43" ht="15" customHeight="1">
      <c r="D67" s="145"/>
      <c r="E67" s="30" t="s">
        <v>0</v>
      </c>
      <c r="F67" s="145"/>
      <c r="G67" s="147" t="s">
        <v>657</v>
      </c>
      <c r="H67" s="145"/>
      <c r="I67" s="145"/>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1"/>
      <c r="AJ67" s="150">
        <f>Depn!AJ210</f>
        <v>198.74093750399697</v>
      </c>
      <c r="AK67" s="150">
        <f>Depn!AK210</f>
        <v>198.07831619125824</v>
      </c>
      <c r="AL67" s="150">
        <f>Depn!AL210</f>
        <v>195.85017842732279</v>
      </c>
      <c r="AM67" s="150">
        <f>Depn!AM210</f>
        <v>193.36676633593478</v>
      </c>
      <c r="AN67" s="150">
        <f>Depn!AN210</f>
        <v>191.12004639804832</v>
      </c>
      <c r="AO67" s="150">
        <f>Depn!AO210</f>
        <v>189.13716735826065</v>
      </c>
      <c r="AP67" s="150">
        <f>Depn!AP210</f>
        <v>163.05039273168077</v>
      </c>
      <c r="AQ67" s="150">
        <f>Depn!AQ210</f>
        <v>161.21935744886116</v>
      </c>
    </row>
    <row r="68" spans="2:43" ht="15" customHeight="1">
      <c r="E68" s="25" t="s">
        <v>69</v>
      </c>
      <c r="G68" s="147" t="s">
        <v>657</v>
      </c>
      <c r="Y68" s="151"/>
      <c r="Z68" s="151"/>
      <c r="AA68" s="151"/>
      <c r="AB68" s="151"/>
      <c r="AC68" s="151"/>
      <c r="AD68" s="151"/>
      <c r="AE68" s="151"/>
      <c r="AF68" s="151"/>
      <c r="AG68" s="151"/>
      <c r="AH68" s="151"/>
      <c r="AI68" s="151"/>
      <c r="AJ68" s="142">
        <f>AJ66 + AJ67</f>
        <v>2337.5305533106102</v>
      </c>
      <c r="AK68" s="142">
        <f t="shared" ref="AK68:AQ68" si="21">AK66 + AK67</f>
        <v>2535.6088695018684</v>
      </c>
      <c r="AL68" s="142">
        <f t="shared" si="21"/>
        <v>2731.459047929191</v>
      </c>
      <c r="AM68" s="142">
        <f t="shared" si="21"/>
        <v>2924.8258142651257</v>
      </c>
      <c r="AN68" s="142">
        <f t="shared" si="21"/>
        <v>3115.9458606631742</v>
      </c>
      <c r="AO68" s="142">
        <f t="shared" si="21"/>
        <v>3305.083028021435</v>
      </c>
      <c r="AP68" s="142">
        <f t="shared" si="21"/>
        <v>3468.1334207531158</v>
      </c>
      <c r="AQ68" s="142">
        <f t="shared" si="21"/>
        <v>3629.3527782019769</v>
      </c>
    </row>
    <row r="69" spans="2:43" ht="15" customHeight="1">
      <c r="Y69" s="151"/>
      <c r="Z69" s="151"/>
      <c r="AA69" s="151"/>
      <c r="AB69" s="151"/>
      <c r="AC69" s="151"/>
      <c r="AD69" s="151"/>
      <c r="AE69" s="151"/>
      <c r="AF69" s="151"/>
      <c r="AG69" s="151"/>
      <c r="AH69" s="151"/>
      <c r="AI69" s="151"/>
    </row>
    <row r="70" spans="2:43" ht="15" customHeight="1">
      <c r="D70" s="29" t="s">
        <v>50</v>
      </c>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row>
    <row r="71" spans="2:43" ht="15" customHeight="1">
      <c r="Y71" s="151"/>
      <c r="Z71" s="151"/>
      <c r="AA71" s="151"/>
      <c r="AB71" s="151"/>
      <c r="AC71" s="151"/>
      <c r="AD71" s="151"/>
      <c r="AE71" s="151"/>
      <c r="AF71" s="151"/>
      <c r="AG71" s="151"/>
      <c r="AH71" s="151"/>
      <c r="AI71" s="151"/>
    </row>
    <row r="72" spans="2:43" ht="15" customHeight="1">
      <c r="E72" s="25" t="s">
        <v>13</v>
      </c>
      <c r="G72" s="147" t="s">
        <v>657</v>
      </c>
      <c r="Y72" s="151"/>
      <c r="Z72" s="151"/>
      <c r="AA72" s="151"/>
      <c r="AB72" s="151"/>
      <c r="AC72" s="151"/>
      <c r="AD72" s="151"/>
      <c r="AE72" s="151"/>
      <c r="AF72" s="151"/>
      <c r="AG72" s="151"/>
      <c r="AH72" s="151"/>
      <c r="AI72" s="151"/>
      <c r="AJ72" s="32">
        <f t="shared" ref="AJ72:AQ72" si="22">AJ60 - AJ68</f>
        <v>2088.1476349064087</v>
      </c>
      <c r="AK72" s="32">
        <f t="shared" si="22"/>
        <v>2108.8189058935054</v>
      </c>
      <c r="AL72" s="32">
        <f t="shared" si="22"/>
        <v>2126.0482842365845</v>
      </c>
      <c r="AM72" s="32">
        <f t="shared" si="22"/>
        <v>2145.4575015841947</v>
      </c>
      <c r="AN72" s="32">
        <f t="shared" si="22"/>
        <v>2145.6915846146303</v>
      </c>
      <c r="AO72" s="32">
        <f t="shared" si="22"/>
        <v>2148.1721355733926</v>
      </c>
      <c r="AP72" s="32">
        <f t="shared" si="22"/>
        <v>2182.3147580701157</v>
      </c>
      <c r="AQ72" s="32">
        <f t="shared" si="22"/>
        <v>2213.2341559344391</v>
      </c>
    </row>
    <row r="73" spans="2:43" ht="15" customHeight="1">
      <c r="Y73" s="151"/>
      <c r="Z73" s="151"/>
      <c r="AA73" s="151"/>
      <c r="AB73" s="151"/>
      <c r="AC73" s="151"/>
      <c r="AD73" s="151"/>
      <c r="AE73" s="151"/>
      <c r="AF73" s="151"/>
      <c r="AG73" s="151"/>
      <c r="AH73" s="151"/>
      <c r="AI73" s="151"/>
      <c r="AJ73" s="145"/>
      <c r="AK73" s="145"/>
      <c r="AL73" s="145"/>
      <c r="AM73" s="145"/>
      <c r="AN73" s="145"/>
      <c r="AO73" s="145"/>
      <c r="AP73" s="145"/>
      <c r="AQ73" s="145"/>
    </row>
    <row r="74" spans="2:43" ht="15" customHeight="1">
      <c r="C74" s="292" t="s">
        <v>552</v>
      </c>
      <c r="D74" s="292"/>
      <c r="E74" s="292"/>
      <c r="F74" s="292"/>
      <c r="G74" s="292"/>
      <c r="H74" s="292"/>
      <c r="I74" s="292"/>
      <c r="J74" s="292"/>
      <c r="K74" s="292"/>
      <c r="L74" s="292"/>
      <c r="M74" s="292"/>
      <c r="N74" s="292"/>
      <c r="O74" s="292"/>
      <c r="P74" s="292"/>
      <c r="Q74" s="292"/>
      <c r="R74" s="292"/>
      <c r="S74" s="292"/>
      <c r="T74" s="292"/>
      <c r="U74" s="292"/>
      <c r="V74" s="292"/>
      <c r="W74" s="292"/>
      <c r="X74" s="292"/>
      <c r="Y74" s="292"/>
      <c r="Z74" s="292"/>
      <c r="AA74" s="292"/>
      <c r="AB74" s="292"/>
      <c r="AC74" s="292"/>
      <c r="AD74" s="292"/>
      <c r="AE74" s="292"/>
      <c r="AF74" s="292"/>
      <c r="AG74" s="292"/>
      <c r="AH74" s="292"/>
      <c r="AI74" s="292"/>
      <c r="AJ74" s="292"/>
      <c r="AK74" s="292"/>
      <c r="AL74" s="292"/>
      <c r="AM74" s="292"/>
      <c r="AN74" s="292"/>
      <c r="AO74" s="292"/>
      <c r="AP74" s="292"/>
      <c r="AQ74" s="292"/>
    </row>
    <row r="75" spans="2:43" ht="15" customHeight="1">
      <c r="Y75" s="151"/>
      <c r="Z75" s="151"/>
      <c r="AA75" s="151"/>
      <c r="AB75" s="151"/>
      <c r="AC75" s="151"/>
      <c r="AD75" s="151"/>
      <c r="AE75" s="151"/>
      <c r="AF75" s="151"/>
      <c r="AG75" s="151"/>
      <c r="AH75" s="151"/>
      <c r="AI75" s="151"/>
      <c r="AJ75" s="145"/>
      <c r="AK75" s="145"/>
      <c r="AL75" s="145"/>
      <c r="AM75" s="145"/>
      <c r="AN75" s="145"/>
      <c r="AO75" s="145"/>
      <c r="AP75" s="145"/>
      <c r="AQ75" s="145"/>
    </row>
    <row r="76" spans="2:43" ht="15" customHeight="1">
      <c r="E76" s="25" t="s">
        <v>553</v>
      </c>
      <c r="G76" s="147" t="s">
        <v>657</v>
      </c>
      <c r="Y76" s="151"/>
      <c r="Z76" s="151"/>
      <c r="AA76" s="151"/>
      <c r="AB76" s="151"/>
      <c r="AC76" s="151"/>
      <c r="AD76" s="151"/>
      <c r="AE76" s="151"/>
      <c r="AF76" s="151"/>
      <c r="AG76" s="151"/>
      <c r="AH76" s="151"/>
      <c r="AI76" s="151"/>
      <c r="AJ76" s="42">
        <f>Input!I354</f>
        <v>19.70995735619687</v>
      </c>
      <c r="AK76" s="145"/>
      <c r="AL76" s="145"/>
      <c r="AM76" s="145"/>
      <c r="AN76" s="145"/>
      <c r="AO76" s="145"/>
      <c r="AP76" s="145"/>
      <c r="AQ76" s="145"/>
    </row>
    <row r="77" spans="2:43" ht="15" customHeight="1">
      <c r="Y77" s="151"/>
      <c r="Z77" s="151"/>
      <c r="AA77" s="151"/>
      <c r="AB77" s="151"/>
      <c r="AC77" s="151"/>
      <c r="AD77" s="151"/>
      <c r="AE77" s="151"/>
      <c r="AF77" s="151"/>
      <c r="AG77" s="151"/>
      <c r="AH77" s="151"/>
      <c r="AI77" s="151"/>
      <c r="AJ77" s="145"/>
      <c r="AK77" s="145"/>
      <c r="AL77" s="145"/>
      <c r="AM77" s="145"/>
      <c r="AN77" s="145"/>
      <c r="AO77" s="145"/>
      <c r="AP77" s="145"/>
      <c r="AQ77" s="145"/>
    </row>
    <row r="78" spans="2:43" ht="15" customHeight="1">
      <c r="Y78" s="151"/>
      <c r="Z78" s="145"/>
      <c r="AA78" s="145"/>
      <c r="AB78" s="145"/>
      <c r="AC78" s="145"/>
      <c r="AD78" s="145"/>
      <c r="AE78" s="145"/>
      <c r="AF78" s="145"/>
      <c r="AG78" s="145"/>
      <c r="AH78" s="145"/>
      <c r="AI78" s="145"/>
      <c r="AJ78" s="145"/>
      <c r="AK78" s="145"/>
      <c r="AL78" s="145"/>
      <c r="AM78" s="145"/>
      <c r="AN78" s="145"/>
      <c r="AO78" s="145"/>
      <c r="AP78" s="145"/>
      <c r="AQ78" s="145"/>
    </row>
    <row r="79" spans="2:43" s="156" customFormat="1" ht="15" customHeight="1">
      <c r="B79" s="84" t="s">
        <v>51</v>
      </c>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row>
    <row r="80" spans="2:43" ht="15"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sheetData>
  <pageMargins left="0.23622047244094491" right="0.23622047244094491" top="0.74803149606299213" bottom="0.74803149606299213" header="0.31496062992125984" footer="0.31496062992125984"/>
  <pageSetup paperSize="8" scale="42" fitToHeight="0" orientation="landscape"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5633" r:id="rId4" name="Drop Down 1">
              <controlPr defaultSize="0" autoLine="0" autoPict="0">
                <anchor moveWithCells="1">
                  <from>
                    <xdr:col>4</xdr:col>
                    <xdr:colOff>981075</xdr:colOff>
                    <xdr:row>0</xdr:row>
                    <xdr:rowOff>114300</xdr:rowOff>
                  </from>
                  <to>
                    <xdr:col>4</xdr:col>
                    <xdr:colOff>3419475</xdr:colOff>
                    <xdr:row>1</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tint="0.59999389629810485"/>
    <pageSetUpPr autoPageBreaks="0" fitToPage="1"/>
  </sheetPr>
  <dimension ref="A1:XEQ206"/>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47" customWidth="1"/>
    <col min="5" max="5" width="50.625" style="147" customWidth="1"/>
    <col min="6" max="6" width="1.625" style="147" customWidth="1"/>
    <col min="7" max="7" width="12.625" style="147" customWidth="1"/>
    <col min="8" max="8" width="1.625" style="147" customWidth="1"/>
    <col min="9" max="9" width="10.625" style="147" customWidth="1"/>
    <col min="10" max="10" width="1.625" style="147" customWidth="1"/>
    <col min="11" max="35" width="10.625" style="147" hidden="1" customWidth="1" outlineLevel="1"/>
    <col min="36" max="36" width="10.625" style="147" customWidth="1" collapsed="1"/>
    <col min="37" max="43" width="10.625" style="147" customWidth="1"/>
    <col min="44" max="44" width="1.625" style="147" customWidth="1"/>
    <col min="45" max="49" width="0" style="147" hidden="1"/>
    <col min="50" max="16371" width="9" style="147" hidden="1"/>
    <col min="16372" max="16384" width="0" style="147" hidden="1"/>
  </cols>
  <sheetData>
    <row r="1" spans="1:44" s="309" customFormat="1" ht="19.5">
      <c r="A1" s="307" t="s">
        <v>221</v>
      </c>
      <c r="B1" s="10"/>
      <c r="C1" s="10"/>
      <c r="D1" s="10"/>
      <c r="E1" s="10"/>
      <c r="F1" s="10"/>
      <c r="G1" s="10"/>
      <c r="H1" s="10"/>
      <c r="I1" s="10"/>
      <c r="J1" s="308"/>
      <c r="K1" s="308"/>
      <c r="L1" s="308"/>
      <c r="M1" s="308"/>
      <c r="N1" s="308"/>
      <c r="O1" s="308"/>
      <c r="P1" s="308"/>
      <c r="Q1" s="308"/>
      <c r="R1" s="308"/>
      <c r="S1" s="308"/>
      <c r="T1" s="308"/>
      <c r="U1" s="308"/>
      <c r="V1" s="308"/>
      <c r="W1" s="308"/>
      <c r="X1" s="308"/>
      <c r="Y1" s="10"/>
      <c r="Z1" s="10"/>
      <c r="AA1" s="10"/>
      <c r="AB1" s="10"/>
      <c r="AC1" s="10"/>
      <c r="AD1" s="10"/>
      <c r="AE1" s="10"/>
      <c r="AF1" s="10"/>
      <c r="AG1" s="10"/>
      <c r="AH1" s="10"/>
      <c r="AI1" s="10"/>
      <c r="AJ1" s="10"/>
      <c r="AM1" s="10"/>
      <c r="AN1" s="10"/>
      <c r="AO1" s="10"/>
      <c r="AP1" s="10"/>
      <c r="AQ1" s="10"/>
    </row>
    <row r="2" spans="1:44" s="309" customFormat="1" ht="15" customHeight="1">
      <c r="A2" s="10"/>
      <c r="B2" s="10" t="str">
        <f>UserInterface!G17</f>
        <v>SSES</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B6" s="10"/>
      <c r="C6" s="10"/>
      <c r="D6" s="10"/>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c r="B9" s="294" t="s">
        <v>135</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c r="B10" s="192" t="s">
        <v>339</v>
      </c>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row>
    <row r="11" spans="1:44" ht="15" customHeight="1"/>
    <row r="12" spans="1:44" ht="15" customHeight="1">
      <c r="C12" s="292" t="s">
        <v>143</v>
      </c>
      <c r="D12" s="292"/>
      <c r="E12" s="292"/>
      <c r="F12" s="292"/>
      <c r="G12" s="292"/>
      <c r="H12" s="292"/>
      <c r="I12" s="292"/>
      <c r="J12" s="292"/>
      <c r="K12" s="292"/>
      <c r="L12" s="292"/>
      <c r="M12" s="292"/>
      <c r="N12" s="292"/>
      <c r="O12" s="292"/>
      <c r="P12" s="292"/>
      <c r="Q12" s="292"/>
      <c r="R12" s="292"/>
      <c r="S12" s="292"/>
      <c r="T12" s="292"/>
      <c r="U12" s="292"/>
      <c r="V12" s="292"/>
      <c r="W12" s="292"/>
      <c r="X12" s="292"/>
      <c r="Y12" s="292"/>
      <c r="Z12" s="292"/>
      <c r="AA12" s="292"/>
      <c r="AB12" s="292"/>
      <c r="AC12" s="292"/>
      <c r="AD12" s="292"/>
      <c r="AE12" s="292"/>
      <c r="AF12" s="292"/>
      <c r="AG12" s="292"/>
      <c r="AH12" s="292"/>
      <c r="AI12" s="292"/>
      <c r="AJ12" s="292"/>
      <c r="AK12" s="292"/>
      <c r="AL12" s="292"/>
      <c r="AM12" s="292"/>
      <c r="AN12" s="292"/>
      <c r="AO12" s="292"/>
      <c r="AP12" s="292"/>
      <c r="AQ12" s="292"/>
    </row>
    <row r="13" spans="1:44" ht="15" customHeight="1"/>
    <row r="14" spans="1:44" ht="15" customHeight="1">
      <c r="D14" s="193" t="s">
        <v>148</v>
      </c>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row>
    <row r="15" spans="1:44" ht="15" customHeight="1">
      <c r="AJ15" s="161"/>
      <c r="AK15" s="161"/>
      <c r="AL15" s="161"/>
      <c r="AM15" s="161"/>
      <c r="AN15" s="161"/>
      <c r="AO15" s="161"/>
      <c r="AP15" s="161"/>
      <c r="AQ15" s="161"/>
    </row>
    <row r="16" spans="1:44">
      <c r="E16" s="147" t="s">
        <v>107</v>
      </c>
      <c r="G16" s="269" t="s">
        <v>657</v>
      </c>
      <c r="AJ16" s="147">
        <f>Totex!AJ83</f>
        <v>29.998509159439635</v>
      </c>
      <c r="AK16" s="147">
        <f>Totex!AK83</f>
        <v>36.863495450317984</v>
      </c>
      <c r="AL16" s="147">
        <f>Totex!AL83</f>
        <v>34.780362338389125</v>
      </c>
      <c r="AM16" s="147">
        <f>Totex!AM83</f>
        <v>38.395806644473808</v>
      </c>
      <c r="AN16" s="147">
        <f>Totex!AN83</f>
        <v>18.057968689533375</v>
      </c>
      <c r="AO16" s="147">
        <f>Totex!AO83</f>
        <v>27.165661312650784</v>
      </c>
      <c r="AP16" s="147">
        <f>Totex!AP83</f>
        <v>38.328084023450032</v>
      </c>
      <c r="AQ16" s="147">
        <f>Totex!AQ83</f>
        <v>33.445837567223187</v>
      </c>
    </row>
    <row r="17" spans="3:44">
      <c r="E17" s="147" t="s">
        <v>546</v>
      </c>
      <c r="G17" s="269" t="s">
        <v>657</v>
      </c>
      <c r="I17" s="378"/>
      <c r="AJ17" s="147">
        <f>Totex!AJ84</f>
        <v>98.544285533684103</v>
      </c>
      <c r="AK17" s="147">
        <f>Totex!AK84</f>
        <v>98.101321463569775</v>
      </c>
      <c r="AL17" s="147">
        <f>Totex!AL84</f>
        <v>94.127846133068672</v>
      </c>
      <c r="AM17" s="147">
        <f>Totex!AM84</f>
        <v>90.328260662393177</v>
      </c>
      <c r="AN17" s="147">
        <f>Totex!AN84</f>
        <v>85.802977841768524</v>
      </c>
      <c r="AO17" s="147">
        <f>Totex!AO84</f>
        <v>80.784021747478221</v>
      </c>
      <c r="AP17" s="147">
        <f>Totex!AP84</f>
        <v>79.465281145138448</v>
      </c>
      <c r="AQ17" s="147">
        <f>Totex!AQ84</f>
        <v>81.212985445714878</v>
      </c>
    </row>
    <row r="18" spans="3:44">
      <c r="E18" s="147" t="s">
        <v>106</v>
      </c>
      <c r="G18" s="269" t="s">
        <v>657</v>
      </c>
      <c r="I18" s="378"/>
      <c r="AJ18" s="147">
        <f>Totex!AJ85</f>
        <v>18.283812963111675</v>
      </c>
      <c r="AK18" s="147">
        <f>Totex!AK85</f>
        <v>18.882044749337773</v>
      </c>
      <c r="AL18" s="147">
        <f>Totex!AL85</f>
        <v>15.912014727851897</v>
      </c>
      <c r="AM18" s="147">
        <f>Totex!AM85</f>
        <v>16.848923953317147</v>
      </c>
      <c r="AN18" s="147">
        <f>Totex!AN85</f>
        <v>12.386327025206619</v>
      </c>
      <c r="AO18" s="147">
        <f>Totex!AO85</f>
        <v>11.81186201810984</v>
      </c>
      <c r="AP18" s="147">
        <f>Totex!AP85</f>
        <v>11.486702004360975</v>
      </c>
      <c r="AQ18" s="147">
        <f>Totex!AQ85</f>
        <v>10.926316773819124</v>
      </c>
    </row>
    <row r="19" spans="3:44">
      <c r="E19" s="147" t="s">
        <v>574</v>
      </c>
      <c r="G19" s="269" t="s">
        <v>657</v>
      </c>
      <c r="I19" s="378"/>
      <c r="AJ19" s="147">
        <f>Totex!AJ86</f>
        <v>33.075472950866427</v>
      </c>
      <c r="AK19" s="147">
        <f>Totex!AK86</f>
        <v>32.647566650312378</v>
      </c>
      <c r="AL19" s="147">
        <f>Totex!AL86</f>
        <v>32.409723916290844</v>
      </c>
      <c r="AM19" s="147">
        <f>Totex!AM86</f>
        <v>31.959557488822796</v>
      </c>
      <c r="AN19" s="147">
        <f>Totex!AN86</f>
        <v>31.728500492700274</v>
      </c>
      <c r="AO19" s="147">
        <f>Totex!AO86</f>
        <v>31.337508334745625</v>
      </c>
      <c r="AP19" s="147">
        <f>Totex!AP86</f>
        <v>32.269075565111294</v>
      </c>
      <c r="AQ19" s="147">
        <f>Totex!AQ86</f>
        <v>30.716348122946656</v>
      </c>
    </row>
    <row r="20" spans="3:44" s="378" customFormat="1">
      <c r="E20" s="378" t="s">
        <v>719</v>
      </c>
      <c r="G20" s="269" t="s">
        <v>657</v>
      </c>
      <c r="AJ20" s="378">
        <f>Totex!AJ87</f>
        <v>14.464667097377436</v>
      </c>
      <c r="AK20" s="378">
        <f>Totex!AK87</f>
        <v>13.781760263106239</v>
      </c>
      <c r="AL20" s="378">
        <f>Totex!AL87</f>
        <v>13.291261586067108</v>
      </c>
      <c r="AM20" s="378">
        <f>Totex!AM87</f>
        <v>12.016137592784872</v>
      </c>
      <c r="AN20" s="378">
        <f>Totex!AN87</f>
        <v>11.838555095112556</v>
      </c>
      <c r="AO20" s="378">
        <f>Totex!AO87</f>
        <v>11.764027339866416</v>
      </c>
      <c r="AP20" s="378">
        <f>Totex!AP87</f>
        <v>11.583421337604523</v>
      </c>
      <c r="AQ20" s="378">
        <f>Totex!AQ87</f>
        <v>11.406190361918512</v>
      </c>
    </row>
    <row r="21" spans="3:44">
      <c r="E21" s="378" t="s">
        <v>705</v>
      </c>
      <c r="G21" s="269" t="s">
        <v>657</v>
      </c>
      <c r="I21" s="378"/>
      <c r="AJ21" s="147">
        <f>Totex!AJ88</f>
        <v>10.972371627730068</v>
      </c>
      <c r="AK21" s="147">
        <f>Totex!AK88</f>
        <v>11.055160498805785</v>
      </c>
      <c r="AL21" s="147">
        <f>Totex!AL88</f>
        <v>10.777305068287735</v>
      </c>
      <c r="AM21" s="147">
        <f>Totex!AM88</f>
        <v>10.653384217169016</v>
      </c>
      <c r="AN21" s="147">
        <f>Totex!AN88</f>
        <v>10.218044023469375</v>
      </c>
      <c r="AO21" s="147">
        <f>Totex!AO88</f>
        <v>10.009970357363219</v>
      </c>
      <c r="AP21" s="147">
        <f>Totex!AP88</f>
        <v>9.9577183447683826</v>
      </c>
      <c r="AQ21" s="147">
        <f>Totex!AQ88</f>
        <v>9.7867252424506699</v>
      </c>
    </row>
    <row r="22" spans="3:44">
      <c r="E22" s="147" t="s">
        <v>104</v>
      </c>
      <c r="G22" s="269" t="s">
        <v>657</v>
      </c>
      <c r="I22" s="378"/>
      <c r="AJ22" s="147">
        <f>Totex!AJ89</f>
        <v>100.80778833745489</v>
      </c>
      <c r="AK22" s="147">
        <f>Totex!AK89</f>
        <v>101.1680611793427</v>
      </c>
      <c r="AL22" s="147">
        <f>Totex!AL89</f>
        <v>103.10085304490384</v>
      </c>
      <c r="AM22" s="147">
        <f>Totex!AM89</f>
        <v>103.76362041753238</v>
      </c>
      <c r="AN22" s="147">
        <f>Totex!AN89</f>
        <v>103.33066887290096</v>
      </c>
      <c r="AO22" s="147">
        <f>Totex!AO89</f>
        <v>100.86654648553341</v>
      </c>
      <c r="AP22" s="147">
        <f>Totex!AP89</f>
        <v>98.614025048714595</v>
      </c>
      <c r="AQ22" s="147">
        <f>Totex!AQ89</f>
        <v>96.989532647618674</v>
      </c>
    </row>
    <row r="23" spans="3:44">
      <c r="E23" s="147" t="s">
        <v>148</v>
      </c>
      <c r="G23" s="269" t="s">
        <v>657</v>
      </c>
      <c r="AJ23" s="166">
        <f t="shared" ref="AJ23:AQ23" si="0">SUM(AJ16:AJ22)</f>
        <v>306.14690766966419</v>
      </c>
      <c r="AK23" s="166">
        <f t="shared" si="0"/>
        <v>312.49941025479262</v>
      </c>
      <c r="AL23" s="166">
        <f t="shared" si="0"/>
        <v>304.39936681485921</v>
      </c>
      <c r="AM23" s="166">
        <f t="shared" si="0"/>
        <v>303.96569097649319</v>
      </c>
      <c r="AN23" s="166">
        <f t="shared" si="0"/>
        <v>273.36304204069165</v>
      </c>
      <c r="AO23" s="166">
        <f t="shared" si="0"/>
        <v>273.73959759574745</v>
      </c>
      <c r="AP23" s="166">
        <f t="shared" si="0"/>
        <v>281.70430746914826</v>
      </c>
      <c r="AQ23" s="166">
        <f t="shared" si="0"/>
        <v>274.4839361616917</v>
      </c>
    </row>
    <row r="24" spans="3:44" ht="15" customHeight="1">
      <c r="AJ24" s="325"/>
      <c r="AK24" s="325"/>
      <c r="AL24" s="325"/>
      <c r="AM24" s="325"/>
      <c r="AN24" s="325"/>
      <c r="AO24" s="325"/>
      <c r="AP24" s="325"/>
      <c r="AQ24" s="325"/>
      <c r="AR24" s="325"/>
    </row>
    <row r="25" spans="3:44">
      <c r="C25" s="292" t="s">
        <v>128</v>
      </c>
      <c r="D25" s="292"/>
      <c r="E25" s="292"/>
      <c r="F25" s="292"/>
      <c r="G25" s="292"/>
      <c r="H25" s="292"/>
      <c r="I25" s="292"/>
      <c r="J25" s="292"/>
      <c r="K25" s="292"/>
      <c r="L25" s="292"/>
      <c r="M25" s="292"/>
      <c r="N25" s="292"/>
      <c r="O25" s="292"/>
      <c r="P25" s="292"/>
      <c r="Q25" s="292"/>
      <c r="R25" s="292"/>
      <c r="S25" s="292"/>
      <c r="T25" s="292"/>
      <c r="U25" s="292"/>
      <c r="V25" s="292"/>
      <c r="W25" s="292"/>
      <c r="X25" s="292"/>
      <c r="Y25" s="292"/>
      <c r="Z25" s="292"/>
      <c r="AA25" s="292"/>
      <c r="AB25" s="292"/>
      <c r="AC25" s="292"/>
      <c r="AD25" s="292"/>
      <c r="AE25" s="292"/>
      <c r="AF25" s="292"/>
      <c r="AG25" s="292"/>
      <c r="AH25" s="292"/>
      <c r="AI25" s="292"/>
      <c r="AJ25" s="292"/>
      <c r="AK25" s="292"/>
      <c r="AL25" s="292"/>
      <c r="AM25" s="292"/>
      <c r="AN25" s="292"/>
      <c r="AO25" s="292"/>
      <c r="AP25" s="292"/>
      <c r="AQ25" s="292"/>
    </row>
    <row r="26" spans="3:44" ht="15" customHeight="1"/>
    <row r="27" spans="3:44" ht="15" customHeight="1">
      <c r="D27" s="193" t="s">
        <v>28</v>
      </c>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row>
    <row r="28" spans="3:44" ht="15" customHeight="1">
      <c r="E28" s="145"/>
      <c r="F28" s="327"/>
      <c r="G28" s="327"/>
      <c r="H28" s="327"/>
      <c r="I28" s="327"/>
      <c r="J28" s="327"/>
      <c r="K28" s="327"/>
      <c r="L28" s="327"/>
      <c r="M28" s="327"/>
      <c r="N28" s="327"/>
      <c r="O28" s="327"/>
      <c r="P28" s="327"/>
      <c r="Q28" s="327"/>
      <c r="R28" s="327"/>
      <c r="S28" s="327"/>
      <c r="T28" s="327"/>
      <c r="U28" s="327"/>
      <c r="V28" s="327"/>
      <c r="W28" s="327"/>
      <c r="X28" s="327"/>
      <c r="Y28" s="327"/>
      <c r="Z28" s="327"/>
      <c r="AA28" s="327"/>
      <c r="AB28" s="327"/>
      <c r="AC28" s="327"/>
      <c r="AD28" s="327"/>
      <c r="AE28" s="327"/>
      <c r="AF28" s="327"/>
      <c r="AG28" s="327"/>
      <c r="AH28" s="327"/>
      <c r="AI28" s="327"/>
    </row>
    <row r="29" spans="3:44" ht="15" customHeight="1">
      <c r="E29" s="111" t="s">
        <v>141</v>
      </c>
      <c r="F29" s="45"/>
      <c r="G29" s="45" t="s">
        <v>47</v>
      </c>
      <c r="H29" s="327"/>
      <c r="I29" s="327"/>
      <c r="J29" s="327"/>
      <c r="K29" s="327"/>
      <c r="L29" s="327"/>
      <c r="M29" s="327"/>
      <c r="N29" s="327"/>
      <c r="O29" s="327"/>
      <c r="P29" s="327"/>
      <c r="Q29" s="327"/>
      <c r="R29" s="327"/>
      <c r="S29" s="327"/>
      <c r="T29" s="327"/>
      <c r="U29" s="327"/>
      <c r="V29" s="327"/>
      <c r="W29" s="327"/>
      <c r="X29" s="327"/>
      <c r="Y29" s="327"/>
      <c r="Z29" s="327"/>
      <c r="AA29" s="327"/>
      <c r="AB29" s="327"/>
      <c r="AC29" s="327"/>
      <c r="AD29" s="327"/>
      <c r="AE29" s="327"/>
      <c r="AF29" s="327"/>
      <c r="AG29" s="327"/>
      <c r="AH29" s="327"/>
      <c r="AI29" s="327"/>
      <c r="AJ29" s="299">
        <f>Input!AJ407</f>
        <v>0</v>
      </c>
      <c r="AK29" s="299">
        <f>Input!AK407</f>
        <v>0</v>
      </c>
      <c r="AL29" s="299">
        <f>Input!AL407</f>
        <v>0</v>
      </c>
      <c r="AM29" s="299">
        <f>Input!AM407</f>
        <v>0</v>
      </c>
      <c r="AN29" s="299">
        <f>Input!AN407</f>
        <v>0</v>
      </c>
      <c r="AO29" s="299">
        <f>Input!AO407</f>
        <v>0</v>
      </c>
      <c r="AP29" s="299">
        <f>Input!AP407</f>
        <v>0</v>
      </c>
      <c r="AQ29" s="299">
        <f>Input!AQ407</f>
        <v>0</v>
      </c>
    </row>
    <row r="30" spans="3:44" ht="15" customHeight="1">
      <c r="E30" s="147" t="s">
        <v>546</v>
      </c>
      <c r="F30" s="45"/>
      <c r="G30" s="45" t="s">
        <v>47</v>
      </c>
      <c r="H30" s="327"/>
      <c r="I30" s="327"/>
      <c r="J30" s="327"/>
      <c r="K30" s="327"/>
      <c r="L30" s="327"/>
      <c r="M30" s="327"/>
      <c r="N30" s="327"/>
      <c r="O30" s="327"/>
      <c r="P30" s="327"/>
      <c r="Q30" s="327"/>
      <c r="R30" s="327"/>
      <c r="S30" s="327"/>
      <c r="T30" s="327"/>
      <c r="U30" s="327"/>
      <c r="V30" s="327"/>
      <c r="W30" s="327"/>
      <c r="X30" s="327"/>
      <c r="Y30" s="327"/>
      <c r="Z30" s="327"/>
      <c r="AA30" s="327"/>
      <c r="AB30" s="327"/>
      <c r="AC30" s="327"/>
      <c r="AD30" s="327"/>
      <c r="AE30" s="327"/>
      <c r="AF30" s="327"/>
      <c r="AG30" s="327"/>
      <c r="AH30" s="327"/>
      <c r="AI30" s="327"/>
      <c r="AJ30" s="299">
        <f>Input!AJ408</f>
        <v>3.1899477452032709E-3</v>
      </c>
      <c r="AK30" s="299">
        <f>Input!AK408</f>
        <v>3.1899477452032709E-3</v>
      </c>
      <c r="AL30" s="299">
        <f>Input!AL408</f>
        <v>3.1899477452032709E-3</v>
      </c>
      <c r="AM30" s="299">
        <f>Input!AM408</f>
        <v>3.1899477452032709E-3</v>
      </c>
      <c r="AN30" s="299">
        <f>Input!AN408</f>
        <v>3.1899477452032709E-3</v>
      </c>
      <c r="AO30" s="299">
        <f>Input!AO408</f>
        <v>3.1899477452032709E-3</v>
      </c>
      <c r="AP30" s="299">
        <f>Input!AP408</f>
        <v>3.1899477452032709E-3</v>
      </c>
      <c r="AQ30" s="299">
        <f>Input!AQ408</f>
        <v>3.1899477452032709E-3</v>
      </c>
    </row>
    <row r="31" spans="3:44" ht="15" customHeight="1">
      <c r="E31" s="111" t="s">
        <v>142</v>
      </c>
      <c r="F31" s="45"/>
      <c r="G31" s="45" t="s">
        <v>47</v>
      </c>
      <c r="H31" s="327"/>
      <c r="I31" s="327"/>
      <c r="J31" s="327"/>
      <c r="K31" s="327"/>
      <c r="L31" s="327"/>
      <c r="M31" s="327"/>
      <c r="N31" s="327"/>
      <c r="O31" s="327"/>
      <c r="P31" s="327"/>
      <c r="Q31" s="327"/>
      <c r="R31" s="327"/>
      <c r="S31" s="327"/>
      <c r="T31" s="327"/>
      <c r="U31" s="327"/>
      <c r="V31" s="327"/>
      <c r="W31" s="327"/>
      <c r="X31" s="327"/>
      <c r="Y31" s="327"/>
      <c r="Z31" s="327"/>
      <c r="AA31" s="327"/>
      <c r="AB31" s="327"/>
      <c r="AC31" s="327"/>
      <c r="AD31" s="327"/>
      <c r="AE31" s="327"/>
      <c r="AF31" s="327"/>
      <c r="AG31" s="327"/>
      <c r="AH31" s="327"/>
      <c r="AI31" s="327"/>
      <c r="AJ31" s="299">
        <f>Input!AJ409</f>
        <v>0.68041237113402053</v>
      </c>
      <c r="AK31" s="299">
        <f>Input!AK409</f>
        <v>0.68041237113402053</v>
      </c>
      <c r="AL31" s="299">
        <f>Input!AL409</f>
        <v>0.68041237113402053</v>
      </c>
      <c r="AM31" s="299">
        <f>Input!AM409</f>
        <v>0.68041237113402053</v>
      </c>
      <c r="AN31" s="299">
        <f>Input!AN409</f>
        <v>0.68041237113402053</v>
      </c>
      <c r="AO31" s="299">
        <f>Input!AO409</f>
        <v>0.68041237113402053</v>
      </c>
      <c r="AP31" s="299">
        <f>Input!AP409</f>
        <v>0.68041237113402053</v>
      </c>
      <c r="AQ31" s="299">
        <f>Input!AQ409</f>
        <v>0.68041237113402053</v>
      </c>
    </row>
    <row r="32" spans="3:44" ht="15" customHeight="1">
      <c r="E32" s="147" t="s">
        <v>574</v>
      </c>
      <c r="F32" s="45"/>
      <c r="G32" s="45" t="s">
        <v>47</v>
      </c>
      <c r="H32" s="327"/>
      <c r="I32" s="327"/>
      <c r="J32" s="327"/>
      <c r="K32" s="327"/>
      <c r="L32" s="327"/>
      <c r="M32" s="327"/>
      <c r="N32" s="327"/>
      <c r="O32" s="327"/>
      <c r="P32" s="327"/>
      <c r="Q32" s="327"/>
      <c r="R32" s="327"/>
      <c r="S32" s="327"/>
      <c r="T32" s="327"/>
      <c r="U32" s="327"/>
      <c r="V32" s="327"/>
      <c r="W32" s="327"/>
      <c r="X32" s="327"/>
      <c r="Y32" s="327"/>
      <c r="Z32" s="327"/>
      <c r="AA32" s="327"/>
      <c r="AB32" s="327"/>
      <c r="AC32" s="327"/>
      <c r="AD32" s="327"/>
      <c r="AE32" s="327"/>
      <c r="AF32" s="327"/>
      <c r="AG32" s="327"/>
      <c r="AH32" s="327"/>
      <c r="AI32" s="327"/>
      <c r="AJ32" s="299">
        <f>Input!AJ410</f>
        <v>0</v>
      </c>
      <c r="AK32" s="299">
        <f>Input!AK410</f>
        <v>0</v>
      </c>
      <c r="AL32" s="299">
        <f>Input!AL410</f>
        <v>0</v>
      </c>
      <c r="AM32" s="299">
        <f>Input!AM410</f>
        <v>0</v>
      </c>
      <c r="AN32" s="299">
        <f>Input!AN410</f>
        <v>0</v>
      </c>
      <c r="AO32" s="299">
        <f>Input!AO410</f>
        <v>0</v>
      </c>
      <c r="AP32" s="299">
        <f>Input!AP410</f>
        <v>0</v>
      </c>
      <c r="AQ32" s="299">
        <f>Input!AQ410</f>
        <v>0</v>
      </c>
    </row>
    <row r="33" spans="4:47" s="378" customFormat="1" ht="15" customHeight="1">
      <c r="E33" s="378" t="s">
        <v>719</v>
      </c>
      <c r="G33" s="45" t="s">
        <v>47</v>
      </c>
      <c r="H33" s="327"/>
      <c r="I33" s="327"/>
      <c r="J33" s="327"/>
      <c r="K33" s="327"/>
      <c r="L33" s="327"/>
      <c r="M33" s="327"/>
      <c r="N33" s="327"/>
      <c r="O33" s="327"/>
      <c r="P33" s="327"/>
      <c r="Q33" s="327"/>
      <c r="R33" s="327"/>
      <c r="S33" s="327"/>
      <c r="T33" s="327"/>
      <c r="U33" s="327"/>
      <c r="V33" s="327"/>
      <c r="W33" s="327"/>
      <c r="X33" s="327"/>
      <c r="Y33" s="327"/>
      <c r="Z33" s="327"/>
      <c r="AA33" s="327"/>
      <c r="AB33" s="327"/>
      <c r="AC33" s="327"/>
      <c r="AD33" s="327"/>
      <c r="AE33" s="327"/>
      <c r="AF33" s="327"/>
      <c r="AG33" s="327"/>
      <c r="AH33" s="327"/>
      <c r="AI33" s="327"/>
      <c r="AJ33" s="299">
        <f>Input!AJ411</f>
        <v>0</v>
      </c>
      <c r="AK33" s="299">
        <f>Input!AK411</f>
        <v>0</v>
      </c>
      <c r="AL33" s="299">
        <f>Input!AL411</f>
        <v>0</v>
      </c>
      <c r="AM33" s="299">
        <f>Input!AM411</f>
        <v>0</v>
      </c>
      <c r="AN33" s="299">
        <f>Input!AN411</f>
        <v>0</v>
      </c>
      <c r="AO33" s="299">
        <f>Input!AO411</f>
        <v>0</v>
      </c>
      <c r="AP33" s="299">
        <f>Input!AP411</f>
        <v>0</v>
      </c>
      <c r="AQ33" s="299">
        <f>Input!AQ411</f>
        <v>0</v>
      </c>
    </row>
    <row r="34" spans="4:47" ht="15" customHeight="1">
      <c r="E34" s="378" t="s">
        <v>705</v>
      </c>
      <c r="F34" s="45"/>
      <c r="G34" s="45" t="s">
        <v>47</v>
      </c>
      <c r="H34" s="327"/>
      <c r="I34" s="327"/>
      <c r="J34" s="327"/>
      <c r="K34" s="327"/>
      <c r="L34" s="327"/>
      <c r="M34" s="327"/>
      <c r="N34" s="327"/>
      <c r="O34" s="327"/>
      <c r="P34" s="327"/>
      <c r="Q34" s="327"/>
      <c r="R34" s="327"/>
      <c r="S34" s="327"/>
      <c r="T34" s="327"/>
      <c r="U34" s="327"/>
      <c r="V34" s="327"/>
      <c r="W34" s="327"/>
      <c r="X34" s="327"/>
      <c r="Y34" s="327"/>
      <c r="Z34" s="327"/>
      <c r="AA34" s="327"/>
      <c r="AB34" s="327"/>
      <c r="AC34" s="327"/>
      <c r="AD34" s="327"/>
      <c r="AE34" s="327"/>
      <c r="AF34" s="327"/>
      <c r="AG34" s="327"/>
      <c r="AH34" s="327"/>
      <c r="AI34" s="327"/>
      <c r="AJ34" s="299">
        <f>Input!AJ412</f>
        <v>0</v>
      </c>
      <c r="AK34" s="299">
        <f>Input!AK412</f>
        <v>0</v>
      </c>
      <c r="AL34" s="299">
        <f>Input!AL412</f>
        <v>0</v>
      </c>
      <c r="AM34" s="299">
        <f>Input!AM412</f>
        <v>0</v>
      </c>
      <c r="AN34" s="299">
        <f>Input!AN412</f>
        <v>0</v>
      </c>
      <c r="AO34" s="299">
        <f>Input!AO412</f>
        <v>0</v>
      </c>
      <c r="AP34" s="299">
        <f>Input!AP412</f>
        <v>0</v>
      </c>
      <c r="AQ34" s="299">
        <f>Input!AQ412</f>
        <v>0</v>
      </c>
    </row>
    <row r="35" spans="4:47" ht="15" customHeight="1">
      <c r="E35" s="154" t="s">
        <v>632</v>
      </c>
      <c r="F35" s="45"/>
      <c r="G35" s="45" t="s">
        <v>47</v>
      </c>
      <c r="H35" s="327"/>
      <c r="I35" s="327"/>
      <c r="J35" s="327"/>
      <c r="K35" s="327"/>
      <c r="L35" s="327"/>
      <c r="M35" s="327"/>
      <c r="N35" s="327"/>
      <c r="O35" s="327"/>
      <c r="P35" s="327"/>
      <c r="Q35" s="327"/>
      <c r="R35" s="327"/>
      <c r="S35" s="327"/>
      <c r="T35" s="327"/>
      <c r="U35" s="327"/>
      <c r="V35" s="327"/>
      <c r="W35" s="327"/>
      <c r="X35" s="327"/>
      <c r="Y35" s="327"/>
      <c r="Z35" s="327"/>
      <c r="AA35" s="327"/>
      <c r="AB35" s="327"/>
      <c r="AC35" s="327"/>
      <c r="AD35" s="327"/>
      <c r="AE35" s="327"/>
      <c r="AF35" s="327"/>
      <c r="AG35" s="327"/>
      <c r="AH35" s="327"/>
      <c r="AI35" s="327"/>
      <c r="AJ35" s="299">
        <f>Input!AJ413</f>
        <v>4.9001592551757931E-3</v>
      </c>
      <c r="AK35" s="299">
        <f>Input!AK413</f>
        <v>4.9001592551757931E-3</v>
      </c>
      <c r="AL35" s="299">
        <f>Input!AL413</f>
        <v>4.9001592551757931E-3</v>
      </c>
      <c r="AM35" s="299">
        <f>Input!AM413</f>
        <v>4.9001592551757931E-3</v>
      </c>
      <c r="AN35" s="299">
        <f>Input!AN413</f>
        <v>4.9001592551757931E-3</v>
      </c>
      <c r="AO35" s="299">
        <f>Input!AO413</f>
        <v>4.9001592551757931E-3</v>
      </c>
      <c r="AP35" s="299">
        <f>Input!AP413</f>
        <v>4.9001592551757931E-3</v>
      </c>
      <c r="AQ35" s="299">
        <f>Input!AQ413</f>
        <v>4.9001592551757931E-3</v>
      </c>
    </row>
    <row r="36" spans="4:47" ht="15" customHeight="1">
      <c r="E36" s="145"/>
      <c r="F36" s="45"/>
      <c r="G36" s="45"/>
      <c r="H36" s="327"/>
      <c r="I36" s="327"/>
      <c r="J36" s="327"/>
      <c r="K36" s="327"/>
      <c r="L36" s="327"/>
      <c r="M36" s="327"/>
      <c r="N36" s="327"/>
      <c r="O36" s="327"/>
      <c r="P36" s="327"/>
      <c r="Q36" s="327"/>
      <c r="R36" s="327"/>
      <c r="S36" s="327"/>
      <c r="T36" s="327"/>
      <c r="U36" s="327"/>
      <c r="V36" s="327"/>
      <c r="W36" s="327"/>
      <c r="X36" s="327"/>
      <c r="Y36" s="327"/>
      <c r="Z36" s="327"/>
      <c r="AA36" s="327"/>
      <c r="AB36" s="327"/>
      <c r="AC36" s="327"/>
      <c r="AD36" s="327"/>
      <c r="AE36" s="327"/>
      <c r="AF36" s="327"/>
      <c r="AG36" s="327"/>
      <c r="AH36" s="327"/>
      <c r="AI36" s="327"/>
    </row>
    <row r="37" spans="4:47" ht="15" customHeight="1">
      <c r="E37" s="35" t="s">
        <v>442</v>
      </c>
      <c r="F37" s="45"/>
      <c r="G37" s="145" t="s">
        <v>657</v>
      </c>
      <c r="H37" s="45"/>
      <c r="I37" s="1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38">
        <f>SUMPRODUCT(AJ$16:AJ$22,AJ29:AJ35)</f>
        <v>13.248857870058183</v>
      </c>
      <c r="AK37" s="38">
        <f t="shared" ref="AK37:AQ37" si="1">SUMPRODUCT(AK$16:AK$22,AK29:AK35)</f>
        <v>13.656254540275919</v>
      </c>
      <c r="AL37" s="38">
        <f t="shared" si="1"/>
        <v>11.632205180294694</v>
      </c>
      <c r="AM37" s="38">
        <f t="shared" si="1"/>
        <v>12.260816994500969</v>
      </c>
      <c r="AN37" s="38">
        <f t="shared" si="1"/>
        <v>9.2078538899813616</v>
      </c>
      <c r="AO37" s="38">
        <f t="shared" si="1"/>
        <v>8.7888959925705183</v>
      </c>
      <c r="AP37" s="38">
        <f t="shared" si="1"/>
        <v>8.5524086692406307</v>
      </c>
      <c r="AQ37" s="38">
        <f t="shared" si="1"/>
        <v>8.1687304396978782</v>
      </c>
    </row>
    <row r="38" spans="4:47" s="161" customFormat="1" ht="15" customHeight="1">
      <c r="AR38" s="326"/>
      <c r="AS38" s="326"/>
      <c r="AT38" s="326"/>
      <c r="AU38" s="326"/>
    </row>
    <row r="39" spans="4:47" ht="15" customHeight="1">
      <c r="D39" s="193" t="s">
        <v>435</v>
      </c>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row>
    <row r="40" spans="4:47" ht="15" customHeight="1">
      <c r="E40" s="45"/>
      <c r="F40" s="45"/>
      <c r="G40" s="45"/>
      <c r="H40" s="45"/>
      <c r="I40" s="1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145"/>
      <c r="AK40" s="145"/>
      <c r="AL40" s="145"/>
      <c r="AM40" s="145"/>
      <c r="AN40" s="145"/>
      <c r="AO40" s="145"/>
      <c r="AP40" s="145"/>
      <c r="AQ40" s="145"/>
    </row>
    <row r="41" spans="4:47" ht="15" customHeight="1">
      <c r="E41" s="111" t="s">
        <v>141</v>
      </c>
      <c r="F41" s="45"/>
      <c r="G41" s="45" t="s">
        <v>47</v>
      </c>
      <c r="H41" s="45"/>
      <c r="I41" s="1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299">
        <f>Input!AJ417</f>
        <v>0.98510411886786298</v>
      </c>
      <c r="AK41" s="299">
        <f>Input!AK417</f>
        <v>0.98510411886786298</v>
      </c>
      <c r="AL41" s="299">
        <f>Input!AL417</f>
        <v>0.98510411886786298</v>
      </c>
      <c r="AM41" s="299">
        <f>Input!AM417</f>
        <v>0.98510411886786298</v>
      </c>
      <c r="AN41" s="299">
        <f>Input!AN417</f>
        <v>0.98510411886786298</v>
      </c>
      <c r="AO41" s="299">
        <f>Input!AO417</f>
        <v>0.98510411886786298</v>
      </c>
      <c r="AP41" s="299">
        <f>Input!AP417</f>
        <v>0.98510411886786298</v>
      </c>
      <c r="AQ41" s="299">
        <f>Input!AQ417</f>
        <v>0.98510411886786298</v>
      </c>
    </row>
    <row r="42" spans="4:47" ht="15" customHeight="1">
      <c r="E42" s="147" t="s">
        <v>546</v>
      </c>
      <c r="F42" s="45"/>
      <c r="G42" s="45" t="s">
        <v>47</v>
      </c>
      <c r="H42" s="45"/>
      <c r="I42" s="1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299">
        <f>Input!AJ418</f>
        <v>0.27433550608748125</v>
      </c>
      <c r="AK42" s="299">
        <f>Input!AK418</f>
        <v>0.27433550608748125</v>
      </c>
      <c r="AL42" s="299">
        <f>Input!AL418</f>
        <v>0.27433550608748125</v>
      </c>
      <c r="AM42" s="299">
        <f>Input!AM418</f>
        <v>0.27433550608748125</v>
      </c>
      <c r="AN42" s="299">
        <f>Input!AN418</f>
        <v>0.27433550608748125</v>
      </c>
      <c r="AO42" s="299">
        <f>Input!AO418</f>
        <v>0.27433550608748125</v>
      </c>
      <c r="AP42" s="299">
        <f>Input!AP418</f>
        <v>0.27433550608748125</v>
      </c>
      <c r="AQ42" s="299">
        <f>Input!AQ418</f>
        <v>0.27433550608748125</v>
      </c>
    </row>
    <row r="43" spans="4:47" ht="15" customHeight="1">
      <c r="E43" s="111" t="s">
        <v>142</v>
      </c>
      <c r="F43" s="45"/>
      <c r="G43" s="45" t="s">
        <v>47</v>
      </c>
      <c r="H43" s="45"/>
      <c r="I43" s="1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299">
        <f>Input!AJ419</f>
        <v>0</v>
      </c>
      <c r="AK43" s="299">
        <f>Input!AK419</f>
        <v>0</v>
      </c>
      <c r="AL43" s="299">
        <f>Input!AL419</f>
        <v>0</v>
      </c>
      <c r="AM43" s="299">
        <f>Input!AM419</f>
        <v>0</v>
      </c>
      <c r="AN43" s="299">
        <f>Input!AN419</f>
        <v>0</v>
      </c>
      <c r="AO43" s="299">
        <f>Input!AO419</f>
        <v>0</v>
      </c>
      <c r="AP43" s="299">
        <f>Input!AP419</f>
        <v>0</v>
      </c>
      <c r="AQ43" s="299">
        <f>Input!AQ419</f>
        <v>0</v>
      </c>
    </row>
    <row r="44" spans="4:47" ht="15" customHeight="1">
      <c r="E44" s="147" t="s">
        <v>574</v>
      </c>
      <c r="F44" s="45"/>
      <c r="G44" s="45" t="s">
        <v>47</v>
      </c>
      <c r="H44" s="45"/>
      <c r="I44" s="1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299">
        <f>Input!AJ420</f>
        <v>0</v>
      </c>
      <c r="AK44" s="299">
        <f>Input!AK420</f>
        <v>0</v>
      </c>
      <c r="AL44" s="299">
        <f>Input!AL420</f>
        <v>0</v>
      </c>
      <c r="AM44" s="299">
        <f>Input!AM420</f>
        <v>0</v>
      </c>
      <c r="AN44" s="299">
        <f>Input!AN420</f>
        <v>0</v>
      </c>
      <c r="AO44" s="299">
        <f>Input!AO420</f>
        <v>0</v>
      </c>
      <c r="AP44" s="299">
        <f>Input!AP420</f>
        <v>0</v>
      </c>
      <c r="AQ44" s="299">
        <f>Input!AQ420</f>
        <v>0</v>
      </c>
    </row>
    <row r="45" spans="4:47" s="378" customFormat="1" ht="15" customHeight="1">
      <c r="E45" s="378" t="s">
        <v>719</v>
      </c>
      <c r="G45" s="45" t="s">
        <v>47</v>
      </c>
      <c r="H45" s="45"/>
      <c r="I45" s="1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299">
        <f>Input!AJ421</f>
        <v>0</v>
      </c>
      <c r="AK45" s="299">
        <f>Input!AK421</f>
        <v>0</v>
      </c>
      <c r="AL45" s="299">
        <f>Input!AL421</f>
        <v>0</v>
      </c>
      <c r="AM45" s="299">
        <f>Input!AM421</f>
        <v>0</v>
      </c>
      <c r="AN45" s="299">
        <f>Input!AN421</f>
        <v>0</v>
      </c>
      <c r="AO45" s="299">
        <f>Input!AO421</f>
        <v>0</v>
      </c>
      <c r="AP45" s="299">
        <f>Input!AP421</f>
        <v>0</v>
      </c>
      <c r="AQ45" s="299">
        <f>Input!AQ421</f>
        <v>0</v>
      </c>
    </row>
    <row r="46" spans="4:47" ht="15" customHeight="1">
      <c r="E46" s="378" t="s">
        <v>705</v>
      </c>
      <c r="F46" s="45"/>
      <c r="G46" s="45" t="s">
        <v>47</v>
      </c>
      <c r="H46" s="45"/>
      <c r="I46" s="1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299">
        <f>Input!AJ422</f>
        <v>0</v>
      </c>
      <c r="AK46" s="299">
        <f>Input!AK422</f>
        <v>0</v>
      </c>
      <c r="AL46" s="299">
        <f>Input!AL422</f>
        <v>0</v>
      </c>
      <c r="AM46" s="299">
        <f>Input!AM422</f>
        <v>0</v>
      </c>
      <c r="AN46" s="299">
        <f>Input!AN422</f>
        <v>0</v>
      </c>
      <c r="AO46" s="299">
        <f>Input!AO422</f>
        <v>0</v>
      </c>
      <c r="AP46" s="299">
        <f>Input!AP422</f>
        <v>0</v>
      </c>
      <c r="AQ46" s="299">
        <f>Input!AQ422</f>
        <v>0</v>
      </c>
    </row>
    <row r="47" spans="4:47" ht="15" customHeight="1">
      <c r="E47" s="154" t="s">
        <v>632</v>
      </c>
      <c r="F47" s="45"/>
      <c r="G47" s="45" t="s">
        <v>47</v>
      </c>
      <c r="H47" s="45"/>
      <c r="I47" s="1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299">
        <f>Input!AJ423</f>
        <v>0.20494916084772755</v>
      </c>
      <c r="AK47" s="299">
        <f>Input!AK423</f>
        <v>0.20494916084772755</v>
      </c>
      <c r="AL47" s="299">
        <f>Input!AL423</f>
        <v>0.20494916084772755</v>
      </c>
      <c r="AM47" s="299">
        <f>Input!AM423</f>
        <v>0.20494916084772755</v>
      </c>
      <c r="AN47" s="299">
        <f>Input!AN423</f>
        <v>0.20494916084772755</v>
      </c>
      <c r="AO47" s="299">
        <f>Input!AO423</f>
        <v>0.20494916084772755</v>
      </c>
      <c r="AP47" s="299">
        <f>Input!AP423</f>
        <v>0.20494916084772755</v>
      </c>
      <c r="AQ47" s="299">
        <f>Input!AQ423</f>
        <v>0.20494916084772755</v>
      </c>
    </row>
    <row r="48" spans="4:47" ht="15" customHeight="1">
      <c r="E48" s="145"/>
      <c r="F48" s="45"/>
      <c r="G48" s="45"/>
      <c r="H48" s="45"/>
      <c r="I48" s="1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row>
    <row r="49" spans="4:47" ht="15" customHeight="1">
      <c r="E49" s="35" t="s">
        <v>436</v>
      </c>
      <c r="F49" s="45"/>
      <c r="G49" s="145" t="s">
        <v>657</v>
      </c>
      <c r="H49" s="45"/>
      <c r="I49" s="1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38">
        <f>SUMPRODUCT(AJ$16:AJ$22,AJ41:AJ47)</f>
        <v>77.246323003448509</v>
      </c>
      <c r="AK49" s="38">
        <f t="shared" ref="AK49:AQ49" si="2">SUMPRODUCT(AK$16:AK$22,AK41:AK47)</f>
        <v>83.961366118831918</v>
      </c>
      <c r="AL49" s="38">
        <f t="shared" si="2"/>
        <v>81.215321815341696</v>
      </c>
      <c r="AM49" s="38">
        <f t="shared" si="2"/>
        <v>83.87038330664015</v>
      </c>
      <c r="AN49" s="38">
        <f t="shared" si="2"/>
        <v>62.505316559816194</v>
      </c>
      <c r="AO49" s="38">
        <f t="shared" si="2"/>
        <v>69.595444400556545</v>
      </c>
      <c r="AP49" s="38">
        <f t="shared" si="2"/>
        <v>79.768163240700545</v>
      </c>
      <c r="AQ49" s="38">
        <f t="shared" si="2"/>
        <v>75.105161136725229</v>
      </c>
    </row>
    <row r="50" spans="4:47" s="161" customFormat="1" ht="15" customHeight="1">
      <c r="AR50" s="326"/>
      <c r="AS50" s="326"/>
      <c r="AT50" s="326"/>
      <c r="AU50" s="326"/>
    </row>
    <row r="51" spans="4:47" ht="15" customHeight="1">
      <c r="D51" s="193" t="s">
        <v>137</v>
      </c>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row>
    <row r="52" spans="4:47" ht="15" customHeight="1">
      <c r="E52" s="45"/>
      <c r="F52" s="45"/>
      <c r="G52" s="45"/>
      <c r="H52" s="45"/>
      <c r="I52" s="145"/>
      <c r="J52" s="45"/>
      <c r="K52" s="45"/>
      <c r="L52" s="45"/>
      <c r="M52" s="45"/>
      <c r="N52" s="45"/>
      <c r="O52" s="45"/>
      <c r="P52" s="45"/>
      <c r="Q52" s="45"/>
      <c r="R52" s="45"/>
      <c r="S52" s="45"/>
      <c r="T52" s="45"/>
      <c r="U52" s="45"/>
      <c r="V52" s="45"/>
      <c r="W52" s="45"/>
      <c r="X52" s="45"/>
      <c r="Y52" s="45"/>
      <c r="Z52" s="45"/>
      <c r="AA52" s="45"/>
      <c r="AB52" s="45"/>
      <c r="AC52" s="45"/>
      <c r="AD52" s="45"/>
      <c r="AE52" s="45"/>
      <c r="AF52" s="45"/>
      <c r="AG52" s="145"/>
      <c r="AH52" s="145"/>
      <c r="AI52" s="145"/>
      <c r="AJ52" s="145"/>
      <c r="AK52" s="145"/>
      <c r="AL52" s="145"/>
      <c r="AM52" s="145"/>
      <c r="AN52" s="145"/>
      <c r="AO52" s="145"/>
      <c r="AP52" s="145"/>
      <c r="AQ52" s="145"/>
    </row>
    <row r="53" spans="4:47" ht="15" customHeight="1">
      <c r="E53" s="111" t="s">
        <v>141</v>
      </c>
      <c r="F53" s="45"/>
      <c r="G53" s="45" t="s">
        <v>47</v>
      </c>
      <c r="H53" s="45"/>
      <c r="I53" s="145"/>
      <c r="J53" s="45"/>
      <c r="K53" s="45"/>
      <c r="L53" s="45"/>
      <c r="M53" s="45"/>
      <c r="N53" s="45"/>
      <c r="O53" s="45"/>
      <c r="P53" s="45"/>
      <c r="Q53" s="45"/>
      <c r="R53" s="45"/>
      <c r="S53" s="45"/>
      <c r="T53" s="45"/>
      <c r="U53" s="45"/>
      <c r="V53" s="45"/>
      <c r="W53" s="45"/>
      <c r="X53" s="45"/>
      <c r="Y53" s="45"/>
      <c r="Z53" s="45"/>
      <c r="AA53" s="45"/>
      <c r="AB53" s="45"/>
      <c r="AC53" s="45"/>
      <c r="AD53" s="45"/>
      <c r="AE53" s="45"/>
      <c r="AF53" s="45"/>
      <c r="AG53" s="145"/>
      <c r="AH53" s="145"/>
      <c r="AI53" s="145"/>
      <c r="AJ53" s="299">
        <f>Input!AJ427</f>
        <v>0</v>
      </c>
      <c r="AK53" s="299">
        <f>Input!AK427</f>
        <v>0</v>
      </c>
      <c r="AL53" s="299">
        <f>Input!AL427</f>
        <v>0</v>
      </c>
      <c r="AM53" s="299">
        <f>Input!AM427</f>
        <v>0</v>
      </c>
      <c r="AN53" s="299">
        <f>Input!AN427</f>
        <v>0</v>
      </c>
      <c r="AO53" s="299">
        <f>Input!AO427</f>
        <v>0</v>
      </c>
      <c r="AP53" s="299">
        <f>Input!AP427</f>
        <v>0</v>
      </c>
      <c r="AQ53" s="299">
        <f>Input!AQ427</f>
        <v>0</v>
      </c>
    </row>
    <row r="54" spans="4:47" ht="15" customHeight="1">
      <c r="E54" s="147" t="s">
        <v>546</v>
      </c>
      <c r="F54" s="45"/>
      <c r="G54" s="45" t="s">
        <v>47</v>
      </c>
      <c r="H54" s="45"/>
      <c r="I54" s="145"/>
      <c r="J54" s="45"/>
      <c r="K54" s="45"/>
      <c r="L54" s="45"/>
      <c r="M54" s="45"/>
      <c r="N54" s="45"/>
      <c r="O54" s="45"/>
      <c r="P54" s="45"/>
      <c r="Q54" s="45"/>
      <c r="R54" s="45"/>
      <c r="S54" s="45"/>
      <c r="T54" s="45"/>
      <c r="U54" s="45"/>
      <c r="V54" s="45"/>
      <c r="W54" s="45"/>
      <c r="X54" s="45"/>
      <c r="Y54" s="45"/>
      <c r="Z54" s="45"/>
      <c r="AA54" s="45"/>
      <c r="AB54" s="45"/>
      <c r="AC54" s="45"/>
      <c r="AD54" s="45"/>
      <c r="AE54" s="45"/>
      <c r="AF54" s="45"/>
      <c r="AG54" s="145"/>
      <c r="AH54" s="145"/>
      <c r="AI54" s="145"/>
      <c r="AJ54" s="299">
        <f>Input!AJ428</f>
        <v>0.66483827589611488</v>
      </c>
      <c r="AK54" s="299">
        <f>Input!AK428</f>
        <v>0.66483827589611488</v>
      </c>
      <c r="AL54" s="299">
        <f>Input!AL428</f>
        <v>0.66483827589611488</v>
      </c>
      <c r="AM54" s="299">
        <f>Input!AM428</f>
        <v>0.66483827589611488</v>
      </c>
      <c r="AN54" s="299">
        <f>Input!AN428</f>
        <v>0.66483827589611488</v>
      </c>
      <c r="AO54" s="299">
        <f>Input!AO428</f>
        <v>0.66483827589611488</v>
      </c>
      <c r="AP54" s="299">
        <f>Input!AP428</f>
        <v>0.66483827589611488</v>
      </c>
      <c r="AQ54" s="299">
        <f>Input!AQ428</f>
        <v>0.66483827589611488</v>
      </c>
    </row>
    <row r="55" spans="4:47" ht="15" customHeight="1">
      <c r="E55" s="111" t="s">
        <v>142</v>
      </c>
      <c r="F55" s="45"/>
      <c r="G55" s="45" t="s">
        <v>47</v>
      </c>
      <c r="H55" s="45"/>
      <c r="I55" s="145"/>
      <c r="J55" s="45"/>
      <c r="K55" s="45"/>
      <c r="L55" s="45"/>
      <c r="M55" s="45"/>
      <c r="N55" s="45"/>
      <c r="O55" s="45"/>
      <c r="P55" s="45"/>
      <c r="Q55" s="45"/>
      <c r="R55" s="45"/>
      <c r="S55" s="45"/>
      <c r="T55" s="45"/>
      <c r="U55" s="45"/>
      <c r="V55" s="45"/>
      <c r="W55" s="45"/>
      <c r="X55" s="45"/>
      <c r="Y55" s="45"/>
      <c r="Z55" s="45"/>
      <c r="AA55" s="45"/>
      <c r="AB55" s="45"/>
      <c r="AC55" s="45"/>
      <c r="AD55" s="45"/>
      <c r="AE55" s="45"/>
      <c r="AF55" s="45"/>
      <c r="AG55" s="145"/>
      <c r="AH55" s="145"/>
      <c r="AI55" s="145"/>
      <c r="AJ55" s="299">
        <f>Input!AJ429</f>
        <v>0.14908802537668517</v>
      </c>
      <c r="AK55" s="299">
        <f>Input!AK429</f>
        <v>0.14908802537668517</v>
      </c>
      <c r="AL55" s="299">
        <f>Input!AL429</f>
        <v>0.14908802537668517</v>
      </c>
      <c r="AM55" s="299">
        <f>Input!AM429</f>
        <v>0.14908802537668517</v>
      </c>
      <c r="AN55" s="299">
        <f>Input!AN429</f>
        <v>0.14908802537668517</v>
      </c>
      <c r="AO55" s="299">
        <f>Input!AO429</f>
        <v>0.14908802537668517</v>
      </c>
      <c r="AP55" s="299">
        <f>Input!AP429</f>
        <v>0.14908802537668517</v>
      </c>
      <c r="AQ55" s="299">
        <f>Input!AQ429</f>
        <v>0.14908802537668517</v>
      </c>
    </row>
    <row r="56" spans="4:47" ht="15" customHeight="1">
      <c r="E56" s="147" t="s">
        <v>574</v>
      </c>
      <c r="F56" s="45"/>
      <c r="G56" s="45" t="s">
        <v>47</v>
      </c>
      <c r="H56" s="45"/>
      <c r="I56" s="145"/>
      <c r="J56" s="45"/>
      <c r="K56" s="45"/>
      <c r="L56" s="45"/>
      <c r="M56" s="45"/>
      <c r="N56" s="45"/>
      <c r="O56" s="45"/>
      <c r="P56" s="45"/>
      <c r="Q56" s="45"/>
      <c r="R56" s="45"/>
      <c r="S56" s="45"/>
      <c r="T56" s="45"/>
      <c r="U56" s="45"/>
      <c r="V56" s="45"/>
      <c r="W56" s="45"/>
      <c r="X56" s="45"/>
      <c r="Y56" s="45"/>
      <c r="Z56" s="45"/>
      <c r="AA56" s="45"/>
      <c r="AB56" s="45"/>
      <c r="AC56" s="45"/>
      <c r="AD56" s="45"/>
      <c r="AE56" s="45"/>
      <c r="AF56" s="45"/>
      <c r="AG56" s="145"/>
      <c r="AH56" s="145"/>
      <c r="AI56" s="145"/>
      <c r="AJ56" s="299">
        <f>Input!AJ430</f>
        <v>0.37540902588706376</v>
      </c>
      <c r="AK56" s="299">
        <f>Input!AK430</f>
        <v>0.37540902588706376</v>
      </c>
      <c r="AL56" s="299">
        <f>Input!AL430</f>
        <v>0.37540902588706376</v>
      </c>
      <c r="AM56" s="299">
        <f>Input!AM430</f>
        <v>0.37540902588706376</v>
      </c>
      <c r="AN56" s="299">
        <f>Input!AN430</f>
        <v>0.37540902588706376</v>
      </c>
      <c r="AO56" s="299">
        <f>Input!AO430</f>
        <v>0.37540902588706376</v>
      </c>
      <c r="AP56" s="299">
        <f>Input!AP430</f>
        <v>0.37540902588706376</v>
      </c>
      <c r="AQ56" s="299">
        <f>Input!AQ430</f>
        <v>0.37540902588706376</v>
      </c>
    </row>
    <row r="57" spans="4:47" s="378" customFormat="1" ht="15" customHeight="1">
      <c r="E57" s="378" t="s">
        <v>719</v>
      </c>
      <c r="G57" s="45" t="s">
        <v>47</v>
      </c>
      <c r="H57" s="45"/>
      <c r="I57" s="145"/>
      <c r="J57" s="45"/>
      <c r="K57" s="45"/>
      <c r="L57" s="45"/>
      <c r="M57" s="45"/>
      <c r="N57" s="45"/>
      <c r="O57" s="45"/>
      <c r="P57" s="45"/>
      <c r="Q57" s="45"/>
      <c r="R57" s="45"/>
      <c r="S57" s="45"/>
      <c r="T57" s="45"/>
      <c r="U57" s="45"/>
      <c r="V57" s="45"/>
      <c r="W57" s="45"/>
      <c r="X57" s="45"/>
      <c r="Y57" s="45"/>
      <c r="Z57" s="45"/>
      <c r="AA57" s="45"/>
      <c r="AB57" s="45"/>
      <c r="AC57" s="45"/>
      <c r="AD57" s="45"/>
      <c r="AE57" s="45"/>
      <c r="AF57" s="45"/>
      <c r="AG57" s="145"/>
      <c r="AH57" s="145"/>
      <c r="AI57" s="145"/>
      <c r="AJ57" s="299">
        <f>Input!AJ431</f>
        <v>0.5</v>
      </c>
      <c r="AK57" s="299">
        <f>Input!AK431</f>
        <v>0.5</v>
      </c>
      <c r="AL57" s="299">
        <f>Input!AL431</f>
        <v>0.5</v>
      </c>
      <c r="AM57" s="299">
        <f>Input!AM431</f>
        <v>0.5</v>
      </c>
      <c r="AN57" s="299">
        <f>Input!AN431</f>
        <v>0.5</v>
      </c>
      <c r="AO57" s="299">
        <f>Input!AO431</f>
        <v>0.5</v>
      </c>
      <c r="AP57" s="299">
        <f>Input!AP431</f>
        <v>0.5</v>
      </c>
      <c r="AQ57" s="299">
        <f>Input!AQ431</f>
        <v>0.5</v>
      </c>
    </row>
    <row r="58" spans="4:47" ht="15" customHeight="1">
      <c r="E58" s="378" t="s">
        <v>705</v>
      </c>
      <c r="F58" s="45"/>
      <c r="G58" s="45" t="s">
        <v>47</v>
      </c>
      <c r="H58" s="45"/>
      <c r="I58" s="145"/>
      <c r="J58" s="45"/>
      <c r="K58" s="45"/>
      <c r="L58" s="45"/>
      <c r="M58" s="45"/>
      <c r="N58" s="45"/>
      <c r="O58" s="45"/>
      <c r="P58" s="45"/>
      <c r="Q58" s="45"/>
      <c r="R58" s="45"/>
      <c r="S58" s="45"/>
      <c r="T58" s="45"/>
      <c r="U58" s="45"/>
      <c r="V58" s="45"/>
      <c r="W58" s="45"/>
      <c r="X58" s="45"/>
      <c r="Y58" s="45"/>
      <c r="Z58" s="45"/>
      <c r="AA58" s="45"/>
      <c r="AB58" s="45"/>
      <c r="AC58" s="45"/>
      <c r="AD58" s="45"/>
      <c r="AE58" s="45"/>
      <c r="AF58" s="45"/>
      <c r="AG58" s="145"/>
      <c r="AH58" s="145"/>
      <c r="AI58" s="145"/>
      <c r="AJ58" s="299">
        <f>Input!AJ432</f>
        <v>0</v>
      </c>
      <c r="AK58" s="299">
        <f>Input!AK432</f>
        <v>0</v>
      </c>
      <c r="AL58" s="299">
        <f>Input!AL432</f>
        <v>0</v>
      </c>
      <c r="AM58" s="299">
        <f>Input!AM432</f>
        <v>0</v>
      </c>
      <c r="AN58" s="299">
        <f>Input!AN432</f>
        <v>0</v>
      </c>
      <c r="AO58" s="299">
        <f>Input!AO432</f>
        <v>0</v>
      </c>
      <c r="AP58" s="299">
        <f>Input!AP432</f>
        <v>0</v>
      </c>
      <c r="AQ58" s="299">
        <f>Input!AQ432</f>
        <v>0</v>
      </c>
    </row>
    <row r="59" spans="4:47" ht="15" customHeight="1">
      <c r="E59" s="154" t="s">
        <v>632</v>
      </c>
      <c r="F59" s="45"/>
      <c r="G59" s="45" t="s">
        <v>47</v>
      </c>
      <c r="H59" s="45"/>
      <c r="I59" s="145"/>
      <c r="J59" s="45"/>
      <c r="K59" s="45"/>
      <c r="L59" s="45"/>
      <c r="M59" s="45"/>
      <c r="N59" s="45"/>
      <c r="O59" s="45"/>
      <c r="P59" s="45"/>
      <c r="Q59" s="45"/>
      <c r="R59" s="45"/>
      <c r="S59" s="45"/>
      <c r="T59" s="45"/>
      <c r="U59" s="45"/>
      <c r="V59" s="45"/>
      <c r="W59" s="45"/>
      <c r="X59" s="45"/>
      <c r="Y59" s="45"/>
      <c r="Z59" s="45"/>
      <c r="AA59" s="45"/>
      <c r="AB59" s="45"/>
      <c r="AC59" s="45"/>
      <c r="AD59" s="45"/>
      <c r="AE59" s="45"/>
      <c r="AF59" s="45"/>
      <c r="AG59" s="145"/>
      <c r="AH59" s="145"/>
      <c r="AI59" s="145"/>
      <c r="AJ59" s="299">
        <f>Input!AJ433</f>
        <v>0.22626485360774226</v>
      </c>
      <c r="AK59" s="299">
        <f>Input!AK433</f>
        <v>0.22626485360774226</v>
      </c>
      <c r="AL59" s="299">
        <f>Input!AL433</f>
        <v>0.22626485360774226</v>
      </c>
      <c r="AM59" s="299">
        <f>Input!AM433</f>
        <v>0.22626485360774226</v>
      </c>
      <c r="AN59" s="299">
        <f>Input!AN433</f>
        <v>0.22626485360774226</v>
      </c>
      <c r="AO59" s="299">
        <f>Input!AO433</f>
        <v>0.22626485360774226</v>
      </c>
      <c r="AP59" s="299">
        <f>Input!AP433</f>
        <v>0.22626485360774226</v>
      </c>
      <c r="AQ59" s="299">
        <f>Input!AQ433</f>
        <v>0.22626485360774226</v>
      </c>
    </row>
    <row r="60" spans="4:47" ht="15" customHeight="1">
      <c r="E60" s="145"/>
      <c r="F60" s="45"/>
      <c r="G60" s="45"/>
      <c r="H60" s="45"/>
      <c r="I60" s="145"/>
      <c r="J60" s="45"/>
      <c r="K60" s="45"/>
      <c r="L60" s="45"/>
      <c r="M60" s="45"/>
      <c r="N60" s="45"/>
      <c r="O60" s="45"/>
      <c r="P60" s="45"/>
      <c r="Q60" s="45"/>
      <c r="R60" s="45"/>
      <c r="S60" s="45"/>
      <c r="T60" s="45"/>
      <c r="U60" s="45"/>
      <c r="V60" s="45"/>
      <c r="W60" s="45"/>
      <c r="X60" s="45"/>
      <c r="Y60" s="45"/>
      <c r="Z60" s="45"/>
      <c r="AA60" s="45"/>
      <c r="AB60" s="45"/>
      <c r="AC60" s="45"/>
      <c r="AD60" s="45"/>
      <c r="AE60" s="45"/>
      <c r="AF60" s="45"/>
      <c r="AG60" s="145"/>
      <c r="AH60" s="145"/>
      <c r="AI60" s="145"/>
      <c r="AJ60" s="145"/>
      <c r="AK60" s="145"/>
      <c r="AL60" s="145"/>
      <c r="AM60" s="145"/>
      <c r="AN60" s="145"/>
      <c r="AO60" s="145"/>
      <c r="AP60" s="145"/>
      <c r="AQ60" s="145"/>
    </row>
    <row r="61" spans="4:47" ht="15" customHeight="1">
      <c r="E61" s="35" t="s">
        <v>136</v>
      </c>
      <c r="F61" s="45"/>
      <c r="G61" s="145" t="s">
        <v>657</v>
      </c>
      <c r="H61" s="45"/>
      <c r="I61" s="1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38">
        <f>SUMPRODUCT(AJ$16:AJ$22,AJ53:AJ59)</f>
        <v>110.70033456527787</v>
      </c>
      <c r="AK61" s="38">
        <f t="shared" ref="AK61:AQ61" si="3">SUMPRODUCT(AK$16:AK$22,AK53:AK59)</f>
        <v>110.07444806957619</v>
      </c>
      <c r="AL61" s="38">
        <f t="shared" si="3"/>
        <v>107.09271889121983</v>
      </c>
      <c r="AM61" s="38">
        <f t="shared" si="3"/>
        <v>104.04969341003765</v>
      </c>
      <c r="AN61" s="38">
        <f t="shared" si="3"/>
        <v>100.102298569027</v>
      </c>
      <c r="AO61" s="38">
        <f t="shared" si="3"/>
        <v>95.938268444925072</v>
      </c>
      <c r="AP61" s="38">
        <f t="shared" si="3"/>
        <v>94.762791064348875</v>
      </c>
      <c r="AQ61" s="38">
        <f t="shared" si="3"/>
        <v>94.802096131153576</v>
      </c>
    </row>
    <row r="62" spans="4:47" s="161" customFormat="1" ht="15" customHeight="1">
      <c r="AR62" s="326"/>
      <c r="AS62" s="326"/>
      <c r="AT62" s="326"/>
      <c r="AU62" s="326"/>
    </row>
    <row r="63" spans="4:47" ht="15" customHeight="1">
      <c r="D63" s="193" t="s">
        <v>138</v>
      </c>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row>
    <row r="64" spans="4:47" ht="15" customHeight="1">
      <c r="E64" s="45"/>
      <c r="F64" s="45"/>
      <c r="G64" s="45"/>
      <c r="H64" s="45"/>
      <c r="I64" s="145"/>
      <c r="J64" s="45"/>
      <c r="K64" s="45"/>
      <c r="L64" s="45"/>
      <c r="M64" s="45"/>
      <c r="N64" s="45"/>
      <c r="O64" s="45"/>
      <c r="P64" s="45"/>
      <c r="Q64" s="45"/>
      <c r="R64" s="45"/>
      <c r="S64" s="45"/>
      <c r="T64" s="45"/>
      <c r="U64" s="45"/>
      <c r="V64" s="45"/>
      <c r="W64" s="45"/>
      <c r="X64" s="45"/>
      <c r="Y64" s="45"/>
      <c r="Z64" s="45"/>
      <c r="AA64" s="45"/>
      <c r="AB64" s="45"/>
      <c r="AC64" s="45"/>
      <c r="AD64" s="45"/>
      <c r="AE64" s="45"/>
      <c r="AF64" s="45"/>
      <c r="AG64" s="145"/>
      <c r="AH64" s="145"/>
      <c r="AI64" s="145"/>
      <c r="AJ64" s="145"/>
      <c r="AK64" s="145"/>
      <c r="AL64" s="145"/>
      <c r="AM64" s="145"/>
      <c r="AN64" s="145"/>
      <c r="AO64" s="145"/>
      <c r="AP64" s="145"/>
      <c r="AQ64" s="145"/>
    </row>
    <row r="65" spans="4:47" ht="15" customHeight="1">
      <c r="E65" s="19" t="s">
        <v>105</v>
      </c>
      <c r="F65" s="45"/>
      <c r="G65" s="145" t="s">
        <v>657</v>
      </c>
      <c r="H65" s="45"/>
      <c r="I65" s="145"/>
      <c r="J65" s="45"/>
      <c r="K65" s="45"/>
      <c r="L65" s="45"/>
      <c r="M65" s="45"/>
      <c r="N65" s="45"/>
      <c r="O65" s="45"/>
      <c r="P65" s="45"/>
      <c r="Q65" s="45"/>
      <c r="R65" s="45"/>
      <c r="S65" s="45"/>
      <c r="T65" s="45"/>
      <c r="U65" s="45"/>
      <c r="V65" s="45"/>
      <c r="W65" s="45"/>
      <c r="X65" s="45"/>
      <c r="Y65" s="45"/>
      <c r="Z65" s="45"/>
      <c r="AA65" s="45"/>
      <c r="AB65" s="45"/>
      <c r="AC65" s="45"/>
      <c r="AD65" s="45"/>
      <c r="AE65" s="45"/>
      <c r="AF65" s="45"/>
      <c r="AG65" s="145"/>
      <c r="AH65" s="145"/>
      <c r="AI65" s="145"/>
      <c r="AJ65" s="145">
        <f>Input!AJ264</f>
        <v>59.126857142857141</v>
      </c>
      <c r="AK65" s="145">
        <f>Input!AK264</f>
        <v>54.741999999999997</v>
      </c>
      <c r="AL65" s="145">
        <f>Input!AL264</f>
        <v>55.996000000000002</v>
      </c>
      <c r="AM65" s="145">
        <f>Input!AM264</f>
        <v>55.999000000000002</v>
      </c>
      <c r="AN65" s="145">
        <f>Input!AN264</f>
        <v>57.051142857142864</v>
      </c>
      <c r="AO65" s="145">
        <f>Input!AO264</f>
        <v>56.005000000000003</v>
      </c>
      <c r="AP65" s="145">
        <f>Input!AP264</f>
        <v>55.344000000000001</v>
      </c>
      <c r="AQ65" s="145">
        <f>Input!AQ264</f>
        <v>55.695999999999998</v>
      </c>
    </row>
    <row r="66" spans="4:47" ht="15" customHeight="1">
      <c r="E66" s="45"/>
      <c r="F66" s="45"/>
      <c r="G66" s="45"/>
      <c r="H66" s="45"/>
      <c r="I66" s="145"/>
      <c r="J66" s="45"/>
      <c r="K66" s="45"/>
      <c r="L66" s="45"/>
      <c r="M66" s="45"/>
      <c r="N66" s="45"/>
      <c r="O66" s="45"/>
      <c r="P66" s="45"/>
      <c r="Q66" s="45"/>
      <c r="R66" s="45"/>
      <c r="S66" s="45"/>
      <c r="T66" s="45"/>
      <c r="U66" s="45"/>
      <c r="V66" s="45"/>
      <c r="W66" s="45"/>
      <c r="X66" s="45"/>
      <c r="Y66" s="45"/>
      <c r="Z66" s="45"/>
      <c r="AA66" s="45"/>
      <c r="AB66" s="45"/>
      <c r="AC66" s="45"/>
      <c r="AD66" s="45"/>
      <c r="AE66" s="45"/>
      <c r="AF66" s="45"/>
      <c r="AG66" s="145"/>
      <c r="AH66" s="145"/>
      <c r="AI66" s="145"/>
      <c r="AJ66" s="145"/>
      <c r="AK66" s="145"/>
      <c r="AL66" s="145"/>
      <c r="AM66" s="145"/>
      <c r="AN66" s="145"/>
      <c r="AO66" s="145"/>
      <c r="AP66" s="145"/>
      <c r="AQ66" s="145"/>
    </row>
    <row r="67" spans="4:47" ht="15" customHeight="1">
      <c r="E67" s="111" t="s">
        <v>141</v>
      </c>
      <c r="F67" s="45"/>
      <c r="G67" s="45" t="s">
        <v>47</v>
      </c>
      <c r="H67" s="45"/>
      <c r="I67" s="145"/>
      <c r="J67" s="45"/>
      <c r="K67" s="45"/>
      <c r="L67" s="45"/>
      <c r="M67" s="45"/>
      <c r="N67" s="45"/>
      <c r="O67" s="45"/>
      <c r="P67" s="45"/>
      <c r="Q67" s="45"/>
      <c r="R67" s="45"/>
      <c r="S67" s="45"/>
      <c r="T67" s="45"/>
      <c r="U67" s="45"/>
      <c r="V67" s="45"/>
      <c r="W67" s="45"/>
      <c r="X67" s="45"/>
      <c r="Y67" s="45"/>
      <c r="Z67" s="45"/>
      <c r="AA67" s="45"/>
      <c r="AB67" s="45"/>
      <c r="AC67" s="45"/>
      <c r="AD67" s="45"/>
      <c r="AE67" s="45"/>
      <c r="AF67" s="45"/>
      <c r="AG67" s="145"/>
      <c r="AH67" s="145"/>
      <c r="AI67" s="145"/>
      <c r="AJ67" s="299">
        <f>Input!AJ437</f>
        <v>1.4895881132137087E-2</v>
      </c>
      <c r="AK67" s="299">
        <f>Input!AK437</f>
        <v>1.4895881132137087E-2</v>
      </c>
      <c r="AL67" s="299">
        <f>Input!AL437</f>
        <v>1.4895881132137087E-2</v>
      </c>
      <c r="AM67" s="299">
        <f>Input!AM437</f>
        <v>1.4895881132137087E-2</v>
      </c>
      <c r="AN67" s="299">
        <f>Input!AN437</f>
        <v>1.4895881132137087E-2</v>
      </c>
      <c r="AO67" s="299">
        <f>Input!AO437</f>
        <v>1.4895881132137087E-2</v>
      </c>
      <c r="AP67" s="299">
        <f>Input!AP437</f>
        <v>1.4895881132137087E-2</v>
      </c>
      <c r="AQ67" s="299">
        <f>Input!AQ437</f>
        <v>1.4895881132137087E-2</v>
      </c>
    </row>
    <row r="68" spans="4:47" ht="15" customHeight="1">
      <c r="E68" s="147" t="s">
        <v>546</v>
      </c>
      <c r="F68" s="45"/>
      <c r="G68" s="45" t="s">
        <v>47</v>
      </c>
      <c r="H68" s="45"/>
      <c r="I68" s="145"/>
      <c r="J68" s="45"/>
      <c r="K68" s="45"/>
      <c r="L68" s="45"/>
      <c r="M68" s="45"/>
      <c r="N68" s="45"/>
      <c r="O68" s="45"/>
      <c r="P68" s="45"/>
      <c r="Q68" s="45"/>
      <c r="R68" s="45"/>
      <c r="S68" s="45"/>
      <c r="T68" s="45"/>
      <c r="U68" s="45"/>
      <c r="V68" s="45"/>
      <c r="W68" s="45"/>
      <c r="X68" s="45"/>
      <c r="Y68" s="45"/>
      <c r="Z68" s="45"/>
      <c r="AA68" s="45"/>
      <c r="AB68" s="45"/>
      <c r="AC68" s="45"/>
      <c r="AD68" s="45"/>
      <c r="AE68" s="45"/>
      <c r="AF68" s="45"/>
      <c r="AG68" s="145"/>
      <c r="AH68" s="145"/>
      <c r="AI68" s="145"/>
      <c r="AJ68" s="299">
        <f>Input!AJ438</f>
        <v>0</v>
      </c>
      <c r="AK68" s="299">
        <f>Input!AK438</f>
        <v>0</v>
      </c>
      <c r="AL68" s="299">
        <f>Input!AL438</f>
        <v>0</v>
      </c>
      <c r="AM68" s="299">
        <f>Input!AM438</f>
        <v>0</v>
      </c>
      <c r="AN68" s="299">
        <f>Input!AN438</f>
        <v>0</v>
      </c>
      <c r="AO68" s="299">
        <f>Input!AO438</f>
        <v>0</v>
      </c>
      <c r="AP68" s="299">
        <f>Input!AP438</f>
        <v>0</v>
      </c>
      <c r="AQ68" s="299">
        <f>Input!AQ438</f>
        <v>0</v>
      </c>
    </row>
    <row r="69" spans="4:47" ht="15" customHeight="1">
      <c r="E69" s="111" t="s">
        <v>142</v>
      </c>
      <c r="F69" s="45"/>
      <c r="G69" s="45" t="s">
        <v>47</v>
      </c>
      <c r="H69" s="45"/>
      <c r="I69" s="145"/>
      <c r="J69" s="45"/>
      <c r="K69" s="45"/>
      <c r="L69" s="45"/>
      <c r="M69" s="45"/>
      <c r="N69" s="45"/>
      <c r="O69" s="45"/>
      <c r="P69" s="45"/>
      <c r="Q69" s="45"/>
      <c r="R69" s="45"/>
      <c r="S69" s="45"/>
      <c r="T69" s="45"/>
      <c r="U69" s="45"/>
      <c r="V69" s="45"/>
      <c r="W69" s="45"/>
      <c r="X69" s="45"/>
      <c r="Y69" s="45"/>
      <c r="Z69" s="45"/>
      <c r="AA69" s="45"/>
      <c r="AB69" s="45"/>
      <c r="AC69" s="45"/>
      <c r="AD69" s="45"/>
      <c r="AE69" s="45"/>
      <c r="AF69" s="45"/>
      <c r="AG69" s="145"/>
      <c r="AH69" s="145"/>
      <c r="AI69" s="145"/>
      <c r="AJ69" s="299">
        <f>Input!AJ439</f>
        <v>0</v>
      </c>
      <c r="AK69" s="299">
        <f>Input!AK439</f>
        <v>0</v>
      </c>
      <c r="AL69" s="299">
        <f>Input!AL439</f>
        <v>0</v>
      </c>
      <c r="AM69" s="299">
        <f>Input!AM439</f>
        <v>0</v>
      </c>
      <c r="AN69" s="299">
        <f>Input!AN439</f>
        <v>0</v>
      </c>
      <c r="AO69" s="299">
        <f>Input!AO439</f>
        <v>0</v>
      </c>
      <c r="AP69" s="299">
        <f>Input!AP439</f>
        <v>0</v>
      </c>
      <c r="AQ69" s="299">
        <f>Input!AQ439</f>
        <v>0</v>
      </c>
    </row>
    <row r="70" spans="4:47" ht="15" customHeight="1">
      <c r="E70" s="147" t="s">
        <v>574</v>
      </c>
      <c r="F70" s="45"/>
      <c r="G70" s="45" t="s">
        <v>47</v>
      </c>
      <c r="H70" s="45"/>
      <c r="I70" s="145"/>
      <c r="J70" s="45"/>
      <c r="K70" s="45"/>
      <c r="L70" s="45"/>
      <c r="M70" s="45"/>
      <c r="N70" s="45"/>
      <c r="O70" s="45"/>
      <c r="P70" s="45"/>
      <c r="Q70" s="45"/>
      <c r="R70" s="45"/>
      <c r="S70" s="45"/>
      <c r="T70" s="45"/>
      <c r="U70" s="45"/>
      <c r="V70" s="45"/>
      <c r="W70" s="45"/>
      <c r="X70" s="45"/>
      <c r="Y70" s="45"/>
      <c r="Z70" s="45"/>
      <c r="AA70" s="45"/>
      <c r="AB70" s="45"/>
      <c r="AC70" s="45"/>
      <c r="AD70" s="45"/>
      <c r="AE70" s="45"/>
      <c r="AF70" s="45"/>
      <c r="AG70" s="145"/>
      <c r="AH70" s="145"/>
      <c r="AI70" s="145"/>
      <c r="AJ70" s="299">
        <f>Input!AJ440</f>
        <v>0.62459097411293629</v>
      </c>
      <c r="AK70" s="299">
        <f>Input!AK440</f>
        <v>0.62459097411293629</v>
      </c>
      <c r="AL70" s="299">
        <f>Input!AL440</f>
        <v>0.62459097411293629</v>
      </c>
      <c r="AM70" s="299">
        <f>Input!AM440</f>
        <v>0.62459097411293629</v>
      </c>
      <c r="AN70" s="299">
        <f>Input!AN440</f>
        <v>0.62459097411293629</v>
      </c>
      <c r="AO70" s="299">
        <f>Input!AO440</f>
        <v>0.62459097411293629</v>
      </c>
      <c r="AP70" s="299">
        <f>Input!AP440</f>
        <v>0.62459097411293629</v>
      </c>
      <c r="AQ70" s="299">
        <f>Input!AQ440</f>
        <v>0.62459097411293629</v>
      </c>
    </row>
    <row r="71" spans="4:47" s="378" customFormat="1" ht="15" customHeight="1">
      <c r="E71" s="378" t="s">
        <v>719</v>
      </c>
      <c r="G71" s="45" t="s">
        <v>47</v>
      </c>
      <c r="H71" s="45"/>
      <c r="I71" s="145"/>
      <c r="J71" s="45"/>
      <c r="K71" s="45"/>
      <c r="L71" s="45"/>
      <c r="M71" s="45"/>
      <c r="N71" s="45"/>
      <c r="O71" s="45"/>
      <c r="P71" s="45"/>
      <c r="Q71" s="45"/>
      <c r="R71" s="45"/>
      <c r="S71" s="45"/>
      <c r="T71" s="45"/>
      <c r="U71" s="45"/>
      <c r="V71" s="45"/>
      <c r="W71" s="45"/>
      <c r="X71" s="45"/>
      <c r="Y71" s="45"/>
      <c r="Z71" s="45"/>
      <c r="AA71" s="45"/>
      <c r="AB71" s="45"/>
      <c r="AC71" s="45"/>
      <c r="AD71" s="45"/>
      <c r="AE71" s="45"/>
      <c r="AF71" s="45"/>
      <c r="AG71" s="145"/>
      <c r="AH71" s="145"/>
      <c r="AI71" s="145"/>
      <c r="AJ71" s="299">
        <f>Input!AJ441</f>
        <v>0.5</v>
      </c>
      <c r="AK71" s="299">
        <f>Input!AK441</f>
        <v>0.5</v>
      </c>
      <c r="AL71" s="299">
        <f>Input!AL441</f>
        <v>0.5</v>
      </c>
      <c r="AM71" s="299">
        <f>Input!AM441</f>
        <v>0.5</v>
      </c>
      <c r="AN71" s="299">
        <f>Input!AN441</f>
        <v>0.5</v>
      </c>
      <c r="AO71" s="299">
        <f>Input!AO441</f>
        <v>0.5</v>
      </c>
      <c r="AP71" s="299">
        <f>Input!AP441</f>
        <v>0.5</v>
      </c>
      <c r="AQ71" s="299">
        <f>Input!AQ441</f>
        <v>0.5</v>
      </c>
    </row>
    <row r="72" spans="4:47" ht="15" customHeight="1">
      <c r="E72" s="378" t="s">
        <v>705</v>
      </c>
      <c r="F72" s="45"/>
      <c r="G72" s="45" t="s">
        <v>47</v>
      </c>
      <c r="H72" s="45"/>
      <c r="I72" s="145"/>
      <c r="J72" s="45"/>
      <c r="K72" s="45"/>
      <c r="L72" s="45"/>
      <c r="M72" s="45"/>
      <c r="N72" s="45"/>
      <c r="O72" s="45"/>
      <c r="P72" s="45"/>
      <c r="Q72" s="45"/>
      <c r="R72" s="45"/>
      <c r="S72" s="45"/>
      <c r="T72" s="45"/>
      <c r="U72" s="45"/>
      <c r="V72" s="45"/>
      <c r="W72" s="45"/>
      <c r="X72" s="45"/>
      <c r="Y72" s="45"/>
      <c r="Z72" s="45"/>
      <c r="AA72" s="45"/>
      <c r="AB72" s="45"/>
      <c r="AC72" s="45"/>
      <c r="AD72" s="45"/>
      <c r="AE72" s="45"/>
      <c r="AF72" s="45"/>
      <c r="AG72" s="145"/>
      <c r="AH72" s="145"/>
      <c r="AI72" s="145"/>
      <c r="AJ72" s="299">
        <f>Input!AJ442</f>
        <v>1</v>
      </c>
      <c r="AK72" s="299">
        <f>Input!AK442</f>
        <v>1</v>
      </c>
      <c r="AL72" s="299">
        <f>Input!AL442</f>
        <v>1</v>
      </c>
      <c r="AM72" s="299">
        <f>Input!AM442</f>
        <v>1</v>
      </c>
      <c r="AN72" s="299">
        <f>Input!AN442</f>
        <v>1</v>
      </c>
      <c r="AO72" s="299">
        <f>Input!AO442</f>
        <v>1</v>
      </c>
      <c r="AP72" s="299">
        <f>Input!AP442</f>
        <v>1</v>
      </c>
      <c r="AQ72" s="299">
        <f>Input!AQ442</f>
        <v>1</v>
      </c>
    </row>
    <row r="73" spans="4:47" ht="15" customHeight="1">
      <c r="E73" s="154" t="s">
        <v>632</v>
      </c>
      <c r="F73" s="45"/>
      <c r="G73" s="45" t="s">
        <v>47</v>
      </c>
      <c r="H73" s="45"/>
      <c r="I73" s="145"/>
      <c r="J73" s="45"/>
      <c r="K73" s="45"/>
      <c r="L73" s="45"/>
      <c r="M73" s="45"/>
      <c r="N73" s="45"/>
      <c r="O73" s="45"/>
      <c r="P73" s="45"/>
      <c r="Q73" s="45"/>
      <c r="R73" s="45"/>
      <c r="S73" s="45"/>
      <c r="T73" s="45"/>
      <c r="U73" s="45"/>
      <c r="V73" s="45"/>
      <c r="W73" s="45"/>
      <c r="X73" s="45"/>
      <c r="Y73" s="45"/>
      <c r="Z73" s="45"/>
      <c r="AA73" s="45"/>
      <c r="AB73" s="45"/>
      <c r="AC73" s="45"/>
      <c r="AD73" s="45"/>
      <c r="AE73" s="45"/>
      <c r="AF73" s="45"/>
      <c r="AG73" s="145"/>
      <c r="AH73" s="145"/>
      <c r="AI73" s="145"/>
      <c r="AJ73" s="299">
        <f>Input!AJ443</f>
        <v>0.50679897096655635</v>
      </c>
      <c r="AK73" s="299">
        <f>Input!AK443</f>
        <v>0.50679897096655635</v>
      </c>
      <c r="AL73" s="299">
        <f>Input!AL443</f>
        <v>0.50679897096655635</v>
      </c>
      <c r="AM73" s="299">
        <f>Input!AM443</f>
        <v>0.50679897096655635</v>
      </c>
      <c r="AN73" s="299">
        <f>Input!AN443</f>
        <v>0.50679897096655635</v>
      </c>
      <c r="AO73" s="299">
        <f>Input!AO443</f>
        <v>0.50679897096655635</v>
      </c>
      <c r="AP73" s="299">
        <f>Input!AP443</f>
        <v>0.50679897096655635</v>
      </c>
      <c r="AQ73" s="299">
        <f>Input!AQ443</f>
        <v>0.50679897096655635</v>
      </c>
    </row>
    <row r="74" spans="4:47" ht="15" customHeight="1">
      <c r="E74" s="145"/>
      <c r="F74" s="45"/>
      <c r="G74" s="45"/>
      <c r="H74" s="45"/>
      <c r="I74" s="145"/>
      <c r="J74" s="45"/>
      <c r="K74" s="45"/>
      <c r="L74" s="45"/>
      <c r="M74" s="45"/>
      <c r="N74" s="45"/>
      <c r="O74" s="45"/>
      <c r="P74" s="45"/>
      <c r="Q74" s="45"/>
      <c r="R74" s="45"/>
      <c r="S74" s="45"/>
      <c r="T74" s="45"/>
      <c r="U74" s="45"/>
      <c r="V74" s="45"/>
      <c r="W74" s="45"/>
      <c r="X74" s="45"/>
      <c r="Y74" s="45"/>
      <c r="Z74" s="45"/>
      <c r="AA74" s="45"/>
      <c r="AB74" s="45"/>
      <c r="AC74" s="45"/>
      <c r="AD74" s="45"/>
      <c r="AE74" s="45"/>
      <c r="AF74" s="45"/>
      <c r="AG74" s="145"/>
      <c r="AH74" s="145"/>
      <c r="AI74" s="145"/>
      <c r="AJ74" s="145"/>
      <c r="AK74" s="145"/>
      <c r="AL74" s="145"/>
      <c r="AM74" s="145"/>
      <c r="AN74" s="145"/>
      <c r="AO74" s="145"/>
      <c r="AP74" s="145"/>
      <c r="AQ74" s="145"/>
    </row>
    <row r="75" spans="4:47" ht="15" customHeight="1">
      <c r="E75" s="35" t="s">
        <v>139</v>
      </c>
      <c r="F75" s="45"/>
      <c r="G75" s="145" t="s">
        <v>657</v>
      </c>
      <c r="H75" s="45"/>
      <c r="I75" s="1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38">
        <f>SUMPRODUCT(AJ$16:AJ$22,AJ67:AJ73)+AJ65</f>
        <v>149.52634181032056</v>
      </c>
      <c r="AK75" s="38">
        <f t="shared" ref="AK75:AQ75" si="4">SUMPRODUCT(AK$16:AK$22,AK67:AK73)+AK65</f>
        <v>144.90039963361002</v>
      </c>
      <c r="AL75" s="38">
        <f t="shared" si="4"/>
        <v>146.43124726498544</v>
      </c>
      <c r="AM75" s="38">
        <f t="shared" si="4"/>
        <v>145.78133958084203</v>
      </c>
      <c r="AN75" s="38">
        <f t="shared" si="4"/>
        <v>145.64266546720629</v>
      </c>
      <c r="AO75" s="38">
        <f t="shared" si="4"/>
        <v>142.99382730997525</v>
      </c>
      <c r="AP75" s="38">
        <f t="shared" si="4"/>
        <v>141.7968193557021</v>
      </c>
      <c r="AQ75" s="38">
        <f t="shared" si="4"/>
        <v>140.02337477981973</v>
      </c>
    </row>
    <row r="76" spans="4:47" s="161" customFormat="1" ht="15" customHeight="1">
      <c r="AR76" s="326"/>
      <c r="AS76" s="326"/>
      <c r="AT76" s="326"/>
      <c r="AU76" s="326"/>
    </row>
    <row r="77" spans="4:47" ht="15" customHeight="1">
      <c r="D77" s="193" t="s">
        <v>140</v>
      </c>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row>
    <row r="78" spans="4:47" ht="15" customHeight="1">
      <c r="E78" s="45"/>
      <c r="F78" s="45"/>
      <c r="G78" s="45"/>
      <c r="H78" s="45"/>
      <c r="I78" s="145"/>
      <c r="J78" s="45"/>
      <c r="K78" s="45"/>
      <c r="L78" s="45"/>
      <c r="M78" s="45"/>
      <c r="N78" s="45"/>
      <c r="O78" s="45"/>
      <c r="P78" s="45"/>
      <c r="Q78" s="45"/>
      <c r="R78" s="45"/>
      <c r="S78" s="45"/>
      <c r="T78" s="45"/>
      <c r="U78" s="45"/>
      <c r="V78" s="45"/>
      <c r="W78" s="45"/>
      <c r="X78" s="45"/>
      <c r="Y78" s="45"/>
      <c r="Z78" s="45"/>
      <c r="AA78" s="45"/>
      <c r="AB78" s="45"/>
      <c r="AC78" s="45"/>
      <c r="AD78" s="45"/>
      <c r="AE78" s="45"/>
      <c r="AF78" s="45"/>
      <c r="AI78" s="145"/>
      <c r="AJ78" s="145"/>
      <c r="AK78" s="145"/>
      <c r="AL78" s="145"/>
      <c r="AM78" s="145"/>
      <c r="AN78" s="145"/>
      <c r="AO78" s="145"/>
      <c r="AP78" s="145"/>
      <c r="AQ78" s="145"/>
    </row>
    <row r="79" spans="4:47" ht="15" customHeight="1">
      <c r="E79" s="111" t="s">
        <v>141</v>
      </c>
      <c r="F79" s="45"/>
      <c r="G79" s="45" t="s">
        <v>47</v>
      </c>
      <c r="H79" s="45"/>
      <c r="I79" s="145"/>
      <c r="J79" s="45"/>
      <c r="K79" s="45"/>
      <c r="L79" s="45"/>
      <c r="M79" s="45"/>
      <c r="N79" s="45"/>
      <c r="O79" s="45"/>
      <c r="P79" s="45"/>
      <c r="Q79" s="45"/>
      <c r="R79" s="45"/>
      <c r="S79" s="45"/>
      <c r="T79" s="45"/>
      <c r="U79" s="45"/>
      <c r="V79" s="45"/>
      <c r="W79" s="45"/>
      <c r="X79" s="45"/>
      <c r="Y79" s="45"/>
      <c r="Z79" s="45"/>
      <c r="AA79" s="45"/>
      <c r="AB79" s="45"/>
      <c r="AC79" s="45"/>
      <c r="AD79" s="45"/>
      <c r="AE79" s="45"/>
      <c r="AF79" s="45"/>
      <c r="AI79" s="145"/>
      <c r="AJ79" s="299">
        <f>Input!AJ447</f>
        <v>0</v>
      </c>
      <c r="AK79" s="299">
        <f>Input!AK447</f>
        <v>0</v>
      </c>
      <c r="AL79" s="299">
        <f>Input!AL447</f>
        <v>0</v>
      </c>
      <c r="AM79" s="299">
        <f>Input!AM447</f>
        <v>0</v>
      </c>
      <c r="AN79" s="299">
        <f>Input!AN447</f>
        <v>0</v>
      </c>
      <c r="AO79" s="299">
        <f>Input!AO447</f>
        <v>0</v>
      </c>
      <c r="AP79" s="299">
        <f>Input!AP447</f>
        <v>0</v>
      </c>
      <c r="AQ79" s="299">
        <f>Input!AQ447</f>
        <v>0</v>
      </c>
    </row>
    <row r="80" spans="4:47" ht="15" customHeight="1">
      <c r="E80" s="147" t="s">
        <v>546</v>
      </c>
      <c r="F80" s="45"/>
      <c r="G80" s="45" t="s">
        <v>47</v>
      </c>
      <c r="H80" s="45"/>
      <c r="I80" s="145"/>
      <c r="J80" s="45"/>
      <c r="K80" s="45"/>
      <c r="L80" s="45"/>
      <c r="M80" s="45"/>
      <c r="N80" s="45"/>
      <c r="O80" s="45"/>
      <c r="P80" s="45"/>
      <c r="Q80" s="45"/>
      <c r="R80" s="45"/>
      <c r="S80" s="45"/>
      <c r="T80" s="45"/>
      <c r="U80" s="45"/>
      <c r="V80" s="45"/>
      <c r="W80" s="45"/>
      <c r="X80" s="45"/>
      <c r="Y80" s="45"/>
      <c r="Z80" s="45"/>
      <c r="AA80" s="45"/>
      <c r="AB80" s="45"/>
      <c r="AC80" s="45"/>
      <c r="AD80" s="45"/>
      <c r="AE80" s="45"/>
      <c r="AF80" s="45"/>
      <c r="AI80" s="145"/>
      <c r="AJ80" s="299">
        <f>Input!AJ448</f>
        <v>5.7636270271200496E-2</v>
      </c>
      <c r="AK80" s="299">
        <f>Input!AK448</f>
        <v>5.7636270271200496E-2</v>
      </c>
      <c r="AL80" s="299">
        <f>Input!AL448</f>
        <v>5.7636270271200496E-2</v>
      </c>
      <c r="AM80" s="299">
        <f>Input!AM448</f>
        <v>5.7636270271200496E-2</v>
      </c>
      <c r="AN80" s="299">
        <f>Input!AN448</f>
        <v>5.7636270271200496E-2</v>
      </c>
      <c r="AO80" s="299">
        <f>Input!AO448</f>
        <v>5.7636270271200496E-2</v>
      </c>
      <c r="AP80" s="299">
        <f>Input!AP448</f>
        <v>5.7636270271200496E-2</v>
      </c>
      <c r="AQ80" s="299">
        <f>Input!AQ448</f>
        <v>5.7636270271200496E-2</v>
      </c>
    </row>
    <row r="81" spans="2:72" ht="15" customHeight="1">
      <c r="E81" s="111" t="s">
        <v>142</v>
      </c>
      <c r="F81" s="45"/>
      <c r="G81" s="45" t="s">
        <v>47</v>
      </c>
      <c r="H81" s="45"/>
      <c r="I81" s="145"/>
      <c r="J81" s="45"/>
      <c r="K81" s="45"/>
      <c r="L81" s="45"/>
      <c r="M81" s="45"/>
      <c r="N81" s="45"/>
      <c r="O81" s="45"/>
      <c r="P81" s="45"/>
      <c r="Q81" s="45"/>
      <c r="R81" s="45"/>
      <c r="S81" s="45"/>
      <c r="T81" s="45"/>
      <c r="U81" s="45"/>
      <c r="V81" s="45"/>
      <c r="W81" s="45"/>
      <c r="X81" s="45"/>
      <c r="Y81" s="45"/>
      <c r="Z81" s="45"/>
      <c r="AA81" s="45"/>
      <c r="AB81" s="45"/>
      <c r="AC81" s="45"/>
      <c r="AD81" s="45"/>
      <c r="AE81" s="45"/>
      <c r="AF81" s="45"/>
      <c r="AI81" s="145"/>
      <c r="AJ81" s="299">
        <f>Input!AJ449</f>
        <v>0.17049960348929416</v>
      </c>
      <c r="AK81" s="299">
        <f>Input!AK449</f>
        <v>0.17049960348929416</v>
      </c>
      <c r="AL81" s="299">
        <f>Input!AL449</f>
        <v>0.17049960348929416</v>
      </c>
      <c r="AM81" s="299">
        <f>Input!AM449</f>
        <v>0.17049960348929416</v>
      </c>
      <c r="AN81" s="299">
        <f>Input!AN449</f>
        <v>0.17049960348929416</v>
      </c>
      <c r="AO81" s="299">
        <f>Input!AO449</f>
        <v>0.17049960348929416</v>
      </c>
      <c r="AP81" s="299">
        <f>Input!AP449</f>
        <v>0.17049960348929416</v>
      </c>
      <c r="AQ81" s="299">
        <f>Input!AQ449</f>
        <v>0.17049960348929416</v>
      </c>
    </row>
    <row r="82" spans="2:72" ht="15" customHeight="1">
      <c r="E82" s="147" t="s">
        <v>574</v>
      </c>
      <c r="F82" s="45"/>
      <c r="G82" s="45" t="s">
        <v>47</v>
      </c>
      <c r="H82" s="45"/>
      <c r="I82" s="145"/>
      <c r="J82" s="45"/>
      <c r="K82" s="45"/>
      <c r="L82" s="45"/>
      <c r="M82" s="45"/>
      <c r="N82" s="45"/>
      <c r="O82" s="45"/>
      <c r="P82" s="45"/>
      <c r="Q82" s="45"/>
      <c r="R82" s="45"/>
      <c r="S82" s="45"/>
      <c r="T82" s="45"/>
      <c r="U82" s="45"/>
      <c r="V82" s="45"/>
      <c r="W82" s="45"/>
      <c r="X82" s="45"/>
      <c r="Y82" s="45"/>
      <c r="Z82" s="45"/>
      <c r="AA82" s="45"/>
      <c r="AB82" s="45"/>
      <c r="AC82" s="45"/>
      <c r="AD82" s="45"/>
      <c r="AE82" s="45"/>
      <c r="AF82" s="45"/>
      <c r="AI82" s="145"/>
      <c r="AJ82" s="299">
        <f>Input!AJ450</f>
        <v>0</v>
      </c>
      <c r="AK82" s="299">
        <f>Input!AK450</f>
        <v>0</v>
      </c>
      <c r="AL82" s="299">
        <f>Input!AL450</f>
        <v>0</v>
      </c>
      <c r="AM82" s="299">
        <f>Input!AM450</f>
        <v>0</v>
      </c>
      <c r="AN82" s="299">
        <f>Input!AN450</f>
        <v>0</v>
      </c>
      <c r="AO82" s="299">
        <f>Input!AO450</f>
        <v>0</v>
      </c>
      <c r="AP82" s="299">
        <f>Input!AP450</f>
        <v>0</v>
      </c>
      <c r="AQ82" s="299">
        <f>Input!AQ450</f>
        <v>0</v>
      </c>
    </row>
    <row r="83" spans="2:72" s="378" customFormat="1" ht="15" customHeight="1">
      <c r="E83" s="378" t="s">
        <v>719</v>
      </c>
      <c r="G83" s="45" t="s">
        <v>47</v>
      </c>
      <c r="H83" s="45"/>
      <c r="I83" s="145"/>
      <c r="J83" s="45"/>
      <c r="K83" s="45"/>
      <c r="L83" s="45"/>
      <c r="M83" s="45"/>
      <c r="N83" s="45"/>
      <c r="O83" s="45"/>
      <c r="P83" s="45"/>
      <c r="Q83" s="45"/>
      <c r="R83" s="45"/>
      <c r="S83" s="45"/>
      <c r="T83" s="45"/>
      <c r="U83" s="45"/>
      <c r="V83" s="45"/>
      <c r="W83" s="45"/>
      <c r="X83" s="45"/>
      <c r="Y83" s="45"/>
      <c r="Z83" s="45"/>
      <c r="AA83" s="45"/>
      <c r="AB83" s="45"/>
      <c r="AC83" s="45"/>
      <c r="AD83" s="45"/>
      <c r="AE83" s="45"/>
      <c r="AF83" s="45"/>
      <c r="AI83" s="145"/>
      <c r="AJ83" s="299">
        <f>Input!AJ451</f>
        <v>0</v>
      </c>
      <c r="AK83" s="299">
        <f>Input!AK451</f>
        <v>0</v>
      </c>
      <c r="AL83" s="299">
        <f>Input!AL451</f>
        <v>0</v>
      </c>
      <c r="AM83" s="299">
        <f>Input!AM451</f>
        <v>0</v>
      </c>
      <c r="AN83" s="299">
        <f>Input!AN451</f>
        <v>0</v>
      </c>
      <c r="AO83" s="299">
        <f>Input!AO451</f>
        <v>0</v>
      </c>
      <c r="AP83" s="299">
        <f>Input!AP451</f>
        <v>0</v>
      </c>
      <c r="AQ83" s="299">
        <f>Input!AQ451</f>
        <v>0</v>
      </c>
    </row>
    <row r="84" spans="2:72" ht="15" customHeight="1">
      <c r="E84" s="378" t="s">
        <v>705</v>
      </c>
      <c r="F84" s="45"/>
      <c r="G84" s="45" t="s">
        <v>47</v>
      </c>
      <c r="H84" s="45"/>
      <c r="I84" s="145"/>
      <c r="J84" s="45"/>
      <c r="K84" s="45"/>
      <c r="L84" s="45"/>
      <c r="M84" s="45"/>
      <c r="N84" s="45"/>
      <c r="O84" s="45"/>
      <c r="P84" s="45"/>
      <c r="Q84" s="45"/>
      <c r="R84" s="45"/>
      <c r="S84" s="45"/>
      <c r="T84" s="45"/>
      <c r="U84" s="45"/>
      <c r="V84" s="45"/>
      <c r="W84" s="45"/>
      <c r="X84" s="45"/>
      <c r="Y84" s="45"/>
      <c r="Z84" s="45"/>
      <c r="AA84" s="45"/>
      <c r="AB84" s="45"/>
      <c r="AC84" s="45"/>
      <c r="AD84" s="45"/>
      <c r="AE84" s="45"/>
      <c r="AF84" s="45"/>
      <c r="AI84" s="145"/>
      <c r="AJ84" s="299">
        <f>Input!AJ452</f>
        <v>0</v>
      </c>
      <c r="AK84" s="299">
        <f>Input!AK452</f>
        <v>0</v>
      </c>
      <c r="AL84" s="299">
        <f>Input!AL452</f>
        <v>0</v>
      </c>
      <c r="AM84" s="299">
        <f>Input!AM452</f>
        <v>0</v>
      </c>
      <c r="AN84" s="299">
        <f>Input!AN452</f>
        <v>0</v>
      </c>
      <c r="AO84" s="299">
        <f>Input!AO452</f>
        <v>0</v>
      </c>
      <c r="AP84" s="299">
        <f>Input!AP452</f>
        <v>0</v>
      </c>
      <c r="AQ84" s="299">
        <f>Input!AQ452</f>
        <v>0</v>
      </c>
    </row>
    <row r="85" spans="2:72" ht="15" customHeight="1">
      <c r="E85" s="154" t="s">
        <v>632</v>
      </c>
      <c r="F85" s="45"/>
      <c r="G85" s="45" t="s">
        <v>47</v>
      </c>
      <c r="H85" s="45"/>
      <c r="I85" s="145"/>
      <c r="J85" s="45"/>
      <c r="K85" s="45"/>
      <c r="L85" s="45"/>
      <c r="M85" s="45"/>
      <c r="N85" s="45"/>
      <c r="O85" s="45"/>
      <c r="P85" s="45"/>
      <c r="Q85" s="45"/>
      <c r="R85" s="45"/>
      <c r="S85" s="45"/>
      <c r="T85" s="45"/>
      <c r="U85" s="45"/>
      <c r="V85" s="45"/>
      <c r="W85" s="45"/>
      <c r="X85" s="45"/>
      <c r="Y85" s="45"/>
      <c r="Z85" s="45"/>
      <c r="AA85" s="45"/>
      <c r="AB85" s="45"/>
      <c r="AC85" s="45"/>
      <c r="AD85" s="45"/>
      <c r="AE85" s="45"/>
      <c r="AF85" s="45"/>
      <c r="AI85" s="145"/>
      <c r="AJ85" s="299">
        <f>Input!AJ453</f>
        <v>5.7086855322797982E-2</v>
      </c>
      <c r="AK85" s="299">
        <f>Input!AK453</f>
        <v>5.7086855322797982E-2</v>
      </c>
      <c r="AL85" s="299">
        <f>Input!AL453</f>
        <v>5.7086855322797982E-2</v>
      </c>
      <c r="AM85" s="299">
        <f>Input!AM453</f>
        <v>5.7086855322797982E-2</v>
      </c>
      <c r="AN85" s="299">
        <f>Input!AN453</f>
        <v>5.7086855322797982E-2</v>
      </c>
      <c r="AO85" s="299">
        <f>Input!AO453</f>
        <v>5.7086855322797982E-2</v>
      </c>
      <c r="AP85" s="299">
        <f>Input!AP453</f>
        <v>5.7086855322797982E-2</v>
      </c>
      <c r="AQ85" s="299">
        <f>Input!AQ453</f>
        <v>5.7086855322797982E-2</v>
      </c>
    </row>
    <row r="86" spans="2:72" ht="15" customHeight="1">
      <c r="E86" s="145"/>
      <c r="F86" s="45"/>
      <c r="G86" s="45"/>
      <c r="H86" s="45"/>
      <c r="I86" s="145"/>
      <c r="J86" s="45"/>
      <c r="K86" s="45"/>
      <c r="L86" s="45"/>
      <c r="M86" s="45"/>
      <c r="N86" s="45"/>
      <c r="O86" s="45"/>
      <c r="P86" s="45"/>
      <c r="Q86" s="45"/>
      <c r="R86" s="45"/>
      <c r="S86" s="45"/>
      <c r="T86" s="45"/>
      <c r="U86" s="45"/>
      <c r="V86" s="45"/>
      <c r="W86" s="45"/>
      <c r="X86" s="45"/>
      <c r="Y86" s="45"/>
      <c r="Z86" s="45"/>
      <c r="AA86" s="45"/>
      <c r="AB86" s="45"/>
      <c r="AC86" s="45"/>
      <c r="AD86" s="45"/>
      <c r="AE86" s="45"/>
      <c r="AF86" s="45"/>
      <c r="AI86" s="145"/>
      <c r="AJ86" s="145"/>
      <c r="AK86" s="145"/>
      <c r="AL86" s="145"/>
      <c r="AM86" s="145"/>
      <c r="AN86" s="145"/>
      <c r="AO86" s="145"/>
      <c r="AP86" s="145"/>
      <c r="AQ86" s="145"/>
    </row>
    <row r="87" spans="2:72" ht="15" customHeight="1">
      <c r="E87" s="35" t="s">
        <v>140</v>
      </c>
      <c r="F87" s="45"/>
      <c r="G87" s="145" t="s">
        <v>657</v>
      </c>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38">
        <f>SUMPRODUCT(AJ$16:AJ$22,AJ79:AJ85)</f>
        <v>14.551907563416256</v>
      </c>
      <c r="AK87" s="38">
        <f t="shared" ref="AK87:AQ87" si="5">SUMPRODUCT(AK$16:AK$22,AK79:AK85)</f>
        <v>14.648941892498542</v>
      </c>
      <c r="AL87" s="38">
        <f t="shared" si="5"/>
        <v>14.023873663017561</v>
      </c>
      <c r="AM87" s="38">
        <f t="shared" si="5"/>
        <v>14.002457684472382</v>
      </c>
      <c r="AN87" s="38">
        <f t="shared" si="5"/>
        <v>12.956050411803696</v>
      </c>
      <c r="AO87" s="38">
        <f t="shared" si="5"/>
        <v>12.428161447720099</v>
      </c>
      <c r="AP87" s="38">
        <f t="shared" si="5"/>
        <v>12.168125139156105</v>
      </c>
      <c r="AQ87" s="38">
        <f t="shared" si="5"/>
        <v>12.080573674295279</v>
      </c>
    </row>
    <row r="88" spans="2:72" s="161" customFormat="1" ht="15" customHeight="1">
      <c r="AR88" s="326"/>
      <c r="AS88" s="326"/>
      <c r="AT88" s="326"/>
      <c r="AU88" s="326"/>
    </row>
    <row r="89" spans="2:72" s="190" customFormat="1" ht="15" customHeight="1">
      <c r="B89" s="294" t="s">
        <v>2</v>
      </c>
      <c r="C89" s="294"/>
      <c r="D89" s="294"/>
      <c r="E89" s="294"/>
      <c r="F89" s="294"/>
      <c r="G89" s="294"/>
      <c r="H89" s="294"/>
      <c r="I89" s="294"/>
      <c r="J89" s="294"/>
      <c r="K89" s="294"/>
      <c r="L89" s="294"/>
      <c r="M89" s="294"/>
      <c r="N89" s="294"/>
      <c r="O89" s="294"/>
      <c r="P89" s="294"/>
      <c r="Q89" s="294"/>
      <c r="R89" s="294"/>
      <c r="S89" s="294"/>
      <c r="T89" s="294"/>
      <c r="U89" s="294"/>
      <c r="V89" s="294"/>
      <c r="W89" s="294"/>
      <c r="X89" s="294"/>
      <c r="Y89" s="294"/>
      <c r="Z89" s="294"/>
      <c r="AA89" s="294"/>
      <c r="AB89" s="294"/>
      <c r="AC89" s="294"/>
      <c r="AD89" s="294"/>
      <c r="AE89" s="294"/>
      <c r="AF89" s="294"/>
      <c r="AG89" s="294"/>
      <c r="AH89" s="294"/>
      <c r="AI89" s="294"/>
      <c r="AJ89" s="294"/>
      <c r="AK89" s="294"/>
      <c r="AL89" s="294"/>
      <c r="AM89" s="294"/>
      <c r="AN89" s="294"/>
      <c r="AO89" s="294"/>
      <c r="AP89" s="294"/>
      <c r="AQ89" s="294"/>
      <c r="AR89" s="155"/>
      <c r="AS89" s="155"/>
    </row>
    <row r="90" spans="2:72" s="190" customFormat="1" ht="15" customHeight="1">
      <c r="B90" s="192" t="s">
        <v>443</v>
      </c>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192"/>
      <c r="AC90" s="192"/>
      <c r="AD90" s="192"/>
      <c r="AE90" s="192"/>
      <c r="AF90" s="192"/>
      <c r="AG90" s="192"/>
      <c r="AH90" s="192"/>
      <c r="AI90" s="192"/>
      <c r="AJ90" s="192"/>
      <c r="AK90" s="192"/>
      <c r="AL90" s="192"/>
      <c r="AM90" s="192"/>
      <c r="AN90" s="192"/>
      <c r="AO90" s="192"/>
      <c r="AP90" s="192"/>
      <c r="AQ90" s="192"/>
      <c r="AR90" s="155"/>
      <c r="AS90" s="155"/>
    </row>
    <row r="91" spans="2:72" s="190" customFormat="1" ht="15" customHeight="1">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55"/>
      <c r="AK91" s="155"/>
      <c r="AL91" s="155"/>
      <c r="AM91" s="155"/>
      <c r="AN91" s="155"/>
      <c r="AO91" s="155"/>
      <c r="AP91" s="155"/>
      <c r="AQ91" s="155"/>
      <c r="AR91" s="155"/>
      <c r="AS91" s="155"/>
    </row>
    <row r="92" spans="2:72" s="190" customFormat="1" ht="15" customHeight="1">
      <c r="C92" s="292" t="s">
        <v>28</v>
      </c>
      <c r="D92" s="292"/>
      <c r="E92" s="292"/>
      <c r="F92" s="292"/>
      <c r="G92" s="292"/>
      <c r="H92" s="292"/>
      <c r="I92" s="292"/>
      <c r="J92" s="292"/>
      <c r="K92" s="292"/>
      <c r="L92" s="292"/>
      <c r="M92" s="292"/>
      <c r="N92" s="292"/>
      <c r="O92" s="292"/>
      <c r="P92" s="292"/>
      <c r="Q92" s="292"/>
      <c r="R92" s="292"/>
      <c r="S92" s="292"/>
      <c r="T92" s="292"/>
      <c r="U92" s="292"/>
      <c r="V92" s="292"/>
      <c r="W92" s="292"/>
      <c r="X92" s="292"/>
      <c r="Y92" s="292"/>
      <c r="Z92" s="292"/>
      <c r="AA92" s="292"/>
      <c r="AB92" s="292"/>
      <c r="AC92" s="292"/>
      <c r="AD92" s="292"/>
      <c r="AE92" s="292"/>
      <c r="AF92" s="292"/>
      <c r="AG92" s="292"/>
      <c r="AH92" s="292"/>
      <c r="AI92" s="292"/>
      <c r="AJ92" s="292"/>
      <c r="AK92" s="292"/>
      <c r="AL92" s="292"/>
      <c r="AM92" s="292"/>
      <c r="AN92" s="292"/>
      <c r="AO92" s="292"/>
      <c r="AP92" s="292"/>
      <c r="AQ92" s="292"/>
      <c r="AR92" s="155"/>
      <c r="AS92" s="155"/>
    </row>
    <row r="93" spans="2:72" s="190" customFormat="1" ht="15" customHeight="1">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row>
    <row r="94" spans="2:72" s="190" customFormat="1" ht="15" customHeight="1">
      <c r="E94" s="190" t="s">
        <v>24</v>
      </c>
      <c r="G94" s="190" t="s">
        <v>47</v>
      </c>
      <c r="J94" s="41"/>
      <c r="K94" s="41"/>
      <c r="L94" s="41"/>
      <c r="M94" s="41"/>
      <c r="N94" s="41"/>
      <c r="O94" s="41"/>
      <c r="P94" s="41"/>
      <c r="Q94" s="41"/>
      <c r="R94" s="41"/>
      <c r="S94" s="41"/>
      <c r="T94" s="41"/>
      <c r="U94" s="41"/>
      <c r="V94" s="41"/>
      <c r="W94" s="41"/>
      <c r="X94" s="41"/>
      <c r="Y94" s="41"/>
      <c r="Z94" s="41"/>
      <c r="AA94" s="41"/>
      <c r="AB94" s="41"/>
      <c r="AC94" s="41"/>
      <c r="AD94" s="41"/>
      <c r="AE94" s="41"/>
      <c r="AF94" s="41"/>
      <c r="AG94" s="41"/>
      <c r="AH94" s="41"/>
      <c r="AI94" s="41"/>
      <c r="AJ94" s="230">
        <f>TaxTrigger!AJ108</f>
        <v>0.18000000000000002</v>
      </c>
      <c r="AK94" s="230">
        <f>TaxTrigger!AK108</f>
        <v>0.18000000000000002</v>
      </c>
      <c r="AL94" s="230">
        <f>TaxTrigger!AL108</f>
        <v>0.18000000000000002</v>
      </c>
      <c r="AM94" s="230">
        <f>TaxTrigger!AM108</f>
        <v>0.18000000000000002</v>
      </c>
      <c r="AN94" s="230">
        <f>TaxTrigger!AN108</f>
        <v>0.18000000000000002</v>
      </c>
      <c r="AO94" s="230">
        <f>TaxTrigger!AO108</f>
        <v>0.18000000000000002</v>
      </c>
      <c r="AP94" s="230">
        <f>TaxTrigger!AP108</f>
        <v>0.18000000000000002</v>
      </c>
      <c r="AQ94" s="230">
        <f>TaxTrigger!AQ108</f>
        <v>0.18000000000000002</v>
      </c>
      <c r="AR94" s="155"/>
      <c r="AS94" s="155"/>
    </row>
    <row r="95" spans="2:72" s="190" customFormat="1" ht="15" customHeight="1">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c r="AK95" s="155"/>
      <c r="AL95" s="155"/>
      <c r="AM95" s="155"/>
      <c r="AN95" s="155"/>
      <c r="AO95" s="155"/>
      <c r="AP95" s="155"/>
      <c r="AQ95" s="155"/>
      <c r="AR95" s="155"/>
      <c r="AS95" s="155"/>
    </row>
    <row r="96" spans="2:72" s="190" customFormat="1" ht="15" customHeight="1">
      <c r="E96" s="190" t="s">
        <v>70</v>
      </c>
      <c r="G96" s="190" t="s">
        <v>25</v>
      </c>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42">
        <f>SUM(Input!AH385:AH387,Input!AI386:AI387)</f>
        <v>33.977893263999995</v>
      </c>
      <c r="AK96" s="155">
        <f t="shared" ref="AK96:AQ96" si="6">AJ100</f>
        <v>39.743097330118083</v>
      </c>
      <c r="AL96" s="155">
        <f t="shared" si="6"/>
        <v>45.215547456966512</v>
      </c>
      <c r="AM96" s="155">
        <f t="shared" si="6"/>
        <v>48.164965765365856</v>
      </c>
      <c r="AN96" s="155">
        <f t="shared" si="6"/>
        <v>51.544999921767243</v>
      </c>
      <c r="AO96" s="155">
        <f t="shared" si="6"/>
        <v>51.596766028008659</v>
      </c>
      <c r="AP96" s="155">
        <f t="shared" si="6"/>
        <v>51.490756751415887</v>
      </c>
      <c r="AQ96" s="155">
        <f t="shared" si="6"/>
        <v>51.433745148945711</v>
      </c>
      <c r="AR96" s="155"/>
      <c r="AS96" s="155"/>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c r="BR96" s="112"/>
      <c r="BS96" s="112"/>
      <c r="BT96" s="112"/>
    </row>
    <row r="97" spans="3:72" s="190" customFormat="1" ht="15" customHeight="1">
      <c r="E97" s="190" t="s">
        <v>72</v>
      </c>
      <c r="G97" s="190" t="s">
        <v>25</v>
      </c>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55">
        <f>AJ37*Input!AJ$59/Input!$AG$59</f>
        <v>14.489298601997666</v>
      </c>
      <c r="AK97" s="155">
        <f>AK37*Input!AK$59/Input!$AG$59</f>
        <v>15.397814202767915</v>
      </c>
      <c r="AL97" s="155">
        <f>AL37*Input!AL$59/Input!$AG$59</f>
        <v>13.522215671528434</v>
      </c>
      <c r="AM97" s="155">
        <f>AM37*Input!AM$59/Input!$AG$59</f>
        <v>14.694790236789315</v>
      </c>
      <c r="AN97" s="155">
        <f>AN37*Input!AN$59/Input!$AG$59</f>
        <v>11.377885478243323</v>
      </c>
      <c r="AO97" s="155">
        <f>AO37*Input!AO$59/Input!$AG$59</f>
        <v>11.196839766400965</v>
      </c>
      <c r="AP97" s="155">
        <f>AP37*Input!AP$59/Input!$AG$59</f>
        <v>11.233322698517906</v>
      </c>
      <c r="AQ97" s="155">
        <f>AQ37*Input!AQ$59/Input!$AG$59</f>
        <v>11.061998442700464</v>
      </c>
      <c r="AR97" s="155"/>
      <c r="AS97" s="155"/>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c r="BR97" s="112"/>
      <c r="BS97" s="112"/>
      <c r="BT97" s="112"/>
    </row>
    <row r="98" spans="3:72" s="190" customFormat="1" ht="15" customHeight="1">
      <c r="E98" s="190" t="s">
        <v>73</v>
      </c>
      <c r="G98" s="190" t="s">
        <v>25</v>
      </c>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34">
        <f t="shared" ref="AJ98:AQ98" si="7">SUM(AJ96:AJ97)</f>
        <v>48.467191865997663</v>
      </c>
      <c r="AK98" s="34">
        <f t="shared" si="7"/>
        <v>55.140911532885994</v>
      </c>
      <c r="AL98" s="34">
        <f t="shared" si="7"/>
        <v>58.737763128494947</v>
      </c>
      <c r="AM98" s="34">
        <f t="shared" si="7"/>
        <v>62.859756002155173</v>
      </c>
      <c r="AN98" s="34">
        <f t="shared" si="7"/>
        <v>62.922885400010564</v>
      </c>
      <c r="AO98" s="34">
        <f t="shared" si="7"/>
        <v>62.793605794409622</v>
      </c>
      <c r="AP98" s="34">
        <f t="shared" si="7"/>
        <v>62.724079449933797</v>
      </c>
      <c r="AQ98" s="34">
        <f t="shared" si="7"/>
        <v>62.495743591646175</v>
      </c>
      <c r="AR98" s="155"/>
      <c r="AS98" s="155"/>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c r="BR98" s="112"/>
      <c r="BS98" s="112"/>
      <c r="BT98" s="112"/>
    </row>
    <row r="99" spans="3:72" s="190" customFormat="1" ht="15" customHeight="1">
      <c r="E99" s="190" t="s">
        <v>455</v>
      </c>
      <c r="G99" s="190" t="s">
        <v>25</v>
      </c>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55">
        <f t="shared" ref="AJ99:AQ99" si="8">-AJ98*AJ94</f>
        <v>-8.7240945358795798</v>
      </c>
      <c r="AK99" s="155">
        <f t="shared" si="8"/>
        <v>-9.9253640759194806</v>
      </c>
      <c r="AL99" s="155">
        <f t="shared" si="8"/>
        <v>-10.572797363129093</v>
      </c>
      <c r="AM99" s="155">
        <f t="shared" si="8"/>
        <v>-11.314756080387932</v>
      </c>
      <c r="AN99" s="155">
        <f t="shared" si="8"/>
        <v>-11.326119372001903</v>
      </c>
      <c r="AO99" s="155">
        <f t="shared" si="8"/>
        <v>-11.302849042993733</v>
      </c>
      <c r="AP99" s="155">
        <f t="shared" si="8"/>
        <v>-11.290334300988084</v>
      </c>
      <c r="AQ99" s="155">
        <f t="shared" si="8"/>
        <v>-11.249233846496313</v>
      </c>
      <c r="AR99" s="155"/>
      <c r="AS99" s="155"/>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c r="BR99" s="112"/>
      <c r="BS99" s="112"/>
      <c r="BT99" s="112"/>
    </row>
    <row r="100" spans="3:72" s="190" customFormat="1" ht="15" customHeight="1">
      <c r="E100" s="190" t="s">
        <v>71</v>
      </c>
      <c r="G100" s="190" t="s">
        <v>25</v>
      </c>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26">
        <f t="shared" ref="AJ100:AQ100" si="9">AJ98+AJ99</f>
        <v>39.743097330118083</v>
      </c>
      <c r="AK100" s="26">
        <f t="shared" si="9"/>
        <v>45.215547456966512</v>
      </c>
      <c r="AL100" s="26">
        <f t="shared" si="9"/>
        <v>48.164965765365856</v>
      </c>
      <c r="AM100" s="26">
        <f t="shared" si="9"/>
        <v>51.544999921767243</v>
      </c>
      <c r="AN100" s="26">
        <f t="shared" si="9"/>
        <v>51.596766028008659</v>
      </c>
      <c r="AO100" s="26">
        <f t="shared" si="9"/>
        <v>51.490756751415887</v>
      </c>
      <c r="AP100" s="26">
        <f t="shared" si="9"/>
        <v>51.433745148945711</v>
      </c>
      <c r="AQ100" s="26">
        <f t="shared" si="9"/>
        <v>51.246509745149865</v>
      </c>
      <c r="AR100" s="155"/>
      <c r="AS100" s="155"/>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c r="BR100" s="112"/>
      <c r="BS100" s="112"/>
      <c r="BT100" s="112"/>
    </row>
    <row r="101" spans="3:72" s="190" customFormat="1" ht="15" customHeight="1">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row>
    <row r="102" spans="3:72" s="190" customFormat="1" ht="15" customHeight="1">
      <c r="C102" s="292" t="s">
        <v>437</v>
      </c>
      <c r="D102" s="292"/>
      <c r="E102" s="292"/>
      <c r="F102" s="292"/>
      <c r="G102" s="292"/>
      <c r="H102" s="292"/>
      <c r="I102" s="292"/>
      <c r="J102" s="292"/>
      <c r="K102" s="292"/>
      <c r="L102" s="292"/>
      <c r="M102" s="292"/>
      <c r="N102" s="292"/>
      <c r="O102" s="292"/>
      <c r="P102" s="292"/>
      <c r="Q102" s="292"/>
      <c r="R102" s="292"/>
      <c r="S102" s="292"/>
      <c r="T102" s="292"/>
      <c r="U102" s="292"/>
      <c r="V102" s="292"/>
      <c r="W102" s="292"/>
      <c r="X102" s="292"/>
      <c r="Y102" s="292"/>
      <c r="Z102" s="292"/>
      <c r="AA102" s="292"/>
      <c r="AB102" s="292"/>
      <c r="AC102" s="292"/>
      <c r="AD102" s="292"/>
      <c r="AE102" s="292"/>
      <c r="AF102" s="292"/>
      <c r="AG102" s="292"/>
      <c r="AH102" s="292"/>
      <c r="AI102" s="292"/>
      <c r="AJ102" s="292"/>
      <c r="AK102" s="292"/>
      <c r="AL102" s="292"/>
      <c r="AM102" s="292"/>
      <c r="AN102" s="292"/>
      <c r="AO102" s="292"/>
      <c r="AP102" s="292"/>
      <c r="AQ102" s="292"/>
      <c r="AR102" s="155"/>
      <c r="AS102" s="155"/>
    </row>
    <row r="103" spans="3:72" s="190" customFormat="1" ht="15" customHeight="1">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55"/>
      <c r="AK103" s="155"/>
      <c r="AL103" s="155"/>
      <c r="AM103" s="155"/>
      <c r="AN103" s="155"/>
      <c r="AO103" s="155"/>
      <c r="AP103" s="155"/>
      <c r="AQ103" s="155"/>
      <c r="AR103" s="155"/>
      <c r="AS103" s="155"/>
    </row>
    <row r="104" spans="3:72" s="190" customFormat="1" ht="15" customHeight="1">
      <c r="E104" s="190" t="s">
        <v>24</v>
      </c>
      <c r="G104" s="190" t="s">
        <v>47</v>
      </c>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230">
        <f>TaxTrigger!AJ118</f>
        <v>0.08</v>
      </c>
      <c r="AK104" s="230">
        <f>TaxTrigger!AK118</f>
        <v>0.08</v>
      </c>
      <c r="AL104" s="230">
        <f>TaxTrigger!AL118</f>
        <v>0.08</v>
      </c>
      <c r="AM104" s="230">
        <f>TaxTrigger!AM118</f>
        <v>0.08</v>
      </c>
      <c r="AN104" s="230">
        <f>TaxTrigger!AN118</f>
        <v>0.08</v>
      </c>
      <c r="AO104" s="230">
        <f>TaxTrigger!AO118</f>
        <v>0.08</v>
      </c>
      <c r="AP104" s="230">
        <f>TaxTrigger!AP118</f>
        <v>0.08</v>
      </c>
      <c r="AQ104" s="230">
        <f>TaxTrigger!AQ118</f>
        <v>0.08</v>
      </c>
      <c r="AR104" s="155"/>
      <c r="AS104" s="155"/>
    </row>
    <row r="105" spans="3:72" s="190" customFormat="1" ht="15" customHeight="1">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row>
    <row r="106" spans="3:72" s="190" customFormat="1" ht="15" customHeight="1">
      <c r="E106" s="190" t="s">
        <v>70</v>
      </c>
      <c r="G106" s="190" t="s">
        <v>25</v>
      </c>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42">
        <f>SUM(Input!AH389:AH391,Input!AI390:AI391)</f>
        <v>557.08000860159996</v>
      </c>
      <c r="AK106" s="155">
        <f t="shared" ref="AK106:AQ106" si="10">AJ110</f>
        <v>590.23392515214869</v>
      </c>
      <c r="AL106" s="155">
        <f t="shared" si="10"/>
        <v>630.11052639965021</v>
      </c>
      <c r="AM106" s="155">
        <f t="shared" si="10"/>
        <v>666.56003951490879</v>
      </c>
      <c r="AN106" s="155">
        <f t="shared" si="10"/>
        <v>705.71366377801576</v>
      </c>
      <c r="AO106" s="155">
        <f t="shared" si="10"/>
        <v>720.31374368575416</v>
      </c>
      <c r="AP106" s="155">
        <f t="shared" si="10"/>
        <v>744.25851563738274</v>
      </c>
      <c r="AQ106" s="155">
        <f t="shared" si="10"/>
        <v>781.1089949509834</v>
      </c>
      <c r="AR106" s="155"/>
      <c r="AS106" s="155"/>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c r="BR106" s="112"/>
      <c r="BS106" s="112"/>
      <c r="BT106" s="112"/>
    </row>
    <row r="107" spans="3:72" s="190" customFormat="1" ht="15" customHeight="1">
      <c r="E107" s="190" t="s">
        <v>72</v>
      </c>
      <c r="G107" s="190" t="s">
        <v>25</v>
      </c>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364">
        <f>AJ49 * Input!AJ$59 / Input!$AG$59</f>
        <v>84.478605694213812</v>
      </c>
      <c r="AK107" s="364">
        <f>AK49 * Input!AK$59 / Input!$AG$59</f>
        <v>94.668820934427742</v>
      </c>
      <c r="AL107" s="364">
        <f>AL49 * Input!AL$59 / Input!$AG$59</f>
        <v>94.411255681772303</v>
      </c>
      <c r="AM107" s="364">
        <f>AM49 * Input!AM$59 / Input!$AG$59</f>
        <v>100.52002980902138</v>
      </c>
      <c r="AN107" s="364">
        <f>AN49 * Input!AN$59 / Input!$AG$59</f>
        <v>77.236057619543104</v>
      </c>
      <c r="AO107" s="364">
        <f>AO49 * Input!AO$59 / Input!$AG$59</f>
        <v>88.66290374618363</v>
      </c>
      <c r="AP107" s="364">
        <f>AP49 * Input!AP$59 / Input!$AG$59</f>
        <v>104.77300061368614</v>
      </c>
      <c r="AQ107" s="364">
        <f>AQ49 * Input!AQ$59 / Input!$AG$59</f>
        <v>101.70652363501783</v>
      </c>
      <c r="AR107" s="155"/>
      <c r="AS107" s="155"/>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c r="BR107" s="112"/>
      <c r="BS107" s="112"/>
      <c r="BT107" s="112"/>
    </row>
    <row r="108" spans="3:72" s="190" customFormat="1" ht="15" customHeight="1">
      <c r="E108" s="190" t="s">
        <v>73</v>
      </c>
      <c r="G108" s="190" t="s">
        <v>25</v>
      </c>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34">
        <f t="shared" ref="AJ108:AQ108" si="11">SUM(AJ106:AJ107)</f>
        <v>641.55861429581375</v>
      </c>
      <c r="AK108" s="34">
        <f t="shared" si="11"/>
        <v>684.90274608657637</v>
      </c>
      <c r="AL108" s="34">
        <f t="shared" si="11"/>
        <v>724.52178208142254</v>
      </c>
      <c r="AM108" s="34">
        <f t="shared" si="11"/>
        <v>767.08006932393016</v>
      </c>
      <c r="AN108" s="34">
        <f t="shared" si="11"/>
        <v>782.94972139755885</v>
      </c>
      <c r="AO108" s="34">
        <f t="shared" si="11"/>
        <v>808.97664743193775</v>
      </c>
      <c r="AP108" s="34">
        <f t="shared" si="11"/>
        <v>849.03151625106887</v>
      </c>
      <c r="AQ108" s="34">
        <f t="shared" si="11"/>
        <v>882.81551858600119</v>
      </c>
      <c r="AR108" s="155"/>
      <c r="AS108" s="155"/>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c r="BR108" s="112"/>
      <c r="BS108" s="112"/>
      <c r="BT108" s="112"/>
    </row>
    <row r="109" spans="3:72" s="190" customFormat="1" ht="15" customHeight="1">
      <c r="E109" s="190" t="s">
        <v>454</v>
      </c>
      <c r="G109" s="190" t="s">
        <v>25</v>
      </c>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364">
        <f t="shared" ref="AJ109:AQ109" si="12">-AJ108*AJ104</f>
        <v>-51.324689143665104</v>
      </c>
      <c r="AK109" s="155">
        <f t="shared" si="12"/>
        <v>-54.79221968692611</v>
      </c>
      <c r="AL109" s="155">
        <f t="shared" si="12"/>
        <v>-57.961742566513806</v>
      </c>
      <c r="AM109" s="155">
        <f t="shared" si="12"/>
        <v>-61.366405545914411</v>
      </c>
      <c r="AN109" s="155">
        <f t="shared" si="12"/>
        <v>-62.635977711804706</v>
      </c>
      <c r="AO109" s="155">
        <f t="shared" si="12"/>
        <v>-64.718131794555021</v>
      </c>
      <c r="AP109" s="155">
        <f t="shared" si="12"/>
        <v>-67.922521300085506</v>
      </c>
      <c r="AQ109" s="155">
        <f t="shared" si="12"/>
        <v>-70.6252414868801</v>
      </c>
      <c r="AR109" s="155"/>
      <c r="AS109" s="155"/>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c r="BR109" s="112"/>
      <c r="BS109" s="112"/>
      <c r="BT109" s="112"/>
    </row>
    <row r="110" spans="3:72" s="190" customFormat="1" ht="15" customHeight="1">
      <c r="E110" s="190" t="s">
        <v>71</v>
      </c>
      <c r="G110" s="190" t="s">
        <v>25</v>
      </c>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26">
        <f t="shared" ref="AJ110:AQ110" si="13">AJ108 + AJ109</f>
        <v>590.23392515214869</v>
      </c>
      <c r="AK110" s="26">
        <f t="shared" si="13"/>
        <v>630.11052639965021</v>
      </c>
      <c r="AL110" s="26">
        <f t="shared" si="13"/>
        <v>666.56003951490879</v>
      </c>
      <c r="AM110" s="26">
        <f t="shared" si="13"/>
        <v>705.71366377801576</v>
      </c>
      <c r="AN110" s="26">
        <f t="shared" si="13"/>
        <v>720.31374368575416</v>
      </c>
      <c r="AO110" s="26">
        <f t="shared" si="13"/>
        <v>744.25851563738274</v>
      </c>
      <c r="AP110" s="26">
        <f t="shared" si="13"/>
        <v>781.1089949509834</v>
      </c>
      <c r="AQ110" s="26">
        <f t="shared" si="13"/>
        <v>812.19027709912109</v>
      </c>
      <c r="AR110" s="155"/>
      <c r="AS110" s="155"/>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c r="BR110" s="112"/>
      <c r="BS110" s="112"/>
      <c r="BT110" s="112"/>
    </row>
    <row r="111" spans="3:72" s="190" customFormat="1" ht="15" customHeight="1">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55"/>
      <c r="AK111" s="155"/>
      <c r="AL111" s="155"/>
      <c r="AM111" s="155"/>
      <c r="AN111" s="155"/>
      <c r="AO111" s="155"/>
      <c r="AP111" s="155"/>
      <c r="AQ111" s="155"/>
      <c r="AR111" s="155"/>
      <c r="AS111" s="155"/>
    </row>
    <row r="112" spans="3:72" s="190" customFormat="1" ht="15" customHeight="1">
      <c r="C112" s="292" t="s">
        <v>3</v>
      </c>
      <c r="D112" s="292"/>
      <c r="E112" s="292"/>
      <c r="F112" s="292"/>
      <c r="G112" s="292"/>
      <c r="H112" s="292"/>
      <c r="I112" s="292"/>
      <c r="J112" s="292"/>
      <c r="K112" s="292"/>
      <c r="L112" s="292"/>
      <c r="M112" s="292"/>
      <c r="N112" s="292"/>
      <c r="O112" s="292"/>
      <c r="P112" s="292"/>
      <c r="Q112" s="292"/>
      <c r="R112" s="292"/>
      <c r="S112" s="292"/>
      <c r="T112" s="292"/>
      <c r="U112" s="292"/>
      <c r="V112" s="292"/>
      <c r="W112" s="292"/>
      <c r="X112" s="292"/>
      <c r="Y112" s="292"/>
      <c r="Z112" s="292"/>
      <c r="AA112" s="292"/>
      <c r="AB112" s="292"/>
      <c r="AC112" s="292"/>
      <c r="AD112" s="292"/>
      <c r="AE112" s="292"/>
      <c r="AF112" s="292"/>
      <c r="AG112" s="292"/>
      <c r="AH112" s="292"/>
      <c r="AI112" s="292"/>
      <c r="AJ112" s="292"/>
      <c r="AK112" s="292"/>
      <c r="AL112" s="292"/>
      <c r="AM112" s="292"/>
      <c r="AN112" s="292"/>
      <c r="AO112" s="292"/>
      <c r="AP112" s="292"/>
      <c r="AQ112" s="292"/>
      <c r="AR112" s="155"/>
      <c r="AS112" s="155"/>
    </row>
    <row r="113" spans="3:72" s="190" customFormat="1" ht="15" customHeight="1">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row>
    <row r="114" spans="3:72" s="190" customFormat="1" ht="15" customHeight="1">
      <c r="E114" s="190" t="s">
        <v>24</v>
      </c>
      <c r="G114" s="190" t="s">
        <v>47</v>
      </c>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155"/>
      <c r="AI114" s="155"/>
      <c r="AJ114" s="230">
        <f>TaxTrigger!AJ128</f>
        <v>2.2200000000000001E-2</v>
      </c>
      <c r="AK114" s="230">
        <f>TaxTrigger!AK128</f>
        <v>2.2200000000000001E-2</v>
      </c>
      <c r="AL114" s="230">
        <f>TaxTrigger!AL128</f>
        <v>2.2200000000000001E-2</v>
      </c>
      <c r="AM114" s="230">
        <f>TaxTrigger!AM128</f>
        <v>2.2200000000000001E-2</v>
      </c>
      <c r="AN114" s="230">
        <f>TaxTrigger!AN128</f>
        <v>2.2200000000000001E-2</v>
      </c>
      <c r="AO114" s="230">
        <f>TaxTrigger!AO128</f>
        <v>2.2200000000000001E-2</v>
      </c>
      <c r="AP114" s="230">
        <f>TaxTrigger!AP128</f>
        <v>2.2200000000000001E-2</v>
      </c>
      <c r="AQ114" s="230">
        <f>TaxTrigger!AQ128</f>
        <v>2.2200000000000001E-2</v>
      </c>
      <c r="AR114" s="155"/>
      <c r="AS114" s="155"/>
    </row>
    <row r="115" spans="3:72" s="190" customFormat="1" ht="15" customHeight="1">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c r="AS115" s="155"/>
    </row>
    <row r="116" spans="3:72" s="190" customFormat="1" ht="15" customHeight="1">
      <c r="E116" s="190" t="s">
        <v>70</v>
      </c>
      <c r="G116" s="190" t="s">
        <v>25</v>
      </c>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42">
        <f>SUM(Input!AH393:AH395,Input!AI394:AI395)</f>
        <v>879.39409637333347</v>
      </c>
      <c r="AK116" s="155">
        <f t="shared" ref="AK116" si="14">AJ120</f>
        <v>975.91459084868768</v>
      </c>
      <c r="AL116" s="155">
        <f t="shared" ref="AL116:AQ116" si="15">AK120</f>
        <v>1072.727068272774</v>
      </c>
      <c r="AM116" s="155">
        <f t="shared" si="15"/>
        <v>1167.1569686805374</v>
      </c>
      <c r="AN116" s="155">
        <f t="shared" si="15"/>
        <v>1259.0304421028707</v>
      </c>
      <c r="AO116" s="155">
        <f t="shared" si="15"/>
        <v>1347.1462423800745</v>
      </c>
      <c r="AP116" s="155">
        <f t="shared" si="15"/>
        <v>1431.078124154041</v>
      </c>
      <c r="AQ116" s="155">
        <f t="shared" si="15"/>
        <v>1514.4917735843064</v>
      </c>
      <c r="AR116" s="155"/>
      <c r="AS116" s="155"/>
      <c r="AT116" s="112"/>
      <c r="AU116" s="112"/>
      <c r="AV116" s="112"/>
      <c r="AW116" s="112"/>
      <c r="AX116" s="112"/>
      <c r="AY116" s="112"/>
      <c r="AZ116" s="112"/>
      <c r="BA116" s="112"/>
      <c r="BB116" s="112"/>
      <c r="BC116" s="112"/>
      <c r="BD116" s="112"/>
      <c r="BE116" s="112"/>
      <c r="BF116" s="112"/>
      <c r="BG116" s="112"/>
      <c r="BH116" s="112"/>
      <c r="BI116" s="112"/>
      <c r="BJ116" s="112"/>
      <c r="BK116" s="112"/>
      <c r="BL116" s="112"/>
      <c r="BM116" s="112"/>
      <c r="BN116" s="112"/>
      <c r="BO116" s="112"/>
      <c r="BP116" s="112"/>
      <c r="BQ116" s="112"/>
      <c r="BR116" s="112"/>
      <c r="BS116" s="112"/>
      <c r="BT116" s="112"/>
    </row>
    <row r="117" spans="3:72" s="190" customFormat="1" ht="15" customHeight="1">
      <c r="E117" s="190" t="s">
        <v>72</v>
      </c>
      <c r="G117" s="190" t="s">
        <v>25</v>
      </c>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55">
        <f>AJ61*Input!AJ$59/Input!$AG$59</f>
        <v>121.06479053430367</v>
      </c>
      <c r="AK117" s="155">
        <f>AK61*Input!AK$59/Input!$AG$59</f>
        <v>124.112061242622</v>
      </c>
      <c r="AL117" s="155">
        <f>AL61*Input!AL$59/Input!$AG$59</f>
        <v>124.49323402157823</v>
      </c>
      <c r="AM117" s="155">
        <f>AM61*Input!AM$59/Input!$AG$59</f>
        <v>124.70526389460839</v>
      </c>
      <c r="AN117" s="155">
        <f>AN61*Input!AN$59/Input!$AG$59</f>
        <v>123.69358841223045</v>
      </c>
      <c r="AO117" s="155">
        <f>AO61*Input!AO$59/Input!$AG$59</f>
        <v>122.22302097462997</v>
      </c>
      <c r="AP117" s="155">
        <f>AP61*Input!AP$59/Input!$AG$59</f>
        <v>124.46797773668331</v>
      </c>
      <c r="AQ117" s="155">
        <f>AQ61*Input!AQ$59/Input!$AG$59</f>
        <v>128.37988075492757</v>
      </c>
      <c r="AR117" s="155"/>
      <c r="AS117" s="155"/>
      <c r="AT117" s="112"/>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c r="BR117" s="112"/>
      <c r="BS117" s="112"/>
      <c r="BT117" s="112"/>
    </row>
    <row r="118" spans="3:72" s="190" customFormat="1" ht="15" customHeight="1">
      <c r="E118" s="190" t="s">
        <v>73</v>
      </c>
      <c r="G118" s="190" t="s">
        <v>25</v>
      </c>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65">
        <f t="shared" ref="AJ118:AQ118" si="16">SUM(AJ116:AJ117)</f>
        <v>1000.4588869076372</v>
      </c>
      <c r="AK118" s="165">
        <f t="shared" si="16"/>
        <v>1100.0266520913096</v>
      </c>
      <c r="AL118" s="165">
        <f t="shared" si="16"/>
        <v>1197.2203022943522</v>
      </c>
      <c r="AM118" s="165">
        <f t="shared" si="16"/>
        <v>1291.8622325751458</v>
      </c>
      <c r="AN118" s="165">
        <f t="shared" si="16"/>
        <v>1382.724030515101</v>
      </c>
      <c r="AO118" s="165">
        <f t="shared" si="16"/>
        <v>1469.3692633547043</v>
      </c>
      <c r="AP118" s="165">
        <f t="shared" si="16"/>
        <v>1555.5461018907242</v>
      </c>
      <c r="AQ118" s="165">
        <f t="shared" si="16"/>
        <v>1642.8716543392341</v>
      </c>
      <c r="AR118" s="155"/>
      <c r="AS118" s="155"/>
      <c r="AT118" s="112"/>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c r="BR118" s="112"/>
      <c r="BS118" s="112"/>
      <c r="BT118" s="112"/>
    </row>
    <row r="119" spans="3:72" s="190" customFormat="1" ht="15" customHeight="1">
      <c r="E119" s="190" t="s">
        <v>453</v>
      </c>
      <c r="G119" s="190" t="s">
        <v>25</v>
      </c>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55">
        <f>-(SUM(Input!$AH$397,Input!$AH$398:$AI$399)+SUM($AI117:AJ117))*AJ114</f>
        <v>-24.544296058949541</v>
      </c>
      <c r="AK119" s="155">
        <f>-(SUM(Input!$AH$397,Input!$AH$398:$AI$399)+SUM($AI117:AK117))*AK114</f>
        <v>-27.299583818535751</v>
      </c>
      <c r="AL119" s="155">
        <f>-(SUM(Input!$AH$397,Input!$AH$398:$AI$399)+SUM($AI117:AL117))*AL114</f>
        <v>-30.063333613814788</v>
      </c>
      <c r="AM119" s="155">
        <f>-(SUM(Input!$AH$397,Input!$AH$398:$AI$399)+SUM($AI117:AM117))*AM114</f>
        <v>-32.831790472275095</v>
      </c>
      <c r="AN119" s="155">
        <f>-(SUM(Input!$AH$397,Input!$AH$398:$AI$399)+SUM($AI117:AN117))*AN114</f>
        <v>-35.577788135026616</v>
      </c>
      <c r="AO119" s="155">
        <f>-(SUM(Input!$AH$397,Input!$AH$398:$AI$399)+SUM($AI117:AO117))*AO114</f>
        <v>-38.291139200663402</v>
      </c>
      <c r="AP119" s="155">
        <f>-(SUM(Input!$AH$397,Input!$AH$398:$AI$399)+SUM($AI117:AP117))*AP114</f>
        <v>-41.054328306417766</v>
      </c>
      <c r="AQ119" s="155">
        <f>-(SUM(Input!$AH$397,Input!$AH$398:$AI$399)+SUM($AI117:AQ117))*AQ114</f>
        <v>-43.904361659177162</v>
      </c>
      <c r="AR119" s="155"/>
      <c r="AS119" s="155"/>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c r="BR119" s="112"/>
      <c r="BS119" s="112"/>
      <c r="BT119" s="112"/>
    </row>
    <row r="120" spans="3:72" s="190" customFormat="1" ht="15" customHeight="1">
      <c r="E120" s="190" t="s">
        <v>71</v>
      </c>
      <c r="G120" s="190" t="s">
        <v>25</v>
      </c>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38">
        <f t="shared" ref="AJ120:AQ120" si="17">AJ118+AJ119</f>
        <v>975.91459084868768</v>
      </c>
      <c r="AK120" s="38">
        <f t="shared" si="17"/>
        <v>1072.727068272774</v>
      </c>
      <c r="AL120" s="38">
        <f t="shared" si="17"/>
        <v>1167.1569686805374</v>
      </c>
      <c r="AM120" s="38">
        <f t="shared" si="17"/>
        <v>1259.0304421028707</v>
      </c>
      <c r="AN120" s="38">
        <f t="shared" si="17"/>
        <v>1347.1462423800745</v>
      </c>
      <c r="AO120" s="38">
        <f t="shared" si="17"/>
        <v>1431.078124154041</v>
      </c>
      <c r="AP120" s="38">
        <f t="shared" si="17"/>
        <v>1514.4917735843064</v>
      </c>
      <c r="AQ120" s="38">
        <f t="shared" si="17"/>
        <v>1598.967292680057</v>
      </c>
      <c r="AR120" s="155"/>
      <c r="AS120" s="155"/>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c r="BR120" s="112"/>
      <c r="BS120" s="112"/>
      <c r="BT120" s="112"/>
    </row>
    <row r="121" spans="3:72" s="190" customFormat="1" ht="15" customHeight="1">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55"/>
      <c r="AK121" s="155"/>
      <c r="AL121" s="155"/>
      <c r="AM121" s="155"/>
      <c r="AN121" s="155"/>
      <c r="AO121" s="155"/>
      <c r="AP121" s="155"/>
      <c r="AQ121" s="155"/>
      <c r="AR121" s="155"/>
      <c r="AS121" s="155"/>
    </row>
    <row r="122" spans="3:72" s="190" customFormat="1" ht="15" customHeight="1">
      <c r="C122" s="292" t="s">
        <v>96</v>
      </c>
      <c r="D122" s="292"/>
      <c r="E122" s="292"/>
      <c r="F122" s="292"/>
      <c r="G122" s="292"/>
      <c r="H122" s="292"/>
      <c r="I122" s="292"/>
      <c r="J122" s="292"/>
      <c r="K122" s="292"/>
      <c r="L122" s="292"/>
      <c r="M122" s="292"/>
      <c r="N122" s="292"/>
      <c r="O122" s="292"/>
      <c r="P122" s="292"/>
      <c r="Q122" s="292"/>
      <c r="R122" s="292"/>
      <c r="S122" s="292"/>
      <c r="T122" s="292"/>
      <c r="U122" s="292"/>
      <c r="V122" s="292"/>
      <c r="W122" s="292"/>
      <c r="X122" s="292"/>
      <c r="Y122" s="292"/>
      <c r="Z122" s="292"/>
      <c r="AA122" s="292"/>
      <c r="AB122" s="292"/>
      <c r="AC122" s="292"/>
      <c r="AD122" s="292"/>
      <c r="AE122" s="292"/>
      <c r="AF122" s="292"/>
      <c r="AG122" s="292"/>
      <c r="AH122" s="292"/>
      <c r="AI122" s="292"/>
      <c r="AJ122" s="292"/>
      <c r="AK122" s="292"/>
      <c r="AL122" s="292"/>
      <c r="AM122" s="292"/>
      <c r="AN122" s="292"/>
      <c r="AO122" s="292"/>
      <c r="AP122" s="292"/>
      <c r="AQ122" s="292"/>
      <c r="AR122" s="155"/>
      <c r="AS122" s="155"/>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12"/>
      <c r="BP122" s="112"/>
      <c r="BQ122" s="112"/>
      <c r="BR122" s="112"/>
      <c r="BS122" s="112"/>
      <c r="BT122" s="112"/>
    </row>
    <row r="123" spans="3:72" s="190" customFormat="1" ht="15" customHeight="1">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55"/>
      <c r="AK123" s="155"/>
      <c r="AL123" s="155"/>
      <c r="AM123" s="155"/>
      <c r="AN123" s="155"/>
      <c r="AO123" s="155"/>
      <c r="AP123" s="155"/>
      <c r="AQ123" s="155"/>
      <c r="AR123" s="155"/>
      <c r="AS123" s="155"/>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12"/>
      <c r="BP123" s="112"/>
      <c r="BQ123" s="112"/>
      <c r="BR123" s="112"/>
      <c r="BS123" s="112"/>
      <c r="BT123" s="112"/>
    </row>
    <row r="124" spans="3:72" s="190" customFormat="1" ht="15" customHeight="1">
      <c r="E124" s="190" t="s">
        <v>437</v>
      </c>
      <c r="G124" s="190" t="s">
        <v>25</v>
      </c>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55">
        <f t="shared" ref="AJ124:AQ124" si="18">-AJ109</f>
        <v>51.324689143665104</v>
      </c>
      <c r="AK124" s="155">
        <f t="shared" si="18"/>
        <v>54.79221968692611</v>
      </c>
      <c r="AL124" s="155">
        <f t="shared" si="18"/>
        <v>57.961742566513806</v>
      </c>
      <c r="AM124" s="155">
        <f t="shared" si="18"/>
        <v>61.366405545914411</v>
      </c>
      <c r="AN124" s="155">
        <f t="shared" si="18"/>
        <v>62.635977711804706</v>
      </c>
      <c r="AO124" s="155">
        <f t="shared" si="18"/>
        <v>64.718131794555021</v>
      </c>
      <c r="AP124" s="155">
        <f t="shared" si="18"/>
        <v>67.922521300085506</v>
      </c>
      <c r="AQ124" s="155">
        <f t="shared" si="18"/>
        <v>70.6252414868801</v>
      </c>
      <c r="AR124" s="155"/>
      <c r="AS124" s="155"/>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12"/>
      <c r="BP124" s="112"/>
      <c r="BQ124" s="112"/>
      <c r="BR124" s="112"/>
      <c r="BS124" s="112"/>
      <c r="BT124" s="112"/>
    </row>
    <row r="125" spans="3:72" s="190" customFormat="1" ht="15" customHeight="1">
      <c r="E125" s="190" t="s">
        <v>28</v>
      </c>
      <c r="G125" s="190" t="s">
        <v>25</v>
      </c>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55">
        <f t="shared" ref="AJ125:AQ125" si="19">-AJ99</f>
        <v>8.7240945358795798</v>
      </c>
      <c r="AK125" s="155">
        <f t="shared" si="19"/>
        <v>9.9253640759194806</v>
      </c>
      <c r="AL125" s="155">
        <f t="shared" si="19"/>
        <v>10.572797363129093</v>
      </c>
      <c r="AM125" s="155">
        <f t="shared" si="19"/>
        <v>11.314756080387932</v>
      </c>
      <c r="AN125" s="155">
        <f t="shared" si="19"/>
        <v>11.326119372001903</v>
      </c>
      <c r="AO125" s="155">
        <f t="shared" si="19"/>
        <v>11.302849042993733</v>
      </c>
      <c r="AP125" s="155">
        <f t="shared" si="19"/>
        <v>11.290334300988084</v>
      </c>
      <c r="AQ125" s="155">
        <f t="shared" si="19"/>
        <v>11.249233846496313</v>
      </c>
      <c r="AR125" s="155"/>
      <c r="AS125" s="155"/>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12"/>
      <c r="BP125" s="112"/>
      <c r="BQ125" s="112"/>
      <c r="BR125" s="112"/>
      <c r="BS125" s="112"/>
      <c r="BT125" s="112"/>
    </row>
    <row r="126" spans="3:72" s="190" customFormat="1" ht="15" customHeight="1">
      <c r="E126" s="190" t="s">
        <v>3</v>
      </c>
      <c r="G126" s="190" t="s">
        <v>25</v>
      </c>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f t="shared" ref="AJ126:AQ126" si="20">-AJ119</f>
        <v>24.544296058949541</v>
      </c>
      <c r="AK126" s="155">
        <f t="shared" si="20"/>
        <v>27.299583818535751</v>
      </c>
      <c r="AL126" s="155">
        <f t="shared" si="20"/>
        <v>30.063333613814788</v>
      </c>
      <c r="AM126" s="155">
        <f t="shared" si="20"/>
        <v>32.831790472275095</v>
      </c>
      <c r="AN126" s="155">
        <f t="shared" si="20"/>
        <v>35.577788135026616</v>
      </c>
      <c r="AO126" s="155">
        <f t="shared" si="20"/>
        <v>38.291139200663402</v>
      </c>
      <c r="AP126" s="155">
        <f t="shared" si="20"/>
        <v>41.054328306417766</v>
      </c>
      <c r="AQ126" s="155">
        <f t="shared" si="20"/>
        <v>43.904361659177162</v>
      </c>
      <c r="AR126" s="155"/>
      <c r="AS126" s="155"/>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12"/>
      <c r="BP126" s="112"/>
      <c r="BQ126" s="112"/>
      <c r="BR126" s="112"/>
      <c r="BS126" s="112"/>
      <c r="BT126" s="112"/>
    </row>
    <row r="127" spans="3:72" s="190" customFormat="1" ht="15" customHeight="1">
      <c r="E127" s="190" t="s">
        <v>2</v>
      </c>
      <c r="G127" s="190" t="s">
        <v>25</v>
      </c>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34">
        <f t="shared" ref="AJ127:AQ127" si="21">SUM(AJ124:AJ126)</f>
        <v>84.593079738494225</v>
      </c>
      <c r="AK127" s="34">
        <f t="shared" si="21"/>
        <v>92.017167581381344</v>
      </c>
      <c r="AL127" s="34">
        <f t="shared" si="21"/>
        <v>98.597873543457695</v>
      </c>
      <c r="AM127" s="34">
        <f t="shared" si="21"/>
        <v>105.51295209857744</v>
      </c>
      <c r="AN127" s="34">
        <f t="shared" si="21"/>
        <v>109.53988521883323</v>
      </c>
      <c r="AO127" s="34">
        <f t="shared" si="21"/>
        <v>114.31212003821216</v>
      </c>
      <c r="AP127" s="34">
        <f t="shared" si="21"/>
        <v>120.26718390749136</v>
      </c>
      <c r="AQ127" s="34">
        <f t="shared" si="21"/>
        <v>125.77883699255358</v>
      </c>
      <c r="AR127" s="155"/>
      <c r="AS127" s="155"/>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12"/>
      <c r="BP127" s="112"/>
      <c r="BQ127" s="112"/>
      <c r="BR127" s="112"/>
      <c r="BS127" s="112"/>
      <c r="BT127" s="112"/>
    </row>
    <row r="128" spans="3:72" s="190" customFormat="1" ht="15" customHeight="1">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55"/>
      <c r="AK128" s="155"/>
      <c r="AL128" s="155"/>
      <c r="AM128" s="155"/>
      <c r="AN128" s="155"/>
      <c r="AO128" s="155"/>
      <c r="AP128" s="155"/>
      <c r="AQ128" s="155"/>
      <c r="AR128" s="155"/>
      <c r="AS128" s="155"/>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12"/>
      <c r="BP128" s="112"/>
      <c r="BQ128" s="112"/>
      <c r="BR128" s="112"/>
      <c r="BS128" s="112"/>
      <c r="BT128" s="112"/>
    </row>
    <row r="129" spans="2:43" s="156" customFormat="1" ht="15" customHeight="1">
      <c r="B129" s="84" t="s">
        <v>51</v>
      </c>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84"/>
      <c r="AG129" s="84"/>
      <c r="AH129" s="84"/>
      <c r="AI129" s="84"/>
      <c r="AJ129" s="84"/>
      <c r="AK129" s="84"/>
      <c r="AL129" s="84"/>
      <c r="AM129" s="84"/>
      <c r="AN129" s="84"/>
      <c r="AO129" s="84"/>
      <c r="AP129" s="84"/>
      <c r="AQ129" s="84"/>
    </row>
    <row r="130" spans="2:43" ht="15" customHeight="1"/>
    <row r="131" spans="2:43" ht="15" hidden="1" customHeight="1"/>
    <row r="132" spans="2:43" ht="15" hidden="1" customHeight="1"/>
    <row r="133" spans="2:43" ht="15" hidden="1" customHeight="1"/>
    <row r="134" spans="2:43" ht="15" hidden="1" customHeight="1"/>
    <row r="135" spans="2:43" ht="15" hidden="1" customHeight="1"/>
    <row r="136" spans="2:43" ht="15" hidden="1" customHeight="1"/>
    <row r="137" spans="2:43" ht="15" hidden="1" customHeight="1"/>
    <row r="138" spans="2:43" ht="15" hidden="1" customHeight="1"/>
    <row r="139" spans="2:43" ht="15" hidden="1" customHeight="1"/>
    <row r="140" spans="2:43" ht="15" hidden="1" customHeight="1"/>
    <row r="141" spans="2:43" ht="15" hidden="1" customHeight="1"/>
    <row r="142" spans="2:43" ht="15" hidden="1" customHeight="1"/>
    <row r="143" spans="2:43" ht="15" hidden="1" customHeight="1"/>
    <row r="144" spans="2:43"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449" r:id="rId4" name="Drop Down 1">
              <controlPr defaultSize="0" autoLine="0" autoPict="0">
                <anchor moveWithCells="1">
                  <from>
                    <xdr:col>4</xdr:col>
                    <xdr:colOff>762000</xdr:colOff>
                    <xdr:row>0</xdr:row>
                    <xdr:rowOff>219075</xdr:rowOff>
                  </from>
                  <to>
                    <xdr:col>4</xdr:col>
                    <xdr:colOff>3200400</xdr:colOff>
                    <xdr:row>1</xdr:row>
                    <xdr:rowOff>142875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59999389629810485"/>
    <pageSetUpPr autoPageBreaks="0"/>
  </sheetPr>
  <dimension ref="A1:XDE383"/>
  <sheetViews>
    <sheetView zoomScale="70" zoomScaleNormal="70" zoomScaleSheetLayoutView="70" workbookViewId="0">
      <pane xSplit="35"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3" width="1.625" style="147" customWidth="1"/>
    <col min="4" max="4" width="4.25" style="147" customWidth="1"/>
    <col min="5" max="5" width="61.25" style="147" customWidth="1"/>
    <col min="6" max="6" width="5" style="147" customWidth="1"/>
    <col min="7" max="7" width="12.625" style="147" customWidth="1"/>
    <col min="8" max="8" width="1.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125" style="147" customWidth="1"/>
    <col min="44" max="44" width="1.625" style="147" customWidth="1"/>
    <col min="45" max="47" width="9" style="147" hidden="1"/>
    <col min="48" max="86" width="0" style="147" hidden="1"/>
    <col min="87" max="16333" width="9" style="147" hidden="1"/>
    <col min="16334" max="16384" width="0" style="147" hidden="1"/>
  </cols>
  <sheetData>
    <row r="1" spans="1:44" s="10" customFormat="1" ht="19.5">
      <c r="A1" s="307" t="s">
        <v>342</v>
      </c>
      <c r="J1" s="308"/>
      <c r="K1" s="308"/>
      <c r="L1" s="308"/>
      <c r="M1" s="308"/>
      <c r="N1" s="308"/>
      <c r="O1" s="308"/>
      <c r="P1" s="308"/>
      <c r="Q1" s="308"/>
      <c r="R1" s="308"/>
      <c r="S1" s="308"/>
      <c r="T1" s="308"/>
      <c r="U1" s="308"/>
      <c r="V1" s="308"/>
      <c r="W1" s="308"/>
      <c r="X1" s="308"/>
      <c r="AR1" s="309"/>
    </row>
    <row r="2" spans="1:44" s="10" customFormat="1" ht="15" customHeight="1">
      <c r="B2" s="10" t="str">
        <f>UserInterface!G17</f>
        <v>SSES</v>
      </c>
    </row>
    <row r="3" spans="1:44" s="10" customFormat="1" ht="15" customHeight="1"/>
    <row r="4" spans="1:44" s="10" customFormat="1" ht="15" customHeight="1"/>
    <row r="5" spans="1:44" s="10" customFormat="1" ht="15" customHeight="1"/>
    <row r="6" spans="1:44" s="10" customFormat="1" ht="15" customHeight="1">
      <c r="E6" s="9" t="s">
        <v>42</v>
      </c>
      <c r="F6" s="9"/>
      <c r="G6" s="9" t="s">
        <v>38</v>
      </c>
      <c r="H6" s="9"/>
      <c r="I6" s="9" t="s">
        <v>41</v>
      </c>
      <c r="AJ6" s="9" t="s">
        <v>39</v>
      </c>
    </row>
    <row r="7" spans="1:44" s="10" customFormat="1" ht="15" customHeight="1">
      <c r="E7" s="10" t="s">
        <v>231</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row>
    <row r="8" spans="1:44" ht="15" customHeight="1"/>
    <row r="9" spans="1:44" ht="15" customHeight="1">
      <c r="B9" s="294" t="s">
        <v>100</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c r="B10" s="191" t="s">
        <v>355</v>
      </c>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row>
    <row r="11" spans="1:44" ht="15" customHeight="1"/>
    <row r="12" spans="1:44" ht="15" customHeight="1"/>
    <row r="13" spans="1:44" s="155" customFormat="1" ht="15" customHeight="1">
      <c r="C13" s="292" t="s">
        <v>100</v>
      </c>
      <c r="D13" s="292"/>
      <c r="E13" s="292"/>
      <c r="F13" s="292"/>
      <c r="G13" s="292"/>
      <c r="H13" s="292"/>
      <c r="I13" s="292"/>
      <c r="J13" s="292"/>
      <c r="K13" s="292"/>
      <c r="L13" s="292"/>
      <c r="M13" s="292"/>
      <c r="N13" s="292"/>
      <c r="O13" s="292"/>
      <c r="P13" s="292"/>
      <c r="Q13" s="292"/>
      <c r="R13" s="292"/>
      <c r="S13" s="292"/>
      <c r="T13" s="292"/>
      <c r="U13" s="292"/>
      <c r="V13" s="292"/>
      <c r="W13" s="292"/>
      <c r="X13" s="292"/>
      <c r="Y13" s="292"/>
      <c r="Z13" s="292"/>
      <c r="AA13" s="292"/>
      <c r="AB13" s="292"/>
      <c r="AC13" s="292"/>
      <c r="AD13" s="292"/>
      <c r="AE13" s="292"/>
      <c r="AF13" s="292"/>
      <c r="AG13" s="292"/>
      <c r="AH13" s="292"/>
      <c r="AI13" s="292"/>
      <c r="AJ13" s="292"/>
      <c r="AK13" s="292"/>
      <c r="AL13" s="292"/>
      <c r="AM13" s="292"/>
      <c r="AN13" s="292"/>
      <c r="AO13" s="292"/>
      <c r="AP13" s="292"/>
      <c r="AQ13" s="292"/>
    </row>
    <row r="14" spans="1:44" s="155" customFormat="1" ht="15" customHeight="1">
      <c r="C14" s="192" t="s">
        <v>410</v>
      </c>
      <c r="D14" s="192"/>
      <c r="E14" s="192"/>
      <c r="F14" s="192"/>
      <c r="G14" s="192"/>
      <c r="H14" s="192"/>
      <c r="I14" s="192"/>
      <c r="J14" s="192"/>
      <c r="K14" s="192"/>
      <c r="L14" s="192"/>
      <c r="M14" s="192"/>
      <c r="N14" s="192"/>
      <c r="O14" s="192"/>
      <c r="P14" s="192"/>
      <c r="Q14" s="192"/>
      <c r="R14" s="192"/>
      <c r="S14" s="192"/>
      <c r="T14" s="192"/>
      <c r="U14" s="192"/>
      <c r="V14" s="192"/>
      <c r="W14" s="192"/>
      <c r="X14" s="192"/>
      <c r="Y14" s="192"/>
      <c r="Z14" s="192"/>
      <c r="AA14" s="192"/>
      <c r="AB14" s="192"/>
      <c r="AC14" s="192"/>
      <c r="AD14" s="192"/>
      <c r="AE14" s="192"/>
      <c r="AF14" s="192"/>
      <c r="AG14" s="194"/>
      <c r="AH14" s="194"/>
      <c r="AI14" s="194"/>
      <c r="AJ14" s="194"/>
      <c r="AK14" s="194"/>
      <c r="AL14" s="194"/>
      <c r="AM14" s="194"/>
      <c r="AN14" s="194"/>
      <c r="AO14" s="194"/>
      <c r="AP14" s="194"/>
      <c r="AQ14" s="194"/>
    </row>
    <row r="15" spans="1:44" s="155" customFormat="1" ht="15" customHeight="1">
      <c r="C15" s="192" t="s">
        <v>587</v>
      </c>
      <c r="D15" s="192"/>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4"/>
      <c r="AH15" s="194"/>
      <c r="AI15" s="194"/>
      <c r="AJ15" s="194"/>
      <c r="AK15" s="194"/>
      <c r="AL15" s="194"/>
      <c r="AM15" s="194"/>
      <c r="AN15" s="194"/>
      <c r="AO15" s="194"/>
      <c r="AP15" s="194"/>
      <c r="AQ15" s="194"/>
    </row>
    <row r="16" spans="1:44" s="155" customFormat="1" ht="15" customHeight="1">
      <c r="C16" s="192" t="s">
        <v>586</v>
      </c>
      <c r="D16" s="192"/>
      <c r="E16" s="192"/>
      <c r="F16" s="192"/>
      <c r="G16" s="192"/>
      <c r="H16" s="192"/>
      <c r="I16" s="192"/>
      <c r="J16" s="192"/>
      <c r="K16" s="192"/>
      <c r="L16" s="192"/>
      <c r="M16" s="192"/>
      <c r="N16" s="192"/>
      <c r="O16" s="192"/>
      <c r="P16" s="192"/>
      <c r="Q16" s="192"/>
      <c r="R16" s="192"/>
      <c r="S16" s="192"/>
      <c r="T16" s="192"/>
      <c r="U16" s="192"/>
      <c r="V16" s="192"/>
      <c r="W16" s="192"/>
      <c r="X16" s="192"/>
      <c r="Y16" s="192"/>
      <c r="Z16" s="192"/>
      <c r="AA16" s="192"/>
      <c r="AB16" s="192"/>
      <c r="AC16" s="192"/>
      <c r="AD16" s="192"/>
      <c r="AE16" s="192"/>
      <c r="AF16" s="192"/>
      <c r="AG16" s="194"/>
      <c r="AH16" s="194"/>
      <c r="AI16" s="194"/>
      <c r="AJ16" s="194"/>
      <c r="AK16" s="194"/>
      <c r="AL16" s="194"/>
      <c r="AM16" s="194"/>
      <c r="AN16" s="194"/>
      <c r="AO16" s="194"/>
      <c r="AP16" s="194"/>
      <c r="AQ16" s="194"/>
    </row>
    <row r="17" spans="3:46" s="155" customFormat="1" ht="15" customHeight="1">
      <c r="C17" s="192" t="s">
        <v>501</v>
      </c>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2"/>
      <c r="AB17" s="192"/>
      <c r="AC17" s="192"/>
      <c r="AD17" s="192"/>
      <c r="AE17" s="192"/>
      <c r="AF17" s="192"/>
      <c r="AG17" s="194"/>
      <c r="AH17" s="194"/>
      <c r="AI17" s="194"/>
      <c r="AJ17" s="194"/>
      <c r="AK17" s="194"/>
      <c r="AL17" s="194"/>
      <c r="AM17" s="194"/>
      <c r="AN17" s="194"/>
      <c r="AO17" s="194"/>
      <c r="AP17" s="194"/>
      <c r="AQ17" s="194"/>
    </row>
    <row r="18" spans="3:46" s="155" customFormat="1" ht="15" customHeight="1">
      <c r="E18" s="35"/>
      <c r="J18" s="33"/>
      <c r="K18" s="33"/>
      <c r="L18" s="33"/>
      <c r="M18" s="33"/>
      <c r="N18" s="33"/>
      <c r="O18" s="33"/>
      <c r="P18" s="33"/>
      <c r="Q18" s="33"/>
      <c r="R18" s="33"/>
      <c r="S18" s="33"/>
      <c r="T18" s="33"/>
      <c r="U18" s="33"/>
      <c r="V18" s="33"/>
      <c r="W18" s="33"/>
      <c r="X18" s="33"/>
    </row>
    <row r="19" spans="3:46" s="155" customFormat="1" ht="15" customHeight="1">
      <c r="E19" s="155" t="s">
        <v>254</v>
      </c>
      <c r="G19" s="155" t="s">
        <v>25</v>
      </c>
      <c r="J19" s="33"/>
      <c r="K19" s="33"/>
      <c r="L19" s="33"/>
      <c r="M19" s="33"/>
      <c r="N19" s="33"/>
      <c r="O19" s="33"/>
      <c r="P19" s="33"/>
      <c r="Q19" s="33"/>
      <c r="R19" s="33"/>
      <c r="S19" s="33"/>
      <c r="T19" s="33"/>
      <c r="U19" s="33"/>
      <c r="V19" s="33"/>
      <c r="W19" s="33"/>
      <c r="X19" s="33"/>
      <c r="AJ19" s="42"/>
      <c r="AK19" s="155">
        <f>AJ36</f>
        <v>-1472.8556385710554</v>
      </c>
      <c r="AL19" s="155">
        <f t="shared" ref="AL19:AQ19" si="0">AK36</f>
        <v>-1536.8578363030297</v>
      </c>
      <c r="AM19" s="155">
        <f t="shared" si="0"/>
        <v>-1596.3321389932398</v>
      </c>
      <c r="AN19" s="155">
        <f t="shared" si="0"/>
        <v>-1658.6880453500551</v>
      </c>
      <c r="AO19" s="155">
        <f t="shared" si="0"/>
        <v>-1686.3401909631209</v>
      </c>
      <c r="AP19" s="155">
        <f t="shared" si="0"/>
        <v>-1713.3388318787656</v>
      </c>
      <c r="AQ19" s="155">
        <f t="shared" si="0"/>
        <v>-1750.5265585681004</v>
      </c>
    </row>
    <row r="20" spans="3:46" s="155" customFormat="1" ht="15" customHeight="1">
      <c r="E20" s="155" t="s">
        <v>165</v>
      </c>
      <c r="G20" s="155" t="s">
        <v>25</v>
      </c>
      <c r="J20" s="33"/>
      <c r="K20" s="33"/>
      <c r="L20" s="33"/>
      <c r="M20" s="33"/>
      <c r="N20" s="33"/>
      <c r="O20" s="33"/>
      <c r="P20" s="33"/>
      <c r="Q20" s="33"/>
      <c r="R20" s="33"/>
      <c r="S20" s="33"/>
      <c r="T20" s="33"/>
      <c r="U20" s="33"/>
      <c r="V20" s="33"/>
      <c r="W20" s="33"/>
      <c r="X20" s="33"/>
      <c r="AJ20" s="42"/>
      <c r="AK20" s="155">
        <f>AK80</f>
        <v>0</v>
      </c>
      <c r="AL20" s="155">
        <f t="shared" ref="AL20:AQ20" si="1">AL80</f>
        <v>0</v>
      </c>
      <c r="AM20" s="155">
        <f t="shared" si="1"/>
        <v>0</v>
      </c>
      <c r="AN20" s="155">
        <f t="shared" si="1"/>
        <v>0</v>
      </c>
      <c r="AO20" s="155">
        <f t="shared" si="1"/>
        <v>0</v>
      </c>
      <c r="AP20" s="155">
        <f t="shared" si="1"/>
        <v>0</v>
      </c>
      <c r="AQ20" s="155">
        <f t="shared" si="1"/>
        <v>0</v>
      </c>
    </row>
    <row r="21" spans="3:46" s="155" customFormat="1" ht="15" customHeight="1">
      <c r="E21" s="155" t="s">
        <v>255</v>
      </c>
      <c r="G21" s="155" t="s">
        <v>25</v>
      </c>
      <c r="J21" s="33"/>
      <c r="K21" s="33"/>
      <c r="L21" s="33"/>
      <c r="M21" s="33"/>
      <c r="N21" s="33"/>
      <c r="O21" s="33"/>
      <c r="P21" s="33"/>
      <c r="Q21" s="33"/>
      <c r="R21" s="33"/>
      <c r="S21" s="33"/>
      <c r="T21" s="33"/>
      <c r="U21" s="33"/>
      <c r="V21" s="33"/>
      <c r="W21" s="33"/>
      <c r="X21" s="33"/>
      <c r="AJ21" s="42"/>
      <c r="AK21" s="157">
        <f>SUM(AK19:AK20)</f>
        <v>-1472.8556385710554</v>
      </c>
      <c r="AL21" s="165">
        <f t="shared" ref="AL21:AQ21" si="2">SUM(AL19:AL20)</f>
        <v>-1536.8578363030297</v>
      </c>
      <c r="AM21" s="165">
        <f t="shared" si="2"/>
        <v>-1596.3321389932398</v>
      </c>
      <c r="AN21" s="165">
        <f t="shared" si="2"/>
        <v>-1658.6880453500551</v>
      </c>
      <c r="AO21" s="165">
        <f t="shared" si="2"/>
        <v>-1686.3401909631209</v>
      </c>
      <c r="AP21" s="165">
        <f t="shared" si="2"/>
        <v>-1713.3388318787656</v>
      </c>
      <c r="AQ21" s="165">
        <f t="shared" si="2"/>
        <v>-1750.5265585681004</v>
      </c>
    </row>
    <row r="22" spans="3:46" s="155" customFormat="1" ht="15" customHeight="1">
      <c r="E22" s="155" t="s">
        <v>256</v>
      </c>
      <c r="G22" s="155" t="s">
        <v>25</v>
      </c>
      <c r="J22" s="33"/>
      <c r="K22" s="33"/>
      <c r="L22" s="33"/>
      <c r="M22" s="33"/>
      <c r="N22" s="33"/>
      <c r="O22" s="33"/>
      <c r="P22" s="33"/>
      <c r="Q22" s="33"/>
      <c r="R22" s="33"/>
      <c r="S22" s="33"/>
      <c r="T22" s="33"/>
      <c r="U22" s="33"/>
      <c r="V22" s="33"/>
      <c r="W22" s="33"/>
      <c r="X22" s="33"/>
      <c r="AJ22" s="110">
        <f>-AJ61 * (AJ50)</f>
        <v>-1415.4212477815211</v>
      </c>
      <c r="AK22" s="165">
        <f t="shared" ref="AK22:AQ22" si="3">SUM(AK21:AK21)</f>
        <v>-1472.8556385710554</v>
      </c>
      <c r="AL22" s="165">
        <f t="shared" si="3"/>
        <v>-1536.8578363030297</v>
      </c>
      <c r="AM22" s="165">
        <f t="shared" si="3"/>
        <v>-1596.3321389932398</v>
      </c>
      <c r="AN22" s="165">
        <f t="shared" si="3"/>
        <v>-1658.6880453500551</v>
      </c>
      <c r="AO22" s="165">
        <f t="shared" si="3"/>
        <v>-1686.3401909631209</v>
      </c>
      <c r="AP22" s="165">
        <f t="shared" si="3"/>
        <v>-1713.3388318787656</v>
      </c>
      <c r="AQ22" s="165">
        <f t="shared" si="3"/>
        <v>-1750.5265585681004</v>
      </c>
    </row>
    <row r="23" spans="3:46" s="155" customFormat="1" ht="15" customHeight="1">
      <c r="E23" s="155" t="s">
        <v>223</v>
      </c>
      <c r="G23" s="155" t="s">
        <v>25</v>
      </c>
      <c r="J23" s="33"/>
      <c r="K23" s="33"/>
      <c r="L23" s="33"/>
      <c r="M23" s="33"/>
      <c r="N23" s="33"/>
      <c r="O23" s="33"/>
      <c r="P23" s="33"/>
      <c r="Q23" s="33"/>
      <c r="R23" s="33"/>
      <c r="S23" s="33"/>
      <c r="T23" s="33"/>
      <c r="U23" s="33"/>
      <c r="V23" s="33"/>
      <c r="W23" s="33"/>
      <c r="X23" s="33"/>
      <c r="AJ23" s="155">
        <f>Revenue!AJ20*Input!AJ$59/Input!$AG$59</f>
        <v>488.23847296554055</v>
      </c>
      <c r="AK23" s="155">
        <f>Revenue!AK20*Input!AK$59/Input!$AG$59</f>
        <v>503.4905597135803</v>
      </c>
      <c r="AL23" s="155">
        <f>Revenue!AL20*Input!AL$59/Input!$AG$59</f>
        <v>520.39549786909345</v>
      </c>
      <c r="AM23" s="155">
        <f>Revenue!AM20*Input!AM$59/Input!$AG$59</f>
        <v>537.31845238652261</v>
      </c>
      <c r="AN23" s="155">
        <f>Revenue!AN20*Input!AN$59/Input!$AG$59</f>
        <v>554.07461361950561</v>
      </c>
      <c r="AO23" s="155">
        <f>Revenue!AO20*Input!AO$59/Input!$AG$59</f>
        <v>570.63014190066724</v>
      </c>
      <c r="AP23" s="155">
        <f>Revenue!AP20*Input!AP$59/Input!$AG$59</f>
        <v>588.31217980304655</v>
      </c>
      <c r="AQ23" s="155">
        <f>Revenue!AQ20*Input!AQ$59/Input!$AG$59</f>
        <v>606.26536534694696</v>
      </c>
    </row>
    <row r="24" spans="3:46" s="155" customFormat="1" ht="15" customHeight="1">
      <c r="E24" s="155" t="s">
        <v>585</v>
      </c>
      <c r="G24" s="155" t="s">
        <v>25</v>
      </c>
      <c r="J24" s="33"/>
      <c r="K24" s="33"/>
      <c r="L24" s="33"/>
      <c r="M24" s="33"/>
      <c r="N24" s="33"/>
      <c r="O24" s="33"/>
      <c r="P24" s="33"/>
      <c r="Q24" s="33"/>
      <c r="R24" s="33"/>
      <c r="S24" s="33"/>
      <c r="T24" s="33"/>
      <c r="U24" s="33"/>
      <c r="V24" s="33"/>
      <c r="W24" s="33"/>
      <c r="X24" s="33"/>
      <c r="AJ24" s="155">
        <f>DARTs!AJ62 * Input!AJ$59 / Input!$AG$59</f>
        <v>-23.174834663899759</v>
      </c>
      <c r="AK24" s="155">
        <f>DARTs!AK62 * Input!AK$59 / Input!$AG$59</f>
        <v>-25.573424208180878</v>
      </c>
      <c r="AL24" s="155">
        <f>DARTs!AL62 * Input!AL$59 / Input!$AG$59</f>
        <v>-28.243888236847106</v>
      </c>
      <c r="AM24" s="155">
        <f>DARTs!AM62 * Input!AM$59 / Input!$AG$59</f>
        <v>-30.618013089264799</v>
      </c>
      <c r="AN24" s="155">
        <f>DARTs!AN62 * Input!AN$59 / Input!$AG$59</f>
        <v>-31.845842676324093</v>
      </c>
      <c r="AO24" s="155">
        <f>DARTs!AO62 * Input!AO$59 / Input!$AG$59</f>
        <v>-32.817226458882409</v>
      </c>
      <c r="AP24" s="155">
        <f>DARTs!AP62 * Input!AP$59 / Input!$AG$59</f>
        <v>-33.90643508294837</v>
      </c>
      <c r="AQ24" s="155">
        <f>DARTs!AQ62 * Input!AQ$59 / Input!$AG$59</f>
        <v>-34.915377115177968</v>
      </c>
    </row>
    <row r="25" spans="3:46" ht="15" customHeight="1">
      <c r="D25" s="155"/>
      <c r="E25" s="190" t="s">
        <v>180</v>
      </c>
      <c r="G25" s="190" t="s">
        <v>25</v>
      </c>
      <c r="AI25" s="155"/>
      <c r="AJ25" s="147">
        <f>-Totex!AJ90 * Input!AJ59 / Input!$AG59</f>
        <v>-334.81029118206499</v>
      </c>
      <c r="AK25" s="147">
        <f>-Totex!AK90 * Input!AK59 / Input!$AG59</f>
        <v>-352.35194565146281</v>
      </c>
      <c r="AL25" s="147">
        <f>-Totex!AL90 * Input!AL59 / Input!$AG59</f>
        <v>-353.85843221886341</v>
      </c>
      <c r="AM25" s="147">
        <f>-Totex!AM90 * Input!AM59 / Input!$AG59</f>
        <v>-364.30786546146402</v>
      </c>
      <c r="AN25" s="147">
        <f>-Totex!AN90 * Input!AN59 / Input!$AG59</f>
        <v>-337.78700482067495</v>
      </c>
      <c r="AO25" s="147">
        <f>-Totex!AO90 * Input!AO59 / Input!$AG59</f>
        <v>-348.73759054488784</v>
      </c>
      <c r="AP25" s="147">
        <f>-Totex!AP90 * Input!AP59 / Input!$AG59</f>
        <v>-370.00984327897243</v>
      </c>
      <c r="AQ25" s="147">
        <f>-Totex!AQ90 * Input!AQ59 / Input!$AG59</f>
        <v>-371.70290986847976</v>
      </c>
      <c r="AR25" s="155"/>
      <c r="AS25" s="155"/>
      <c r="AT25" s="155"/>
    </row>
    <row r="26" spans="3:46" ht="15" customHeight="1">
      <c r="D26" s="155"/>
      <c r="E26" s="190" t="s">
        <v>181</v>
      </c>
      <c r="G26" s="190" t="s">
        <v>25</v>
      </c>
      <c r="AI26" s="155"/>
      <c r="AJ26" s="150">
        <f>-(Input!AJ264) * Input!AJ59 / Input!$AG59</f>
        <v>-64.662682394429936</v>
      </c>
      <c r="AK26" s="150">
        <f>-(Input!AK264) * Input!AK59 / Input!$AG59</f>
        <v>-61.723157151323178</v>
      </c>
      <c r="AL26" s="150">
        <f>-(Input!AL264) * Input!AL59 / Input!$AG59</f>
        <v>-65.094277224890163</v>
      </c>
      <c r="AM26" s="150">
        <f>-(Input!AM264) * Input!AM59 / Input!$AG59</f>
        <v>-67.115719844691938</v>
      </c>
      <c r="AN26" s="150">
        <f>-(Input!AN264) * Input!AN59 / Input!$AG59</f>
        <v>-70.496488930797412</v>
      </c>
      <c r="AO26" s="150">
        <f>-(Input!AO264) * Input!AO59 / Input!$AG59</f>
        <v>-71.349008071932147</v>
      </c>
      <c r="AP26" s="150">
        <f>-(Input!AP264) * Input!AP59 / Input!$AG59</f>
        <v>-72.692622098702358</v>
      </c>
      <c r="AQ26" s="150">
        <f>-(Input!AQ264) * Input!AQ59 / Input!$AG59</f>
        <v>-75.42286648002451</v>
      </c>
      <c r="AR26" s="155"/>
      <c r="AS26" s="155"/>
      <c r="AT26" s="155"/>
    </row>
    <row r="27" spans="3:46" ht="15" customHeight="1">
      <c r="D27" s="155"/>
      <c r="E27" s="155" t="s">
        <v>174</v>
      </c>
      <c r="F27" s="150"/>
      <c r="G27" s="190" t="s">
        <v>25</v>
      </c>
      <c r="H27" s="150"/>
      <c r="I27" s="150"/>
      <c r="J27" s="150"/>
      <c r="K27" s="150"/>
      <c r="L27" s="150"/>
      <c r="M27" s="150"/>
      <c r="N27" s="150"/>
      <c r="O27" s="150"/>
      <c r="P27" s="150"/>
      <c r="Q27" s="150"/>
      <c r="R27" s="150"/>
      <c r="S27" s="150"/>
      <c r="T27" s="150"/>
      <c r="U27" s="150"/>
      <c r="V27" s="150"/>
      <c r="W27" s="150"/>
      <c r="X27" s="150"/>
      <c r="Y27" s="150"/>
      <c r="Z27" s="150"/>
      <c r="AA27" s="150"/>
      <c r="AB27" s="150"/>
      <c r="AC27" s="150"/>
      <c r="AD27" s="150"/>
      <c r="AE27" s="150"/>
      <c r="AF27" s="150"/>
      <c r="AG27" s="150"/>
      <c r="AH27" s="150"/>
      <c r="AI27" s="150"/>
      <c r="AJ27" s="150">
        <f t="shared" ref="AJ27:AQ27" si="4">-AJ155</f>
        <v>-39.586710059297324</v>
      </c>
      <c r="AK27" s="150">
        <f t="shared" si="4"/>
        <v>-41.221767544007655</v>
      </c>
      <c r="AL27" s="150">
        <f t="shared" si="4"/>
        <v>-42.850114153490551</v>
      </c>
      <c r="AM27" s="150">
        <f t="shared" si="4"/>
        <v>-44.585507619450226</v>
      </c>
      <c r="AN27" s="150">
        <f t="shared" si="4"/>
        <v>-45.972772377178117</v>
      </c>
      <c r="AO27" s="150">
        <f t="shared" si="4"/>
        <v>-47.453158465357873</v>
      </c>
      <c r="AP27" s="150">
        <f t="shared" si="4"/>
        <v>-49.708997122088903</v>
      </c>
      <c r="AQ27" s="150">
        <f t="shared" si="4"/>
        <v>-51.982780596922886</v>
      </c>
      <c r="AR27" s="155"/>
      <c r="AS27" s="155"/>
      <c r="AT27" s="155"/>
    </row>
    <row r="28" spans="3:46" ht="15" customHeight="1">
      <c r="D28" s="155"/>
      <c r="E28" s="155" t="s">
        <v>577</v>
      </c>
      <c r="F28" s="150"/>
      <c r="G28" s="190" t="s">
        <v>25</v>
      </c>
      <c r="H28" s="150"/>
      <c r="I28" s="150"/>
      <c r="J28" s="150"/>
      <c r="K28" s="150"/>
      <c r="L28" s="150"/>
      <c r="M28" s="150"/>
      <c r="N28" s="150"/>
      <c r="O28" s="150"/>
      <c r="P28" s="150"/>
      <c r="Q28" s="150"/>
      <c r="R28" s="150"/>
      <c r="S28" s="150"/>
      <c r="T28" s="150"/>
      <c r="U28" s="150"/>
      <c r="V28" s="150"/>
      <c r="W28" s="150"/>
      <c r="X28" s="150"/>
      <c r="Y28" s="150"/>
      <c r="Z28" s="150"/>
      <c r="AA28" s="150"/>
      <c r="AB28" s="150"/>
      <c r="AC28" s="150"/>
      <c r="AD28" s="150"/>
      <c r="AE28" s="150"/>
      <c r="AF28" s="150"/>
      <c r="AG28" s="150"/>
      <c r="AH28" s="150"/>
      <c r="AI28" s="150"/>
      <c r="AJ28" s="150">
        <f xml:space="preserve"> - ((Input!AJ366) * $AJ$61) * Input!AJ59 / Input!$AG59</f>
        <v>0</v>
      </c>
      <c r="AK28" s="150">
        <f xml:space="preserve"> - ((Input!AK366) * $AJ$61) * Input!AK59 / Input!$AG59</f>
        <v>0</v>
      </c>
      <c r="AL28" s="150">
        <f xml:space="preserve"> - ((Input!AL366) * $AJ$61) * Input!AL59 / Input!$AG59</f>
        <v>0</v>
      </c>
      <c r="AM28" s="150">
        <f xml:space="preserve"> - ((Input!AM366) * $AJ$61) * Input!AM59 / Input!$AG59</f>
        <v>0</v>
      </c>
      <c r="AN28" s="150">
        <f xml:space="preserve"> - ((Input!AN366) * $AJ$61) * Input!AN59 / Input!$AG59</f>
        <v>0</v>
      </c>
      <c r="AO28" s="150">
        <f xml:space="preserve"> - ((Input!AO366) * $AJ$61) * Input!AO59 / Input!$AG59</f>
        <v>0</v>
      </c>
      <c r="AP28" s="150">
        <f xml:space="preserve"> - ((Input!AP366) * $AJ$61) * Input!AP59 / Input!$AG59</f>
        <v>0</v>
      </c>
      <c r="AQ28" s="150">
        <f xml:space="preserve"> - ((Input!AQ366) * $AJ$61) * Input!AQ59 / Input!$AG59</f>
        <v>0</v>
      </c>
      <c r="AR28" s="155"/>
      <c r="AS28" s="155"/>
      <c r="AT28" s="155"/>
    </row>
    <row r="29" spans="3:46" ht="15" customHeight="1">
      <c r="D29" s="155"/>
      <c r="E29" s="155" t="s">
        <v>540</v>
      </c>
      <c r="F29" s="150"/>
      <c r="G29" s="190" t="s">
        <v>25</v>
      </c>
      <c r="H29" s="150"/>
      <c r="I29" s="150"/>
      <c r="J29" s="150"/>
      <c r="K29" s="150"/>
      <c r="L29" s="150"/>
      <c r="M29" s="150"/>
      <c r="N29" s="150"/>
      <c r="O29" s="150"/>
      <c r="P29" s="150"/>
      <c r="Q29" s="150"/>
      <c r="R29" s="150"/>
      <c r="S29" s="150"/>
      <c r="T29" s="150"/>
      <c r="U29" s="150"/>
      <c r="V29" s="150"/>
      <c r="W29" s="150"/>
      <c r="X29" s="150"/>
      <c r="Y29" s="150"/>
      <c r="Z29" s="150"/>
      <c r="AA29" s="150"/>
      <c r="AB29" s="150"/>
      <c r="AC29" s="150"/>
      <c r="AD29" s="150"/>
      <c r="AE29" s="150"/>
      <c r="AF29" s="150"/>
      <c r="AG29" s="150"/>
      <c r="AH29" s="150"/>
      <c r="AI29" s="150"/>
      <c r="AJ29" s="150">
        <f>-(Input!AJ367) * Input!AJ59 / Input!$AG59</f>
        <v>0.32808787166649639</v>
      </c>
      <c r="AK29" s="150">
        <f>-(Input!AK367) * Input!AK59 / Input!$AG59</f>
        <v>0.33825850618166953</v>
      </c>
      <c r="AL29" s="150">
        <f>-(Input!AL367) * Input!AL59 / Input!$AG59</f>
        <v>0.34874425257995295</v>
      </c>
      <c r="AM29" s="150">
        <f>-(Input!AM367) * Input!AM59 / Input!$AG59</f>
        <v>0.35955491979156023</v>
      </c>
      <c r="AN29" s="150">
        <f>-(Input!AN367) * Input!AN59 / Input!$AG59</f>
        <v>0.37070154286298151</v>
      </c>
      <c r="AO29" s="150">
        <f>-(Input!AO367) * Input!AO59 / Input!$AG59</f>
        <v>0.38219270460815363</v>
      </c>
      <c r="AP29" s="150">
        <f>-(Input!AP367) * Input!AP59 / Input!$AG59</f>
        <v>0.39404066618984362</v>
      </c>
      <c r="AQ29" s="150">
        <f>-(Input!AQ367) * Input!AQ59 / Input!$AG59</f>
        <v>0.40625646265454174</v>
      </c>
      <c r="AR29" s="155"/>
      <c r="AS29" s="155"/>
      <c r="AT29" s="155"/>
    </row>
    <row r="30" spans="3:46" s="155" customFormat="1" ht="15" customHeight="1">
      <c r="E30" s="35" t="s">
        <v>414</v>
      </c>
      <c r="G30" s="155" t="s">
        <v>25</v>
      </c>
      <c r="J30" s="33"/>
      <c r="K30" s="33"/>
      <c r="L30" s="33"/>
      <c r="M30" s="33"/>
      <c r="N30" s="33"/>
      <c r="O30" s="33"/>
      <c r="P30" s="33"/>
      <c r="Q30" s="33"/>
      <c r="R30" s="33"/>
      <c r="S30" s="33"/>
      <c r="T30" s="33"/>
      <c r="U30" s="33"/>
      <c r="V30" s="33"/>
      <c r="W30" s="33"/>
      <c r="X30" s="33"/>
      <c r="AJ30" s="155">
        <f>-AJ145</f>
        <v>0</v>
      </c>
      <c r="AK30" s="155">
        <f t="shared" ref="AK30:AQ30" si="5">-AK145</f>
        <v>0</v>
      </c>
      <c r="AL30" s="155">
        <f t="shared" si="5"/>
        <v>0</v>
      </c>
      <c r="AM30" s="155">
        <f t="shared" si="5"/>
        <v>0</v>
      </c>
      <c r="AN30" s="155">
        <f t="shared" si="5"/>
        <v>0</v>
      </c>
      <c r="AO30" s="155">
        <f t="shared" si="5"/>
        <v>0</v>
      </c>
      <c r="AP30" s="155">
        <f t="shared" si="5"/>
        <v>0</v>
      </c>
      <c r="AQ30" s="155">
        <f t="shared" si="5"/>
        <v>0</v>
      </c>
    </row>
    <row r="31" spans="3:46" ht="15" customHeight="1">
      <c r="E31" s="190" t="s">
        <v>344</v>
      </c>
      <c r="F31" s="150"/>
      <c r="G31" s="155" t="s">
        <v>25</v>
      </c>
      <c r="H31" s="150"/>
      <c r="I31" s="150"/>
      <c r="J31" s="150"/>
      <c r="K31" s="150"/>
      <c r="L31" s="150"/>
      <c r="M31" s="150"/>
      <c r="N31" s="150"/>
      <c r="O31" s="150"/>
      <c r="P31" s="150"/>
      <c r="Q31" s="150"/>
      <c r="R31" s="150"/>
      <c r="S31" s="150"/>
      <c r="T31" s="150"/>
      <c r="U31" s="150"/>
      <c r="V31" s="150"/>
      <c r="W31" s="150"/>
      <c r="X31" s="150"/>
      <c r="Y31" s="150"/>
      <c r="Z31" s="150"/>
      <c r="AA31" s="150"/>
      <c r="AB31" s="150"/>
      <c r="AC31" s="150"/>
      <c r="AD31" s="150"/>
      <c r="AE31" s="150"/>
      <c r="AF31" s="150"/>
      <c r="AG31" s="150"/>
      <c r="AH31" s="150"/>
      <c r="AI31" s="150"/>
      <c r="AJ31" s="165">
        <f>SUM(AJ22:AJ30)</f>
        <v>-1389.0892052440063</v>
      </c>
      <c r="AK31" s="165">
        <f t="shared" ref="AK31:AQ31" si="6">SUM(AK22:AK30)</f>
        <v>-1449.8971149062679</v>
      </c>
      <c r="AL31" s="165">
        <f t="shared" si="6"/>
        <v>-1506.1603060154473</v>
      </c>
      <c r="AM31" s="165">
        <f t="shared" si="6"/>
        <v>-1565.2812377017967</v>
      </c>
      <c r="AN31" s="165">
        <f t="shared" si="6"/>
        <v>-1590.3448389926614</v>
      </c>
      <c r="AO31" s="165">
        <f t="shared" si="6"/>
        <v>-1615.6848398989057</v>
      </c>
      <c r="AP31" s="165">
        <f t="shared" si="6"/>
        <v>-1650.9505089922413</v>
      </c>
      <c r="AQ31" s="165">
        <f t="shared" si="6"/>
        <v>-1677.8788708191041</v>
      </c>
      <c r="AR31" s="155"/>
      <c r="AT31" s="155"/>
    </row>
    <row r="32" spans="3:46" ht="15" customHeight="1">
      <c r="E32" s="155" t="s">
        <v>350</v>
      </c>
      <c r="F32" s="150"/>
      <c r="G32" s="155" t="s">
        <v>25</v>
      </c>
      <c r="H32" s="150"/>
      <c r="I32" s="150"/>
      <c r="J32" s="150"/>
      <c r="K32" s="150"/>
      <c r="L32" s="150"/>
      <c r="M32" s="150"/>
      <c r="N32" s="150"/>
      <c r="O32" s="150"/>
      <c r="P32" s="150"/>
      <c r="Q32" s="150"/>
      <c r="R32" s="150"/>
      <c r="S32" s="150"/>
      <c r="T32" s="150"/>
      <c r="U32" s="150"/>
      <c r="V32" s="150"/>
      <c r="W32" s="150"/>
      <c r="X32" s="150"/>
      <c r="Y32" s="150"/>
      <c r="Z32" s="150"/>
      <c r="AA32" s="150"/>
      <c r="AB32" s="150"/>
      <c r="AC32" s="150"/>
      <c r="AD32" s="150"/>
      <c r="AE32" s="150"/>
      <c r="AF32" s="150"/>
      <c r="AG32" s="150"/>
      <c r="AH32" s="150"/>
      <c r="AI32" s="150"/>
      <c r="AJ32" s="155">
        <f>AJ131</f>
        <v>-69.192771256241571</v>
      </c>
      <c r="AK32" s="155">
        <f t="shared" ref="AK32:AQ32" si="7">AK131</f>
        <v>-72.108205249219466</v>
      </c>
      <c r="AL32" s="155">
        <f t="shared" si="7"/>
        <v>-75.07470718819674</v>
      </c>
      <c r="AM32" s="155">
        <f t="shared" si="7"/>
        <v>-78.000136188671974</v>
      </c>
      <c r="AN32" s="155">
        <f t="shared" si="7"/>
        <v>-80.159773183497379</v>
      </c>
      <c r="AO32" s="155">
        <f t="shared" si="7"/>
        <v>-81.463696547999021</v>
      </c>
      <c r="AP32" s="155">
        <f t="shared" si="7"/>
        <v>-83.001812699343844</v>
      </c>
      <c r="AQ32" s="155">
        <f t="shared" si="7"/>
        <v>-84.585483072951774</v>
      </c>
      <c r="AR32" s="155"/>
      <c r="AT32" s="155"/>
    </row>
    <row r="33" spans="2:46" ht="15" customHeight="1">
      <c r="E33" s="155" t="s">
        <v>349</v>
      </c>
      <c r="F33" s="150"/>
      <c r="G33" s="155" t="s">
        <v>25</v>
      </c>
      <c r="H33" s="150"/>
      <c r="I33" s="150"/>
      <c r="J33" s="150"/>
      <c r="K33" s="150"/>
      <c r="L33" s="150"/>
      <c r="M33" s="150"/>
      <c r="N33" s="150"/>
      <c r="O33" s="150"/>
      <c r="P33" s="150"/>
      <c r="Q33" s="150"/>
      <c r="R33" s="150"/>
      <c r="S33" s="150"/>
      <c r="T33" s="150"/>
      <c r="U33" s="150"/>
      <c r="V33" s="150"/>
      <c r="W33" s="150"/>
      <c r="X33" s="150"/>
      <c r="Y33" s="150"/>
      <c r="Z33" s="150"/>
      <c r="AA33" s="150"/>
      <c r="AB33" s="150"/>
      <c r="AC33" s="150"/>
      <c r="AD33" s="150"/>
      <c r="AE33" s="150"/>
      <c r="AF33" s="150"/>
      <c r="AG33" s="150"/>
      <c r="AH33" s="150"/>
      <c r="AI33" s="150"/>
      <c r="AJ33" s="155">
        <f>AJ133</f>
        <v>-11.145087660055367</v>
      </c>
      <c r="AK33" s="155">
        <f t="shared" ref="AK33:AQ33" si="8">AK133</f>
        <v>-11.614369214127873</v>
      </c>
      <c r="AL33" s="155">
        <f t="shared" si="8"/>
        <v>-12.092075291212055</v>
      </c>
      <c r="AM33" s="155">
        <f t="shared" si="8"/>
        <v>-12.563188545270087</v>
      </c>
      <c r="AN33" s="155">
        <f t="shared" si="8"/>
        <v>-12.911534636042585</v>
      </c>
      <c r="AO33" s="155">
        <f t="shared" si="8"/>
        <v>-13.120959134836056</v>
      </c>
      <c r="AP33" s="155">
        <f t="shared" si="8"/>
        <v>-13.369041201079508</v>
      </c>
      <c r="AQ33" s="155">
        <f t="shared" si="8"/>
        <v>-13.624437949421647</v>
      </c>
      <c r="AR33" s="155"/>
      <c r="AT33" s="155"/>
    </row>
    <row r="34" spans="2:46" s="155" customFormat="1" ht="15" customHeight="1">
      <c r="E34" s="155" t="s">
        <v>178</v>
      </c>
      <c r="G34" s="155" t="s">
        <v>25</v>
      </c>
      <c r="J34" s="33"/>
      <c r="K34" s="33"/>
      <c r="L34" s="33"/>
      <c r="M34" s="33"/>
      <c r="N34" s="33"/>
      <c r="O34" s="33"/>
      <c r="P34" s="33"/>
      <c r="Q34" s="33"/>
      <c r="R34" s="33"/>
      <c r="S34" s="33"/>
      <c r="T34" s="33"/>
      <c r="U34" s="33"/>
      <c r="V34" s="33"/>
      <c r="W34" s="33"/>
      <c r="X34" s="33"/>
      <c r="AJ34" s="19">
        <f>AJ197</f>
        <v>29.865974196084565</v>
      </c>
      <c r="AK34" s="155">
        <f t="shared" ref="AK34:AQ34" si="9">AK197</f>
        <v>30.651837427406615</v>
      </c>
      <c r="AL34" s="155">
        <f>AL197</f>
        <v>30.284545377883934</v>
      </c>
      <c r="AM34" s="155">
        <f t="shared" si="9"/>
        <v>30.421355423209349</v>
      </c>
      <c r="AN34" s="155">
        <f t="shared" si="9"/>
        <v>31.25770529141084</v>
      </c>
      <c r="AO34" s="155">
        <f t="shared" si="9"/>
        <v>32.849699890677847</v>
      </c>
      <c r="AP34" s="155">
        <f t="shared" si="9"/>
        <v>33.874004498316168</v>
      </c>
      <c r="AQ34" s="155">
        <f t="shared" si="9"/>
        <v>35.220895902070197</v>
      </c>
    </row>
    <row r="35" spans="2:46" ht="15" customHeight="1">
      <c r="E35" s="155" t="s">
        <v>175</v>
      </c>
      <c r="F35" s="150"/>
      <c r="G35" s="190" t="s">
        <v>25</v>
      </c>
      <c r="H35" s="150"/>
      <c r="I35" s="155"/>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f>-AJ229</f>
        <v>-33.294548606836734</v>
      </c>
      <c r="AK35" s="150">
        <f t="shared" ref="AK35:AQ35" si="10">-AK229</f>
        <v>-33.889984360820904</v>
      </c>
      <c r="AL35" s="150">
        <f t="shared" si="10"/>
        <v>-33.289595876267676</v>
      </c>
      <c r="AM35" s="150">
        <f t="shared" si="10"/>
        <v>-33.264838337525639</v>
      </c>
      <c r="AN35" s="150">
        <f t="shared" si="10"/>
        <v>-34.181749442330208</v>
      </c>
      <c r="AO35" s="150">
        <f t="shared" si="10"/>
        <v>-35.919036187702623</v>
      </c>
      <c r="AP35" s="150">
        <f t="shared" si="10"/>
        <v>-37.079200173752064</v>
      </c>
      <c r="AQ35" s="150">
        <f t="shared" si="10"/>
        <v>-38.592824605781971</v>
      </c>
      <c r="AR35" s="155"/>
      <c r="AT35" s="155"/>
    </row>
    <row r="36" spans="2:46" s="155" customFormat="1" ht="15" customHeight="1">
      <c r="E36" s="35" t="s">
        <v>250</v>
      </c>
      <c r="G36" s="155" t="s">
        <v>25</v>
      </c>
      <c r="J36" s="33"/>
      <c r="K36" s="33"/>
      <c r="L36" s="33"/>
      <c r="M36" s="33"/>
      <c r="N36" s="33"/>
      <c r="O36" s="33"/>
      <c r="P36" s="33"/>
      <c r="Q36" s="33"/>
      <c r="R36" s="33"/>
      <c r="S36" s="33"/>
      <c r="T36" s="33"/>
      <c r="U36" s="33"/>
      <c r="V36" s="33"/>
      <c r="W36" s="33"/>
      <c r="X36" s="33"/>
      <c r="AH36" s="34">
        <f t="shared" ref="AH36:AQ36" si="11">SUM(AH31:AH35)</f>
        <v>0</v>
      </c>
      <c r="AI36" s="34">
        <f t="shared" si="11"/>
        <v>0</v>
      </c>
      <c r="AJ36" s="34">
        <f t="shared" si="11"/>
        <v>-1472.8556385710554</v>
      </c>
      <c r="AK36" s="34">
        <f t="shared" si="11"/>
        <v>-1536.8578363030297</v>
      </c>
      <c r="AL36" s="34">
        <f t="shared" si="11"/>
        <v>-1596.3321389932398</v>
      </c>
      <c r="AM36" s="34">
        <f t="shared" si="11"/>
        <v>-1658.6880453500551</v>
      </c>
      <c r="AN36" s="34">
        <f t="shared" si="11"/>
        <v>-1686.3401909631209</v>
      </c>
      <c r="AO36" s="34">
        <f t="shared" si="11"/>
        <v>-1713.3388318787656</v>
      </c>
      <c r="AP36" s="34">
        <f t="shared" si="11"/>
        <v>-1750.5265585681004</v>
      </c>
      <c r="AQ36" s="34">
        <f t="shared" si="11"/>
        <v>-1779.4607205451894</v>
      </c>
    </row>
    <row r="37" spans="2:46" s="155" customFormat="1" ht="15" customHeight="1">
      <c r="E37" s="35"/>
      <c r="J37" s="33"/>
      <c r="K37" s="33"/>
      <c r="L37" s="33"/>
      <c r="M37" s="33"/>
      <c r="N37" s="33"/>
      <c r="O37" s="33"/>
      <c r="P37" s="33"/>
      <c r="Q37" s="33"/>
      <c r="R37" s="33"/>
      <c r="S37" s="33"/>
      <c r="T37" s="33"/>
      <c r="U37" s="33"/>
      <c r="V37" s="33"/>
      <c r="W37" s="33"/>
      <c r="X37" s="33"/>
    </row>
    <row r="38" spans="2:46" s="155" customFormat="1" ht="15" customHeight="1">
      <c r="C38" s="292" t="s">
        <v>246</v>
      </c>
      <c r="D38" s="292"/>
      <c r="E38" s="292"/>
      <c r="F38" s="292"/>
      <c r="G38" s="292"/>
      <c r="H38" s="292"/>
      <c r="I38" s="292"/>
      <c r="J38" s="292"/>
      <c r="K38" s="292"/>
      <c r="L38" s="292"/>
      <c r="M38" s="292"/>
      <c r="N38" s="292"/>
      <c r="O38" s="292"/>
      <c r="P38" s="292"/>
      <c r="Q38" s="292"/>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row>
    <row r="39" spans="2:46" s="155" customFormat="1" ht="15" customHeight="1">
      <c r="J39" s="33"/>
      <c r="K39" s="33"/>
      <c r="L39" s="33"/>
      <c r="M39" s="33"/>
      <c r="N39" s="33"/>
      <c r="O39" s="33"/>
      <c r="P39" s="33"/>
      <c r="Q39" s="33"/>
      <c r="R39" s="33"/>
      <c r="S39" s="33"/>
      <c r="T39" s="33"/>
      <c r="U39" s="33"/>
      <c r="V39" s="33"/>
      <c r="W39" s="33"/>
      <c r="X39" s="33"/>
    </row>
    <row r="40" spans="2:46" s="155" customFormat="1" ht="15" customHeight="1">
      <c r="E40" s="155" t="s">
        <v>247</v>
      </c>
      <c r="G40" s="155" t="s">
        <v>25</v>
      </c>
      <c r="J40" s="33"/>
      <c r="K40" s="33"/>
      <c r="L40" s="33"/>
      <c r="M40" s="33"/>
      <c r="N40" s="33"/>
      <c r="O40" s="33"/>
      <c r="P40" s="33"/>
      <c r="Q40" s="33"/>
      <c r="R40" s="33"/>
      <c r="S40" s="33"/>
      <c r="T40" s="33"/>
      <c r="U40" s="33"/>
      <c r="V40" s="33"/>
      <c r="W40" s="33"/>
      <c r="X40" s="33"/>
      <c r="AJ40" s="42"/>
      <c r="AK40" s="155">
        <f>AK19</f>
        <v>-1472.8556385710554</v>
      </c>
      <c r="AL40" s="155">
        <f t="shared" ref="AL40:AQ40" si="12">AL19</f>
        <v>-1536.8578363030297</v>
      </c>
      <c r="AM40" s="155">
        <f t="shared" si="12"/>
        <v>-1596.3321389932398</v>
      </c>
      <c r="AN40" s="155">
        <f t="shared" si="12"/>
        <v>-1658.6880453500551</v>
      </c>
      <c r="AO40" s="155">
        <f t="shared" si="12"/>
        <v>-1686.3401909631209</v>
      </c>
      <c r="AP40" s="155">
        <f t="shared" si="12"/>
        <v>-1713.3388318787656</v>
      </c>
      <c r="AQ40" s="155">
        <f t="shared" si="12"/>
        <v>-1750.5265585681004</v>
      </c>
    </row>
    <row r="41" spans="2:46" s="155" customFormat="1" ht="15" customHeight="1">
      <c r="E41" s="155" t="s">
        <v>248</v>
      </c>
      <c r="G41" s="155" t="s">
        <v>25</v>
      </c>
      <c r="J41" s="33"/>
      <c r="K41" s="33"/>
      <c r="L41" s="33"/>
      <c r="M41" s="33"/>
      <c r="N41" s="33"/>
      <c r="O41" s="33"/>
      <c r="P41" s="33"/>
      <c r="Q41" s="33"/>
      <c r="R41" s="33"/>
      <c r="S41" s="33"/>
      <c r="T41" s="33"/>
      <c r="U41" s="33"/>
      <c r="V41" s="33"/>
      <c r="W41" s="33"/>
      <c r="X41" s="33"/>
      <c r="AJ41" s="155">
        <f>AJ22</f>
        <v>-1415.4212477815211</v>
      </c>
      <c r="AK41" s="155">
        <f>AK21</f>
        <v>-1472.8556385710554</v>
      </c>
      <c r="AL41" s="155">
        <f t="shared" ref="AL41:AQ41" si="13">AL21</f>
        <v>-1536.8578363030297</v>
      </c>
      <c r="AM41" s="155">
        <f t="shared" si="13"/>
        <v>-1596.3321389932398</v>
      </c>
      <c r="AN41" s="155">
        <f t="shared" si="13"/>
        <v>-1658.6880453500551</v>
      </c>
      <c r="AO41" s="155">
        <f t="shared" si="13"/>
        <v>-1686.3401909631209</v>
      </c>
      <c r="AP41" s="155">
        <f t="shared" si="13"/>
        <v>-1713.3388318787656</v>
      </c>
      <c r="AQ41" s="155">
        <f t="shared" si="13"/>
        <v>-1750.5265585681004</v>
      </c>
    </row>
    <row r="42" spans="2:46" s="155" customFormat="1" ht="15" customHeight="1">
      <c r="J42" s="33"/>
      <c r="K42" s="33"/>
      <c r="L42" s="33"/>
      <c r="M42" s="33"/>
      <c r="N42" s="33"/>
      <c r="O42" s="33"/>
      <c r="P42" s="33"/>
      <c r="Q42" s="33"/>
      <c r="R42" s="33"/>
      <c r="S42" s="33"/>
      <c r="T42" s="33"/>
      <c r="U42" s="33"/>
      <c r="V42" s="33"/>
      <c r="W42" s="33"/>
      <c r="X42" s="33"/>
    </row>
    <row r="43" spans="2:46" s="155" customFormat="1" ht="15" customHeight="1">
      <c r="B43" s="294" t="s">
        <v>265</v>
      </c>
      <c r="C43" s="294"/>
      <c r="D43" s="294"/>
      <c r="E43" s="294"/>
      <c r="F43" s="294"/>
      <c r="G43" s="294"/>
      <c r="H43" s="294"/>
      <c r="I43" s="294"/>
      <c r="J43" s="294"/>
      <c r="K43" s="294"/>
      <c r="L43" s="294"/>
      <c r="M43" s="294"/>
      <c r="N43" s="294"/>
      <c r="O43" s="294"/>
      <c r="P43" s="294"/>
      <c r="Q43" s="294"/>
      <c r="R43" s="294"/>
      <c r="S43" s="294"/>
      <c r="T43" s="294"/>
      <c r="U43" s="294"/>
      <c r="V43" s="294"/>
      <c r="W43" s="294"/>
      <c r="X43" s="294"/>
      <c r="Y43" s="294"/>
      <c r="Z43" s="294"/>
      <c r="AA43" s="294"/>
      <c r="AB43" s="294"/>
      <c r="AC43" s="294"/>
      <c r="AD43" s="294"/>
      <c r="AE43" s="294"/>
      <c r="AF43" s="294"/>
      <c r="AG43" s="294"/>
      <c r="AH43" s="294"/>
      <c r="AI43" s="294"/>
      <c r="AJ43" s="294"/>
      <c r="AK43" s="294"/>
      <c r="AL43" s="294"/>
      <c r="AM43" s="294"/>
      <c r="AN43" s="294"/>
      <c r="AO43" s="294"/>
      <c r="AP43" s="294"/>
      <c r="AQ43" s="294"/>
    </row>
    <row r="44" spans="2:46" s="155" customFormat="1" ht="15" customHeight="1">
      <c r="E44" s="35"/>
      <c r="J44" s="33"/>
      <c r="K44" s="33"/>
      <c r="L44" s="33"/>
      <c r="M44" s="33"/>
      <c r="N44" s="33"/>
      <c r="O44" s="33"/>
      <c r="P44" s="33"/>
      <c r="Q44" s="33"/>
      <c r="R44" s="33"/>
      <c r="S44" s="33"/>
      <c r="T44" s="33"/>
      <c r="U44" s="33"/>
      <c r="V44" s="33"/>
      <c r="W44" s="33"/>
      <c r="X44" s="33"/>
    </row>
    <row r="45" spans="2:46" s="155" customFormat="1" ht="15" customHeight="1">
      <c r="C45" s="312" t="s">
        <v>269</v>
      </c>
      <c r="D45" s="312"/>
      <c r="E45" s="312"/>
      <c r="F45" s="312"/>
      <c r="G45" s="312"/>
      <c r="H45" s="312"/>
      <c r="I45" s="312"/>
      <c r="J45" s="312"/>
      <c r="K45" s="312"/>
      <c r="L45" s="312"/>
      <c r="M45" s="312"/>
      <c r="N45" s="312"/>
      <c r="O45" s="312"/>
      <c r="P45" s="312"/>
      <c r="Q45" s="312"/>
      <c r="R45" s="312"/>
      <c r="S45" s="312"/>
      <c r="T45" s="312"/>
      <c r="U45" s="312"/>
      <c r="V45" s="312"/>
      <c r="W45" s="312"/>
      <c r="X45" s="312"/>
      <c r="Y45" s="312"/>
      <c r="Z45" s="312"/>
      <c r="AA45" s="312"/>
      <c r="AB45" s="312"/>
      <c r="AC45" s="312"/>
      <c r="AD45" s="312"/>
      <c r="AE45" s="312"/>
      <c r="AF45" s="312"/>
      <c r="AG45" s="312"/>
      <c r="AH45" s="312"/>
      <c r="AI45" s="312"/>
      <c r="AJ45" s="312"/>
      <c r="AK45" s="312"/>
      <c r="AL45" s="312"/>
      <c r="AM45" s="312"/>
      <c r="AN45" s="312"/>
      <c r="AO45" s="312"/>
      <c r="AP45" s="312"/>
      <c r="AQ45" s="312"/>
    </row>
    <row r="46" spans="2:46" s="155" customFormat="1" ht="15" customHeight="1">
      <c r="C46" s="192" t="s">
        <v>466</v>
      </c>
      <c r="D46" s="192"/>
      <c r="E46" s="192"/>
      <c r="F46" s="192"/>
      <c r="G46" s="192"/>
      <c r="H46" s="192"/>
      <c r="I46" s="192"/>
      <c r="J46" s="192"/>
      <c r="K46" s="192"/>
      <c r="L46" s="192"/>
      <c r="M46" s="192"/>
      <c r="N46" s="192"/>
      <c r="O46" s="192"/>
      <c r="P46" s="192"/>
      <c r="Q46" s="192"/>
      <c r="R46" s="192"/>
      <c r="S46" s="192"/>
      <c r="T46" s="192"/>
      <c r="U46" s="192"/>
      <c r="V46" s="192"/>
      <c r="W46" s="192"/>
      <c r="X46" s="192"/>
      <c r="Y46" s="192"/>
      <c r="Z46" s="192"/>
      <c r="AA46" s="192"/>
      <c r="AB46" s="192"/>
      <c r="AC46" s="192"/>
      <c r="AD46" s="192"/>
      <c r="AE46" s="192"/>
      <c r="AF46" s="194"/>
      <c r="AG46" s="194"/>
      <c r="AH46" s="194"/>
      <c r="AI46" s="194"/>
      <c r="AJ46" s="192"/>
      <c r="AK46" s="192"/>
      <c r="AL46" s="192"/>
      <c r="AM46" s="192"/>
      <c r="AN46" s="192"/>
      <c r="AO46" s="192"/>
      <c r="AP46" s="192"/>
      <c r="AQ46" s="192"/>
    </row>
    <row r="47" spans="2:46" s="155" customFormat="1" ht="15" customHeight="1">
      <c r="E47" s="35"/>
      <c r="J47" s="33"/>
      <c r="K47" s="33"/>
      <c r="L47" s="33"/>
      <c r="M47" s="33"/>
      <c r="N47" s="33"/>
      <c r="O47" s="33"/>
      <c r="P47" s="33"/>
      <c r="Q47" s="33"/>
      <c r="R47" s="33"/>
      <c r="S47" s="33"/>
      <c r="T47" s="33"/>
      <c r="U47" s="33"/>
      <c r="V47" s="33"/>
      <c r="W47" s="33"/>
      <c r="X47" s="33"/>
    </row>
    <row r="48" spans="2:46" s="155" customFormat="1" ht="15" customHeight="1">
      <c r="E48" s="155" t="s">
        <v>247</v>
      </c>
      <c r="G48" s="155" t="s">
        <v>25</v>
      </c>
      <c r="J48" s="33"/>
      <c r="K48" s="33"/>
      <c r="L48" s="33"/>
      <c r="M48" s="33"/>
      <c r="N48" s="33"/>
      <c r="O48" s="33"/>
      <c r="P48" s="33"/>
      <c r="Q48" s="33"/>
      <c r="R48" s="33"/>
      <c r="S48" s="33"/>
      <c r="T48" s="33"/>
      <c r="U48" s="33"/>
      <c r="V48" s="33"/>
      <c r="W48" s="33"/>
      <c r="X48" s="33"/>
      <c r="AJ48" s="42"/>
      <c r="AK48" s="155">
        <f t="shared" ref="AK48:AQ48" si="14">AK40</f>
        <v>-1472.8556385710554</v>
      </c>
      <c r="AL48" s="155">
        <f t="shared" si="14"/>
        <v>-1536.8578363030297</v>
      </c>
      <c r="AM48" s="155">
        <f t="shared" si="14"/>
        <v>-1596.3321389932398</v>
      </c>
      <c r="AN48" s="155">
        <f t="shared" si="14"/>
        <v>-1658.6880453500551</v>
      </c>
      <c r="AO48" s="155">
        <f t="shared" si="14"/>
        <v>-1686.3401909631209</v>
      </c>
      <c r="AP48" s="155">
        <f t="shared" si="14"/>
        <v>-1713.3388318787656</v>
      </c>
      <c r="AQ48" s="155">
        <f t="shared" si="14"/>
        <v>-1750.5265585681004</v>
      </c>
    </row>
    <row r="49" spans="3:43" s="155" customFormat="1" ht="15" customHeight="1">
      <c r="E49" s="35"/>
      <c r="J49" s="33"/>
      <c r="K49" s="33"/>
      <c r="L49" s="33"/>
      <c r="M49" s="33"/>
      <c r="N49" s="33"/>
      <c r="O49" s="33"/>
      <c r="P49" s="33"/>
      <c r="Q49" s="33"/>
      <c r="R49" s="33"/>
      <c r="S49" s="33"/>
      <c r="T49" s="33"/>
      <c r="U49" s="33"/>
      <c r="V49" s="33"/>
      <c r="W49" s="33"/>
      <c r="X49" s="33"/>
    </row>
    <row r="50" spans="3:43" s="155" customFormat="1" ht="15" customHeight="1">
      <c r="E50" s="35" t="s">
        <v>238</v>
      </c>
      <c r="G50" s="155" t="s">
        <v>25</v>
      </c>
      <c r="J50" s="33"/>
      <c r="K50" s="33"/>
      <c r="L50" s="33"/>
      <c r="M50" s="33"/>
      <c r="N50" s="33"/>
      <c r="O50" s="33"/>
      <c r="P50" s="33"/>
      <c r="Q50" s="33"/>
      <c r="R50" s="33"/>
      <c r="S50" s="33"/>
      <c r="T50" s="33"/>
      <c r="U50" s="33"/>
      <c r="V50" s="33"/>
      <c r="W50" s="33"/>
      <c r="X50" s="33"/>
      <c r="AJ50" s="155">
        <f>('Return&amp;RAV'!AJ44)* Input!AI$59 / Input!$AG$59</f>
        <v>2177.5711504331093</v>
      </c>
      <c r="AK50" s="155">
        <f>('Return&amp;RAV'!AK44)* Input!AJ$59 / Input!$AG$59</f>
        <v>2262.0977176741326</v>
      </c>
      <c r="AL50" s="155">
        <f>('Return&amp;RAV'!AL44)* Input!AK$59 / Input!$AG$59</f>
        <v>2355.5295739432945</v>
      </c>
      <c r="AM50" s="155">
        <f>('Return&amp;RAV'!AM44)* Input!AL$59 / Input!$AG$59</f>
        <v>2448.5779516280313</v>
      </c>
      <c r="AN50" s="155">
        <f>('Return&amp;RAV'!AN44)* Input!AM$59 / Input!$AG$59</f>
        <v>2547.743292540013</v>
      </c>
      <c r="AO50" s="155">
        <f>('Return&amp;RAV'!AO44)* Input!AN$59 / Input!$AG$59</f>
        <v>2627.0155644101783</v>
      </c>
      <c r="AP50" s="155">
        <f>('Return&amp;RAV'!AP44)* Input!AO$59 / Input!$AG$59</f>
        <v>2711.6090551633069</v>
      </c>
      <c r="AQ50" s="155">
        <f>('Return&amp;RAV'!AQ44)* Input!AP$59 / Input!$AG$59</f>
        <v>2840.5141212622229</v>
      </c>
    </row>
    <row r="51" spans="3:43" s="155" customFormat="1" ht="15" customHeight="1">
      <c r="E51" s="35" t="s">
        <v>258</v>
      </c>
      <c r="G51" s="155" t="s">
        <v>25</v>
      </c>
      <c r="J51" s="33"/>
      <c r="K51" s="33"/>
      <c r="L51" s="33"/>
      <c r="M51" s="33"/>
      <c r="N51" s="33"/>
      <c r="O51" s="33"/>
      <c r="P51" s="33"/>
      <c r="Q51" s="33"/>
      <c r="R51" s="33"/>
      <c r="S51" s="33"/>
      <c r="T51" s="33"/>
      <c r="U51" s="33"/>
      <c r="V51" s="33"/>
      <c r="W51" s="33"/>
      <c r="X51" s="33"/>
      <c r="AJ51" s="165">
        <f t="shared" ref="AJ51:AQ51" si="15">SUM(AJ50:AJ50)</f>
        <v>2177.5711504331093</v>
      </c>
      <c r="AK51" s="165">
        <f t="shared" si="15"/>
        <v>2262.0977176741326</v>
      </c>
      <c r="AL51" s="165">
        <f t="shared" si="15"/>
        <v>2355.5295739432945</v>
      </c>
      <c r="AM51" s="165">
        <f t="shared" si="15"/>
        <v>2448.5779516280313</v>
      </c>
      <c r="AN51" s="165">
        <f t="shared" si="15"/>
        <v>2547.743292540013</v>
      </c>
      <c r="AO51" s="165">
        <f t="shared" si="15"/>
        <v>2627.0155644101783</v>
      </c>
      <c r="AP51" s="165">
        <f t="shared" si="15"/>
        <v>2711.6090551633069</v>
      </c>
      <c r="AQ51" s="165">
        <f t="shared" si="15"/>
        <v>2840.5141212622229</v>
      </c>
    </row>
    <row r="52" spans="3:43" s="155" customFormat="1" ht="15" customHeight="1">
      <c r="J52" s="33"/>
      <c r="K52" s="33"/>
      <c r="L52" s="33"/>
      <c r="M52" s="33"/>
      <c r="N52" s="33"/>
      <c r="O52" s="33"/>
      <c r="P52" s="33"/>
      <c r="Q52" s="33"/>
      <c r="R52" s="33"/>
      <c r="S52" s="33"/>
      <c r="T52" s="33"/>
      <c r="U52" s="33"/>
      <c r="V52" s="33"/>
      <c r="W52" s="33"/>
      <c r="X52" s="33"/>
    </row>
    <row r="53" spans="3:43" s="155" customFormat="1" ht="15" customHeight="1">
      <c r="E53" s="155" t="s">
        <v>257</v>
      </c>
      <c r="G53" s="155" t="s">
        <v>47</v>
      </c>
      <c r="J53" s="33"/>
      <c r="K53" s="33"/>
      <c r="L53" s="33"/>
      <c r="M53" s="33"/>
      <c r="N53" s="33"/>
      <c r="O53" s="33"/>
      <c r="P53" s="33"/>
      <c r="Q53" s="33"/>
      <c r="R53" s="33"/>
      <c r="S53" s="33"/>
      <c r="T53" s="33"/>
      <c r="U53" s="33"/>
      <c r="V53" s="33"/>
      <c r="W53" s="33"/>
      <c r="X53" s="33"/>
      <c r="AJ53" s="42"/>
      <c r="AK53" s="238">
        <f t="shared" ref="AK53:AQ53" si="16" xml:space="preserve"> - AK48 / AK$51</f>
        <v>0.65110168630797771</v>
      </c>
      <c r="AL53" s="239">
        <f t="shared" si="16"/>
        <v>0.65244684392997865</v>
      </c>
      <c r="AM53" s="239">
        <f t="shared" si="16"/>
        <v>0.65194254401084395</v>
      </c>
      <c r="AN53" s="239">
        <f t="shared" si="16"/>
        <v>0.65104206150078792</v>
      </c>
      <c r="AO53" s="239">
        <f t="shared" si="16"/>
        <v>0.6419224209437604</v>
      </c>
      <c r="AP53" s="239">
        <f t="shared" si="16"/>
        <v>0.63185319012573504</v>
      </c>
      <c r="AQ53" s="239">
        <f t="shared" si="16"/>
        <v>0.61627102835532777</v>
      </c>
    </row>
    <row r="54" spans="3:43" s="155" customFormat="1" ht="15" customHeight="1">
      <c r="E54" s="35"/>
      <c r="J54" s="33"/>
      <c r="K54" s="33"/>
      <c r="L54" s="33"/>
      <c r="M54" s="33"/>
      <c r="N54" s="33"/>
      <c r="O54" s="33"/>
      <c r="P54" s="33"/>
      <c r="Q54" s="33"/>
      <c r="R54" s="33"/>
      <c r="S54" s="33"/>
      <c r="T54" s="33"/>
      <c r="U54" s="33"/>
      <c r="V54" s="33"/>
      <c r="W54" s="33"/>
      <c r="X54" s="33"/>
      <c r="AJ54" s="41"/>
      <c r="AK54" s="41"/>
      <c r="AL54" s="41"/>
      <c r="AM54" s="41"/>
      <c r="AN54" s="41"/>
      <c r="AO54" s="41"/>
      <c r="AP54" s="41"/>
      <c r="AQ54" s="41"/>
    </row>
    <row r="55" spans="3:43" s="155" customFormat="1" ht="15" customHeight="1">
      <c r="C55" s="292" t="s">
        <v>182</v>
      </c>
      <c r="D55" s="292"/>
      <c r="E55" s="292"/>
      <c r="F55" s="292"/>
      <c r="G55" s="292"/>
      <c r="H55" s="292"/>
      <c r="I55" s="292"/>
      <c r="J55" s="292"/>
      <c r="K55" s="292"/>
      <c r="L55" s="292"/>
      <c r="M55" s="292"/>
      <c r="N55" s="292"/>
      <c r="O55" s="292"/>
      <c r="P55" s="292"/>
      <c r="Q55" s="292"/>
      <c r="R55" s="292"/>
      <c r="S55" s="292"/>
      <c r="T55" s="292"/>
      <c r="U55" s="292"/>
      <c r="V55" s="292"/>
      <c r="W55" s="292"/>
      <c r="X55" s="292"/>
      <c r="Y55" s="292"/>
      <c r="Z55" s="292"/>
      <c r="AA55" s="292"/>
      <c r="AB55" s="292"/>
      <c r="AC55" s="292"/>
      <c r="AD55" s="292"/>
      <c r="AE55" s="292"/>
      <c r="AF55" s="312"/>
      <c r="AG55" s="312"/>
      <c r="AH55" s="312"/>
      <c r="AI55" s="312"/>
      <c r="AJ55" s="292"/>
      <c r="AK55" s="292"/>
      <c r="AL55" s="292"/>
      <c r="AM55" s="292"/>
      <c r="AN55" s="292"/>
      <c r="AO55" s="292"/>
      <c r="AP55" s="292"/>
      <c r="AQ55" s="292"/>
    </row>
    <row r="56" spans="3:43" s="155" customFormat="1" ht="15" customHeight="1">
      <c r="C56" s="192" t="s">
        <v>432</v>
      </c>
      <c r="D56" s="192"/>
      <c r="E56" s="192"/>
      <c r="F56" s="192"/>
      <c r="G56" s="192"/>
      <c r="H56" s="192"/>
      <c r="I56" s="192"/>
      <c r="J56" s="192"/>
      <c r="K56" s="192"/>
      <c r="L56" s="192"/>
      <c r="M56" s="192"/>
      <c r="N56" s="192"/>
      <c r="O56" s="192"/>
      <c r="P56" s="192"/>
      <c r="Q56" s="192"/>
      <c r="R56" s="192"/>
      <c r="S56" s="192"/>
      <c r="T56" s="192"/>
      <c r="U56" s="192"/>
      <c r="V56" s="192"/>
      <c r="W56" s="192"/>
      <c r="X56" s="192"/>
      <c r="Y56" s="192"/>
      <c r="Z56" s="192"/>
      <c r="AA56" s="192"/>
      <c r="AB56" s="192"/>
      <c r="AC56" s="192"/>
      <c r="AD56" s="192"/>
      <c r="AE56" s="192"/>
      <c r="AF56" s="194"/>
      <c r="AG56" s="194"/>
      <c r="AH56" s="194"/>
      <c r="AI56" s="194"/>
      <c r="AJ56" s="192"/>
      <c r="AK56" s="192"/>
      <c r="AL56" s="192"/>
      <c r="AM56" s="192"/>
      <c r="AN56" s="192"/>
      <c r="AO56" s="192"/>
      <c r="AP56" s="192"/>
      <c r="AQ56" s="192"/>
    </row>
    <row r="57" spans="3:43" s="155" customFormat="1" ht="15" customHeight="1">
      <c r="C57" s="192" t="s">
        <v>462</v>
      </c>
      <c r="D57" s="192"/>
      <c r="E57" s="192"/>
      <c r="F57" s="192"/>
      <c r="G57" s="192"/>
      <c r="H57" s="192"/>
      <c r="I57" s="192"/>
      <c r="J57" s="192"/>
      <c r="K57" s="192"/>
      <c r="L57" s="192"/>
      <c r="M57" s="192"/>
      <c r="N57" s="192"/>
      <c r="O57" s="192"/>
      <c r="P57" s="192"/>
      <c r="Q57" s="192"/>
      <c r="R57" s="192"/>
      <c r="S57" s="192"/>
      <c r="T57" s="192"/>
      <c r="U57" s="192"/>
      <c r="V57" s="192"/>
      <c r="W57" s="192"/>
      <c r="X57" s="192"/>
      <c r="Y57" s="192"/>
      <c r="Z57" s="192"/>
      <c r="AA57" s="192"/>
      <c r="AB57" s="192"/>
      <c r="AC57" s="192"/>
      <c r="AD57" s="192"/>
      <c r="AE57" s="192"/>
      <c r="AF57" s="194"/>
      <c r="AG57" s="194"/>
      <c r="AH57" s="194"/>
      <c r="AI57" s="194"/>
      <c r="AJ57" s="192"/>
      <c r="AK57" s="192"/>
      <c r="AL57" s="192"/>
      <c r="AM57" s="192"/>
      <c r="AN57" s="192"/>
      <c r="AO57" s="192"/>
      <c r="AP57" s="192"/>
      <c r="AQ57" s="192"/>
    </row>
    <row r="58" spans="3:43" s="155" customFormat="1" ht="15" customHeight="1">
      <c r="E58" s="35"/>
      <c r="J58" s="33"/>
      <c r="K58" s="33"/>
      <c r="L58" s="33"/>
      <c r="M58" s="33"/>
      <c r="N58" s="33"/>
      <c r="O58" s="33"/>
      <c r="P58" s="33"/>
      <c r="Q58" s="33"/>
      <c r="R58" s="33"/>
      <c r="S58" s="33"/>
      <c r="T58" s="33"/>
      <c r="U58" s="33"/>
      <c r="V58" s="33"/>
      <c r="W58" s="33"/>
      <c r="X58" s="33"/>
    </row>
    <row r="59" spans="3:43" s="155" customFormat="1" ht="15" customHeight="1">
      <c r="E59" s="35"/>
      <c r="J59" s="33"/>
      <c r="K59" s="33"/>
      <c r="L59" s="33"/>
      <c r="M59" s="33"/>
      <c r="N59" s="33"/>
      <c r="O59" s="33"/>
      <c r="P59" s="33"/>
      <c r="Q59" s="33"/>
      <c r="R59" s="33"/>
      <c r="S59" s="33"/>
      <c r="T59" s="33"/>
      <c r="U59" s="33"/>
      <c r="V59" s="33"/>
      <c r="W59" s="33"/>
      <c r="X59" s="33"/>
      <c r="AI59" s="230"/>
    </row>
    <row r="60" spans="3:43" s="155" customFormat="1" ht="15" customHeight="1">
      <c r="E60" s="329" t="str">
        <f>"Notional Gearing in "&amp;TEXT($AI$7,"dd-mm-yyyy")</f>
        <v>Notional Gearing in 31-03-2015</v>
      </c>
      <c r="G60" s="41" t="s">
        <v>47</v>
      </c>
      <c r="I60" s="230"/>
      <c r="J60" s="240" t="s">
        <v>54</v>
      </c>
      <c r="K60" s="240"/>
      <c r="L60" s="240"/>
      <c r="M60" s="240"/>
      <c r="N60" s="240"/>
      <c r="O60" s="240"/>
      <c r="P60" s="240"/>
      <c r="Q60" s="240"/>
      <c r="R60" s="240"/>
      <c r="S60" s="240"/>
      <c r="T60" s="240"/>
      <c r="U60" s="240"/>
      <c r="V60" s="240"/>
      <c r="W60" s="240"/>
      <c r="X60" s="240"/>
      <c r="Y60" s="230"/>
      <c r="Z60" s="230"/>
      <c r="AA60" s="230"/>
      <c r="AB60" s="230"/>
      <c r="AC60" s="230"/>
      <c r="AD60" s="230"/>
      <c r="AE60" s="230"/>
      <c r="AF60" s="230"/>
      <c r="AG60" s="230"/>
      <c r="AH60" s="230"/>
      <c r="AI60" s="230"/>
      <c r="AJ60" s="230">
        <f>Input!AI51</f>
        <v>0.65</v>
      </c>
      <c r="AK60" s="329" t="str">
        <f>E60</f>
        <v>Notional Gearing in 31-03-2015</v>
      </c>
    </row>
    <row r="61" spans="3:43" s="155" customFormat="1" ht="15" customHeight="1">
      <c r="E61" s="329" t="str">
        <f>"Notional Gearing in "&amp;TEXT($AJ$7,"dd-mm-yyyy")</f>
        <v>Notional Gearing in 31-03-2016</v>
      </c>
      <c r="G61" s="41" t="s">
        <v>47</v>
      </c>
      <c r="I61" s="230"/>
      <c r="J61" s="240" t="s">
        <v>54</v>
      </c>
      <c r="K61" s="240"/>
      <c r="L61" s="240"/>
      <c r="M61" s="240"/>
      <c r="N61" s="240"/>
      <c r="O61" s="240"/>
      <c r="P61" s="240"/>
      <c r="Q61" s="240"/>
      <c r="R61" s="240"/>
      <c r="S61" s="240"/>
      <c r="T61" s="240"/>
      <c r="U61" s="240"/>
      <c r="V61" s="240"/>
      <c r="W61" s="240"/>
      <c r="X61" s="240"/>
      <c r="Y61" s="230"/>
      <c r="Z61" s="230"/>
      <c r="AA61" s="230"/>
      <c r="AB61" s="230"/>
      <c r="AC61" s="230"/>
      <c r="AD61" s="230"/>
      <c r="AE61" s="230"/>
      <c r="AF61" s="230"/>
      <c r="AG61" s="230"/>
      <c r="AH61" s="230"/>
      <c r="AJ61" s="328">
        <f>Input!AJ51</f>
        <v>0.65</v>
      </c>
      <c r="AK61" s="329" t="str">
        <f>E61</f>
        <v>Notional Gearing in 31-03-2016</v>
      </c>
      <c r="AL61" s="329"/>
      <c r="AM61" s="329"/>
      <c r="AN61" s="329"/>
      <c r="AO61" s="329"/>
      <c r="AP61" s="329"/>
      <c r="AQ61" s="329"/>
    </row>
    <row r="62" spans="3:43" s="155" customFormat="1" ht="15" customHeight="1">
      <c r="E62" s="35"/>
      <c r="I62" s="230"/>
      <c r="J62" s="240"/>
      <c r="K62" s="240"/>
      <c r="L62" s="240"/>
      <c r="M62" s="240"/>
      <c r="N62" s="240"/>
      <c r="O62" s="240"/>
      <c r="P62" s="240"/>
      <c r="Q62" s="240"/>
      <c r="R62" s="240"/>
      <c r="S62" s="240"/>
      <c r="T62" s="240"/>
      <c r="U62" s="240"/>
      <c r="V62" s="240"/>
      <c r="W62" s="240"/>
      <c r="X62" s="240"/>
      <c r="Y62" s="230"/>
      <c r="Z62" s="230"/>
      <c r="AA62" s="230"/>
      <c r="AB62" s="230"/>
      <c r="AC62" s="230"/>
      <c r="AD62" s="230"/>
      <c r="AE62" s="230"/>
      <c r="AF62" s="230"/>
      <c r="AG62" s="230"/>
      <c r="AH62" s="230"/>
      <c r="AI62" s="230"/>
      <c r="AJ62" s="230"/>
      <c r="AK62" s="41"/>
      <c r="AL62" s="41"/>
      <c r="AM62" s="41"/>
      <c r="AN62" s="41"/>
      <c r="AO62" s="41"/>
      <c r="AP62" s="41"/>
      <c r="AQ62" s="41"/>
    </row>
    <row r="63" spans="3:43" s="155" customFormat="1" ht="15" customHeight="1">
      <c r="E63" s="35" t="s">
        <v>144</v>
      </c>
      <c r="G63" s="155" t="s">
        <v>47</v>
      </c>
      <c r="I63" s="230"/>
      <c r="J63" s="240"/>
      <c r="K63" s="240"/>
      <c r="L63" s="240"/>
      <c r="M63" s="240"/>
      <c r="N63" s="240"/>
      <c r="O63" s="240"/>
      <c r="P63" s="240"/>
      <c r="Q63" s="240"/>
      <c r="R63" s="240"/>
      <c r="S63" s="240"/>
      <c r="T63" s="240"/>
      <c r="U63" s="240"/>
      <c r="V63" s="240"/>
      <c r="W63" s="240"/>
      <c r="X63" s="240"/>
      <c r="Y63" s="230"/>
      <c r="Z63" s="230"/>
      <c r="AA63" s="230"/>
      <c r="AB63" s="230"/>
      <c r="AC63" s="230"/>
      <c r="AD63" s="230"/>
      <c r="AE63" s="230"/>
      <c r="AF63" s="230"/>
      <c r="AG63" s="230"/>
      <c r="AH63" s="230"/>
      <c r="AI63" s="230"/>
      <c r="AJ63" s="241">
        <f>IF(AJ60 &gt;= AJ61+ Input!$I$83, AJ60 - AJ61, 0)</f>
        <v>0</v>
      </c>
    </row>
    <row r="64" spans="3:43" s="155" customFormat="1" ht="15" customHeight="1">
      <c r="E64" s="35" t="s">
        <v>258</v>
      </c>
      <c r="G64" s="155" t="s">
        <v>25</v>
      </c>
      <c r="J64" s="33"/>
      <c r="K64" s="33"/>
      <c r="L64" s="33"/>
      <c r="M64" s="33"/>
      <c r="N64" s="33"/>
      <c r="O64" s="33"/>
      <c r="P64" s="33"/>
      <c r="Q64" s="33"/>
      <c r="R64" s="33"/>
      <c r="S64" s="33"/>
      <c r="T64" s="33"/>
      <c r="U64" s="33"/>
      <c r="V64" s="33"/>
      <c r="W64" s="33"/>
      <c r="X64" s="33"/>
      <c r="AJ64" s="42">
        <f>AJ51</f>
        <v>2177.5711504331093</v>
      </c>
    </row>
    <row r="65" spans="3:44" s="155" customFormat="1" ht="15" customHeight="1">
      <c r="E65" s="35"/>
      <c r="J65" s="33"/>
      <c r="K65" s="33"/>
      <c r="L65" s="33"/>
      <c r="M65" s="33"/>
      <c r="N65" s="33"/>
      <c r="O65" s="33"/>
      <c r="P65" s="33"/>
      <c r="Q65" s="33"/>
      <c r="R65" s="33"/>
      <c r="S65" s="33"/>
      <c r="T65" s="33"/>
      <c r="U65" s="33"/>
      <c r="V65" s="33"/>
      <c r="W65" s="33"/>
      <c r="X65" s="33"/>
    </row>
    <row r="66" spans="3:44" s="155" customFormat="1" ht="15" customHeight="1">
      <c r="E66" s="155" t="s">
        <v>172</v>
      </c>
      <c r="G66" s="155" t="s">
        <v>25</v>
      </c>
      <c r="J66" s="33"/>
      <c r="K66" s="33"/>
      <c r="L66" s="33"/>
      <c r="M66" s="33"/>
      <c r="N66" s="33"/>
      <c r="O66" s="33"/>
      <c r="P66" s="33"/>
      <c r="Q66" s="33"/>
      <c r="R66" s="33"/>
      <c r="S66" s="33"/>
      <c r="T66" s="33"/>
      <c r="U66" s="33"/>
      <c r="V66" s="33"/>
      <c r="W66" s="33"/>
      <c r="X66" s="33"/>
      <c r="AJ66" s="105">
        <f xml:space="preserve"> AJ63 * AJ$64</f>
        <v>0</v>
      </c>
    </row>
    <row r="67" spans="3:44" s="155" customFormat="1" ht="15" customHeight="1">
      <c r="E67" s="35"/>
      <c r="J67" s="33"/>
      <c r="K67" s="33"/>
      <c r="L67" s="33"/>
      <c r="M67" s="33"/>
      <c r="N67" s="33"/>
      <c r="O67" s="33"/>
      <c r="P67" s="33"/>
      <c r="Q67" s="33"/>
      <c r="R67" s="33"/>
      <c r="S67" s="33"/>
      <c r="T67" s="33"/>
      <c r="U67" s="33"/>
      <c r="V67" s="33"/>
      <c r="W67" s="33"/>
      <c r="X67" s="33"/>
    </row>
    <row r="68" spans="3:44" s="155" customFormat="1" ht="15" customHeight="1">
      <c r="C68" s="292" t="s">
        <v>165</v>
      </c>
      <c r="D68" s="292"/>
      <c r="E68" s="292"/>
      <c r="F68" s="292"/>
      <c r="G68" s="292"/>
      <c r="H68" s="292"/>
      <c r="I68" s="292"/>
      <c r="J68" s="292"/>
      <c r="K68" s="292"/>
      <c r="L68" s="292"/>
      <c r="M68" s="292"/>
      <c r="N68" s="292"/>
      <c r="O68" s="292"/>
      <c r="P68" s="292"/>
      <c r="Q68" s="292"/>
      <c r="R68" s="292"/>
      <c r="S68" s="292"/>
      <c r="T68" s="292"/>
      <c r="U68" s="292"/>
      <c r="V68" s="292"/>
      <c r="W68" s="292"/>
      <c r="X68" s="292"/>
      <c r="Y68" s="292"/>
      <c r="Z68" s="292"/>
      <c r="AA68" s="292"/>
      <c r="AB68" s="292"/>
      <c r="AC68" s="292"/>
      <c r="AD68" s="292"/>
      <c r="AE68" s="292"/>
      <c r="AF68" s="312"/>
      <c r="AG68" s="312"/>
      <c r="AH68" s="312"/>
      <c r="AI68" s="312"/>
      <c r="AJ68" s="292"/>
      <c r="AK68" s="292"/>
      <c r="AL68" s="292"/>
      <c r="AM68" s="292"/>
      <c r="AN68" s="292"/>
      <c r="AO68" s="292"/>
      <c r="AP68" s="292"/>
      <c r="AQ68" s="292"/>
    </row>
    <row r="69" spans="3:44" s="155" customFormat="1" ht="15" customHeight="1">
      <c r="C69" s="192" t="s">
        <v>266</v>
      </c>
      <c r="D69" s="192"/>
      <c r="E69" s="192"/>
      <c r="F69" s="192"/>
      <c r="G69" s="192"/>
      <c r="H69" s="192"/>
      <c r="I69" s="192"/>
      <c r="J69" s="192"/>
      <c r="K69" s="192"/>
      <c r="L69" s="192"/>
      <c r="M69" s="192"/>
      <c r="N69" s="192"/>
      <c r="O69" s="192"/>
      <c r="P69" s="192"/>
      <c r="Q69" s="192"/>
      <c r="R69" s="192"/>
      <c r="S69" s="192"/>
      <c r="T69" s="192"/>
      <c r="U69" s="192"/>
      <c r="V69" s="192"/>
      <c r="W69" s="192"/>
      <c r="X69" s="192"/>
      <c r="Y69" s="192"/>
      <c r="Z69" s="192"/>
      <c r="AA69" s="192"/>
      <c r="AB69" s="192"/>
      <c r="AC69" s="192"/>
      <c r="AD69" s="192"/>
      <c r="AE69" s="192"/>
      <c r="AF69" s="194"/>
      <c r="AG69" s="194"/>
      <c r="AH69" s="194"/>
      <c r="AI69" s="194"/>
      <c r="AJ69" s="192"/>
      <c r="AK69" s="192"/>
      <c r="AL69" s="192"/>
      <c r="AM69" s="192"/>
      <c r="AN69" s="192"/>
      <c r="AO69" s="192"/>
      <c r="AP69" s="192"/>
      <c r="AQ69" s="192"/>
    </row>
    <row r="70" spans="3:44" s="155" customFormat="1" ht="15" customHeight="1">
      <c r="G70" s="190"/>
      <c r="J70" s="33"/>
      <c r="K70" s="33"/>
      <c r="L70" s="33"/>
      <c r="M70" s="33"/>
      <c r="N70" s="33"/>
      <c r="O70" s="33"/>
      <c r="P70" s="33"/>
      <c r="Q70" s="33"/>
      <c r="R70" s="33"/>
      <c r="S70" s="33"/>
      <c r="T70" s="33"/>
      <c r="U70" s="33"/>
      <c r="V70" s="33"/>
      <c r="W70" s="33"/>
      <c r="X70" s="33"/>
    </row>
    <row r="71" spans="3:44" s="155" customFormat="1" ht="15" customHeight="1">
      <c r="E71" s="155" t="s">
        <v>258</v>
      </c>
      <c r="G71" s="155" t="s">
        <v>25</v>
      </c>
      <c r="J71" s="33"/>
      <c r="K71" s="33"/>
      <c r="L71" s="33"/>
      <c r="M71" s="33"/>
      <c r="N71" s="33"/>
      <c r="O71" s="33"/>
      <c r="P71" s="33"/>
      <c r="Q71" s="33"/>
      <c r="R71" s="33"/>
      <c r="S71" s="33"/>
      <c r="T71" s="33"/>
      <c r="U71" s="33"/>
      <c r="V71" s="33"/>
      <c r="W71" s="33"/>
      <c r="X71" s="33"/>
      <c r="AK71" s="155">
        <f>AK51</f>
        <v>2262.0977176741326</v>
      </c>
      <c r="AL71" s="155">
        <f t="shared" ref="AL71:AQ71" si="17">AL51</f>
        <v>2355.5295739432945</v>
      </c>
      <c r="AM71" s="155">
        <f t="shared" si="17"/>
        <v>2448.5779516280313</v>
      </c>
      <c r="AN71" s="155">
        <f t="shared" si="17"/>
        <v>2547.743292540013</v>
      </c>
      <c r="AO71" s="155">
        <f t="shared" si="17"/>
        <v>2627.0155644101783</v>
      </c>
      <c r="AP71" s="155">
        <f t="shared" si="17"/>
        <v>2711.6090551633069</v>
      </c>
      <c r="AQ71" s="155">
        <f t="shared" si="17"/>
        <v>2840.5141212622229</v>
      </c>
    </row>
    <row r="72" spans="3:44" s="155" customFormat="1" ht="15" customHeight="1">
      <c r="G72" s="190"/>
      <c r="J72" s="33"/>
      <c r="K72" s="33"/>
      <c r="L72" s="33"/>
      <c r="M72" s="33"/>
      <c r="N72" s="33"/>
      <c r="O72" s="33"/>
      <c r="P72" s="33"/>
      <c r="Q72" s="33"/>
      <c r="R72" s="33"/>
      <c r="S72" s="33"/>
      <c r="T72" s="33"/>
      <c r="U72" s="33"/>
      <c r="V72" s="33"/>
      <c r="W72" s="33"/>
      <c r="X72" s="33"/>
    </row>
    <row r="73" spans="3:44" s="155" customFormat="1" ht="15" customHeight="1">
      <c r="E73" s="155" t="s">
        <v>257</v>
      </c>
      <c r="G73" s="190" t="s">
        <v>47</v>
      </c>
      <c r="J73" s="33"/>
      <c r="K73" s="33"/>
      <c r="L73" s="33"/>
      <c r="M73" s="33"/>
      <c r="N73" s="33"/>
      <c r="O73" s="33"/>
      <c r="P73" s="33"/>
      <c r="Q73" s="33"/>
      <c r="R73" s="33"/>
      <c r="S73" s="33"/>
      <c r="T73" s="33"/>
      <c r="U73" s="33"/>
      <c r="V73" s="33"/>
      <c r="W73" s="33"/>
      <c r="X73" s="33"/>
      <c r="AJ73" s="42"/>
      <c r="AK73" s="330">
        <f>AK53</f>
        <v>0.65110168630797771</v>
      </c>
      <c r="AL73" s="330">
        <f t="shared" ref="AL73:AQ73" si="18">AL53</f>
        <v>0.65244684392997865</v>
      </c>
      <c r="AM73" s="330">
        <f t="shared" si="18"/>
        <v>0.65194254401084395</v>
      </c>
      <c r="AN73" s="330">
        <f t="shared" si="18"/>
        <v>0.65104206150078792</v>
      </c>
      <c r="AO73" s="330">
        <f t="shared" si="18"/>
        <v>0.6419224209437604</v>
      </c>
      <c r="AP73" s="330">
        <f t="shared" si="18"/>
        <v>0.63185319012573504</v>
      </c>
      <c r="AQ73" s="330">
        <f t="shared" si="18"/>
        <v>0.61627102835532777</v>
      </c>
      <c r="AR73" s="230"/>
    </row>
    <row r="74" spans="3:44" s="155" customFormat="1" ht="15" customHeight="1">
      <c r="E74" s="155" t="s">
        <v>167</v>
      </c>
      <c r="G74" s="190" t="s">
        <v>47</v>
      </c>
      <c r="J74" s="33"/>
      <c r="K74" s="33"/>
      <c r="L74" s="33"/>
      <c r="M74" s="33"/>
      <c r="N74" s="33"/>
      <c r="O74" s="33"/>
      <c r="P74" s="33"/>
      <c r="Q74" s="33"/>
      <c r="R74" s="33"/>
      <c r="S74" s="33"/>
      <c r="T74" s="33"/>
      <c r="U74" s="33"/>
      <c r="V74" s="33"/>
      <c r="W74" s="33"/>
      <c r="X74" s="33"/>
      <c r="AJ74" s="42"/>
      <c r="AK74" s="330">
        <f>-Input!AK87</f>
        <v>-0.65</v>
      </c>
      <c r="AL74" s="330">
        <f>-Input!AL87</f>
        <v>-0.65</v>
      </c>
      <c r="AM74" s="330">
        <f>-Input!AM87</f>
        <v>-0.65</v>
      </c>
      <c r="AN74" s="330">
        <f>-Input!AN87</f>
        <v>-0.65</v>
      </c>
      <c r="AO74" s="330">
        <f>-Input!AO87</f>
        <v>-0.65</v>
      </c>
      <c r="AP74" s="330">
        <f>-Input!AP87</f>
        <v>-0.65</v>
      </c>
      <c r="AQ74" s="330">
        <f>-Input!AQ87</f>
        <v>-0.65</v>
      </c>
      <c r="AR74" s="230"/>
    </row>
    <row r="75" spans="3:44" s="155" customFormat="1" ht="15" customHeight="1">
      <c r="E75" s="155" t="s">
        <v>168</v>
      </c>
      <c r="G75" s="190" t="s">
        <v>47</v>
      </c>
      <c r="J75" s="33"/>
      <c r="K75" s="33"/>
      <c r="L75" s="33"/>
      <c r="M75" s="33"/>
      <c r="N75" s="33"/>
      <c r="O75" s="33"/>
      <c r="P75" s="33"/>
      <c r="Q75" s="33"/>
      <c r="R75" s="33"/>
      <c r="S75" s="33"/>
      <c r="T75" s="33"/>
      <c r="U75" s="33"/>
      <c r="V75" s="33"/>
      <c r="W75" s="33"/>
      <c r="X75" s="33"/>
      <c r="AJ75" s="42"/>
      <c r="AK75" s="331">
        <f>SUM(AK73:AK74)</f>
        <v>1.1016863079776895E-3</v>
      </c>
      <c r="AL75" s="332">
        <f t="shared" ref="AL75:AQ75" si="19">SUM(AL73:AL74)</f>
        <v>2.446843929978626E-3</v>
      </c>
      <c r="AM75" s="332">
        <f t="shared" si="19"/>
        <v>1.9425440108439274E-3</v>
      </c>
      <c r="AN75" s="332">
        <f t="shared" si="19"/>
        <v>1.0420615007878942E-3</v>
      </c>
      <c r="AO75" s="332">
        <f t="shared" si="19"/>
        <v>-8.0775790562396255E-3</v>
      </c>
      <c r="AP75" s="332">
        <f t="shared" si="19"/>
        <v>-1.814680987426498E-2</v>
      </c>
      <c r="AQ75" s="332">
        <f t="shared" si="19"/>
        <v>-3.3728971644672257E-2</v>
      </c>
      <c r="AR75" s="230"/>
    </row>
    <row r="76" spans="3:44" s="155" customFormat="1" ht="15" customHeight="1">
      <c r="G76" s="190"/>
      <c r="J76" s="33"/>
      <c r="K76" s="33"/>
      <c r="L76" s="33"/>
      <c r="M76" s="33"/>
      <c r="N76" s="33"/>
      <c r="O76" s="33"/>
      <c r="P76" s="33"/>
      <c r="Q76" s="33"/>
      <c r="R76" s="33"/>
      <c r="S76" s="33"/>
      <c r="T76" s="33"/>
      <c r="U76" s="33"/>
      <c r="V76" s="33"/>
      <c r="W76" s="33"/>
      <c r="X76" s="33"/>
    </row>
    <row r="77" spans="3:44" s="155" customFormat="1" ht="15" customHeight="1">
      <c r="E77" s="155" t="s">
        <v>169</v>
      </c>
      <c r="G77" s="190" t="s">
        <v>47</v>
      </c>
      <c r="I77" s="230">
        <f>Input!I83</f>
        <v>0.05</v>
      </c>
      <c r="J77" s="33"/>
      <c r="K77" s="33"/>
      <c r="L77" s="33"/>
      <c r="M77" s="33"/>
      <c r="N77" s="33"/>
      <c r="O77" s="33"/>
      <c r="P77" s="33"/>
      <c r="Q77" s="33"/>
      <c r="R77" s="33"/>
      <c r="S77" s="33"/>
      <c r="T77" s="33"/>
      <c r="U77" s="33"/>
      <c r="V77" s="33"/>
      <c r="W77" s="33"/>
      <c r="X77" s="33"/>
    </row>
    <row r="78" spans="3:44" s="155" customFormat="1" ht="15" customHeight="1">
      <c r="E78" s="155" t="s">
        <v>170</v>
      </c>
      <c r="G78" s="190" t="s">
        <v>59</v>
      </c>
      <c r="J78" s="33"/>
      <c r="K78" s="33"/>
      <c r="L78" s="33"/>
      <c r="M78" s="33"/>
      <c r="N78" s="33"/>
      <c r="O78" s="33"/>
      <c r="P78" s="33"/>
      <c r="Q78" s="33"/>
      <c r="R78" s="33"/>
      <c r="S78" s="33"/>
      <c r="T78" s="33"/>
      <c r="U78" s="33"/>
      <c r="V78" s="33"/>
      <c r="W78" s="33"/>
      <c r="X78" s="33"/>
      <c r="AJ78" s="42"/>
      <c r="AK78" s="145" t="b">
        <f>AK75 &gt;= $I77</f>
        <v>0</v>
      </c>
      <c r="AL78" s="145" t="b">
        <f t="shared" ref="AL78:AQ78" si="20">AL75 &gt;= $I77</f>
        <v>0</v>
      </c>
      <c r="AM78" s="145" t="b">
        <f t="shared" si="20"/>
        <v>0</v>
      </c>
      <c r="AN78" s="145" t="b">
        <f t="shared" si="20"/>
        <v>0</v>
      </c>
      <c r="AO78" s="145" t="b">
        <f t="shared" si="20"/>
        <v>0</v>
      </c>
      <c r="AP78" s="145" t="b">
        <f t="shared" si="20"/>
        <v>0</v>
      </c>
      <c r="AQ78" s="145" t="b">
        <f t="shared" si="20"/>
        <v>0</v>
      </c>
    </row>
    <row r="79" spans="3:44" s="155" customFormat="1" ht="15" customHeight="1">
      <c r="G79" s="190"/>
      <c r="J79" s="33"/>
      <c r="K79" s="33"/>
      <c r="L79" s="33"/>
      <c r="M79" s="33"/>
      <c r="N79" s="33"/>
      <c r="O79" s="33"/>
      <c r="P79" s="33"/>
      <c r="Q79" s="33"/>
      <c r="R79" s="33"/>
      <c r="S79" s="33"/>
      <c r="T79" s="33"/>
      <c r="U79" s="33"/>
      <c r="V79" s="33"/>
      <c r="W79" s="33"/>
      <c r="X79" s="33"/>
    </row>
    <row r="80" spans="3:44" s="155" customFormat="1" ht="15" customHeight="1">
      <c r="E80" s="155" t="s">
        <v>165</v>
      </c>
      <c r="G80" s="190" t="s">
        <v>25</v>
      </c>
      <c r="J80" s="33"/>
      <c r="K80" s="33"/>
      <c r="L80" s="33"/>
      <c r="M80" s="33"/>
      <c r="N80" s="33"/>
      <c r="O80" s="33"/>
      <c r="P80" s="33"/>
      <c r="Q80" s="33"/>
      <c r="R80" s="33"/>
      <c r="S80" s="33"/>
      <c r="T80" s="33"/>
      <c r="U80" s="33"/>
      <c r="V80" s="33"/>
      <c r="W80" s="33"/>
      <c r="X80" s="33"/>
      <c r="AJ80" s="42"/>
      <c r="AK80" s="38">
        <f>AK71 * AK75 * AK78</f>
        <v>0</v>
      </c>
      <c r="AL80" s="38">
        <f t="shared" ref="AL80:AQ80" si="21">AL71 * AL75 * AL78</f>
        <v>0</v>
      </c>
      <c r="AM80" s="38">
        <f t="shared" si="21"/>
        <v>0</v>
      </c>
      <c r="AN80" s="38">
        <f t="shared" si="21"/>
        <v>0</v>
      </c>
      <c r="AO80" s="38">
        <f>AO71 * AO75 * AO78</f>
        <v>0</v>
      </c>
      <c r="AP80" s="38">
        <f t="shared" si="21"/>
        <v>0</v>
      </c>
      <c r="AQ80" s="38">
        <f t="shared" si="21"/>
        <v>0</v>
      </c>
    </row>
    <row r="81" spans="2:43" s="155" customFormat="1" ht="15" customHeight="1">
      <c r="E81" s="35"/>
      <c r="J81" s="33"/>
      <c r="K81" s="33"/>
      <c r="L81" s="33"/>
      <c r="M81" s="33"/>
      <c r="N81" s="33"/>
      <c r="O81" s="33"/>
      <c r="P81" s="33"/>
      <c r="Q81" s="33"/>
      <c r="R81" s="33"/>
      <c r="S81" s="33"/>
      <c r="T81" s="33"/>
      <c r="U81" s="33"/>
      <c r="V81" s="33"/>
      <c r="W81" s="33"/>
      <c r="X81" s="33"/>
    </row>
    <row r="82" spans="2:43" s="155" customFormat="1" ht="15" customHeight="1">
      <c r="C82" s="291" t="s">
        <v>588</v>
      </c>
      <c r="D82" s="291"/>
      <c r="E82" s="291"/>
      <c r="F82" s="291"/>
      <c r="G82" s="291"/>
      <c r="H82" s="291"/>
      <c r="I82" s="291"/>
      <c r="J82" s="291"/>
      <c r="K82" s="291"/>
      <c r="L82" s="291"/>
      <c r="M82" s="291"/>
      <c r="N82" s="291"/>
      <c r="O82" s="291"/>
      <c r="P82" s="291"/>
      <c r="Q82" s="291"/>
      <c r="R82" s="291"/>
      <c r="S82" s="291"/>
      <c r="T82" s="291"/>
      <c r="U82" s="291"/>
      <c r="V82" s="291"/>
      <c r="W82" s="291"/>
      <c r="X82" s="291"/>
      <c r="Y82" s="291"/>
      <c r="Z82" s="291"/>
      <c r="AA82" s="291"/>
      <c r="AB82" s="291"/>
      <c r="AC82" s="291"/>
      <c r="AD82" s="291"/>
      <c r="AE82" s="291"/>
      <c r="AF82" s="291"/>
      <c r="AG82" s="291"/>
      <c r="AH82" s="291"/>
      <c r="AI82" s="291"/>
      <c r="AJ82" s="291"/>
      <c r="AK82" s="291"/>
      <c r="AL82" s="291"/>
      <c r="AM82" s="291"/>
      <c r="AN82" s="291"/>
      <c r="AO82" s="291"/>
      <c r="AP82" s="291"/>
      <c r="AQ82" s="291"/>
    </row>
    <row r="83" spans="2:43" s="155" customFormat="1" ht="15" customHeight="1">
      <c r="C83" s="192" t="s">
        <v>589</v>
      </c>
      <c r="D83" s="192"/>
      <c r="E83" s="192"/>
      <c r="F83" s="192"/>
      <c r="G83" s="192"/>
      <c r="H83" s="192"/>
      <c r="I83" s="192"/>
      <c r="J83" s="192"/>
      <c r="K83" s="192"/>
      <c r="L83" s="192"/>
      <c r="M83" s="192"/>
      <c r="N83" s="192"/>
      <c r="O83" s="192"/>
      <c r="P83" s="192"/>
      <c r="Q83" s="192"/>
      <c r="R83" s="192"/>
      <c r="S83" s="192"/>
      <c r="T83" s="192"/>
      <c r="U83" s="192"/>
      <c r="V83" s="192"/>
      <c r="W83" s="192"/>
      <c r="X83" s="192"/>
      <c r="Y83" s="192"/>
      <c r="Z83" s="192"/>
      <c r="AA83" s="192"/>
      <c r="AB83" s="192"/>
      <c r="AC83" s="192"/>
      <c r="AD83" s="192"/>
      <c r="AE83" s="192"/>
      <c r="AF83" s="194"/>
      <c r="AG83" s="194"/>
      <c r="AH83" s="194"/>
      <c r="AI83" s="194"/>
      <c r="AJ83" s="192"/>
      <c r="AK83" s="192"/>
      <c r="AL83" s="192"/>
      <c r="AM83" s="192"/>
      <c r="AN83" s="192"/>
      <c r="AO83" s="192"/>
      <c r="AP83" s="192"/>
      <c r="AQ83" s="192"/>
    </row>
    <row r="84" spans="2:43" s="155" customFormat="1" ht="15" customHeight="1">
      <c r="E84" s="35"/>
      <c r="J84" s="33"/>
      <c r="K84" s="33"/>
      <c r="L84" s="33"/>
      <c r="M84" s="33"/>
      <c r="N84" s="33"/>
      <c r="O84" s="33"/>
      <c r="P84" s="33"/>
      <c r="Q84" s="33"/>
      <c r="R84" s="33"/>
      <c r="S84" s="33"/>
      <c r="T84" s="33"/>
      <c r="U84" s="33"/>
      <c r="V84" s="33"/>
      <c r="W84" s="33"/>
      <c r="X84" s="33"/>
    </row>
    <row r="85" spans="2:43" s="155" customFormat="1" ht="15" customHeight="1">
      <c r="E85" s="35"/>
      <c r="J85" s="33"/>
      <c r="K85" s="33"/>
      <c r="L85" s="33"/>
      <c r="M85" s="33"/>
      <c r="N85" s="33"/>
      <c r="O85" s="33"/>
      <c r="P85" s="33"/>
      <c r="Q85" s="33"/>
      <c r="R85" s="33"/>
      <c r="S85" s="33"/>
      <c r="T85" s="33"/>
      <c r="U85" s="33"/>
      <c r="V85" s="33"/>
      <c r="W85" s="33"/>
      <c r="X85" s="33"/>
    </row>
    <row r="86" spans="2:43" s="155" customFormat="1" ht="15" customHeight="1">
      <c r="E86" s="155" t="s">
        <v>248</v>
      </c>
      <c r="G86" s="190" t="s">
        <v>25</v>
      </c>
      <c r="J86" s="33"/>
      <c r="K86" s="33"/>
      <c r="L86" s="33"/>
      <c r="M86" s="33"/>
      <c r="N86" s="33"/>
      <c r="O86" s="33"/>
      <c r="P86" s="33"/>
      <c r="Q86" s="33"/>
      <c r="R86" s="33"/>
      <c r="S86" s="33"/>
      <c r="T86" s="33"/>
      <c r="U86" s="33"/>
      <c r="V86" s="33"/>
      <c r="W86" s="33"/>
      <c r="X86" s="33"/>
      <c r="AJ86" s="155">
        <f>AJ41</f>
        <v>-1415.4212477815211</v>
      </c>
      <c r="AK86" s="155">
        <f>AK41</f>
        <v>-1472.8556385710554</v>
      </c>
      <c r="AL86" s="155">
        <f t="shared" ref="AL86:AQ86" si="22">AL41</f>
        <v>-1536.8578363030297</v>
      </c>
      <c r="AM86" s="155">
        <f t="shared" si="22"/>
        <v>-1596.3321389932398</v>
      </c>
      <c r="AN86" s="155">
        <f t="shared" si="22"/>
        <v>-1658.6880453500551</v>
      </c>
      <c r="AO86" s="155">
        <f t="shared" si="22"/>
        <v>-1686.3401909631209</v>
      </c>
      <c r="AP86" s="155">
        <f t="shared" si="22"/>
        <v>-1713.3388318787656</v>
      </c>
      <c r="AQ86" s="155">
        <f t="shared" si="22"/>
        <v>-1750.5265585681004</v>
      </c>
    </row>
    <row r="87" spans="2:43" s="155" customFormat="1" ht="15" customHeight="1">
      <c r="E87" s="35" t="s">
        <v>258</v>
      </c>
      <c r="G87" s="190" t="s">
        <v>25</v>
      </c>
      <c r="J87" s="33"/>
      <c r="K87" s="33"/>
      <c r="L87" s="33"/>
      <c r="M87" s="33"/>
      <c r="N87" s="33"/>
      <c r="O87" s="33"/>
      <c r="P87" s="33"/>
      <c r="Q87" s="33"/>
      <c r="R87" s="33"/>
      <c r="S87" s="33"/>
      <c r="T87" s="33"/>
      <c r="U87" s="33"/>
      <c r="V87" s="33"/>
      <c r="W87" s="33"/>
      <c r="X87" s="33"/>
      <c r="AJ87" s="155">
        <f>AJ51</f>
        <v>2177.5711504331093</v>
      </c>
      <c r="AK87" s="155">
        <f t="shared" ref="AK87:AQ87" si="23">AK51</f>
        <v>2262.0977176741326</v>
      </c>
      <c r="AL87" s="155">
        <f t="shared" si="23"/>
        <v>2355.5295739432945</v>
      </c>
      <c r="AM87" s="155">
        <f t="shared" si="23"/>
        <v>2448.5779516280313</v>
      </c>
      <c r="AN87" s="155">
        <f t="shared" si="23"/>
        <v>2547.743292540013</v>
      </c>
      <c r="AO87" s="155">
        <f t="shared" si="23"/>
        <v>2627.0155644101783</v>
      </c>
      <c r="AP87" s="155">
        <f t="shared" si="23"/>
        <v>2711.6090551633069</v>
      </c>
      <c r="AQ87" s="155">
        <f t="shared" si="23"/>
        <v>2840.5141212622229</v>
      </c>
    </row>
    <row r="88" spans="2:43" s="155" customFormat="1" ht="15" customHeight="1">
      <c r="E88" s="35"/>
      <c r="J88" s="33"/>
      <c r="K88" s="33"/>
      <c r="L88" s="33"/>
      <c r="M88" s="33"/>
      <c r="N88" s="33"/>
      <c r="O88" s="33"/>
      <c r="P88" s="33"/>
      <c r="Q88" s="33"/>
      <c r="R88" s="33"/>
      <c r="S88" s="33"/>
      <c r="T88" s="33"/>
      <c r="U88" s="33"/>
      <c r="V88" s="33"/>
      <c r="W88" s="33"/>
      <c r="X88" s="33"/>
    </row>
    <row r="89" spans="2:43" s="155" customFormat="1" ht="15" customHeight="1">
      <c r="E89" s="155" t="s">
        <v>259</v>
      </c>
      <c r="G89" s="155" t="s">
        <v>47</v>
      </c>
      <c r="J89" s="33"/>
      <c r="K89" s="33"/>
      <c r="L89" s="33"/>
      <c r="M89" s="33"/>
      <c r="N89" s="33"/>
      <c r="O89" s="33"/>
      <c r="P89" s="33"/>
      <c r="Q89" s="33"/>
      <c r="R89" s="33"/>
      <c r="S89" s="33"/>
      <c r="T89" s="33"/>
      <c r="U89" s="33"/>
      <c r="V89" s="33"/>
      <c r="W89" s="33"/>
      <c r="X89" s="33"/>
      <c r="AJ89" s="239">
        <f t="shared" ref="AJ89:AQ89" si="24">-AJ86/AJ87</f>
        <v>0.65</v>
      </c>
      <c r="AK89" s="239">
        <f t="shared" si="24"/>
        <v>0.65110168630797771</v>
      </c>
      <c r="AL89" s="239">
        <f t="shared" si="24"/>
        <v>0.65244684392997865</v>
      </c>
      <c r="AM89" s="239">
        <f t="shared" si="24"/>
        <v>0.65194254401084395</v>
      </c>
      <c r="AN89" s="239">
        <f t="shared" si="24"/>
        <v>0.65104206150078792</v>
      </c>
      <c r="AO89" s="239">
        <f t="shared" si="24"/>
        <v>0.6419224209437604</v>
      </c>
      <c r="AP89" s="239">
        <f t="shared" si="24"/>
        <v>0.63185319012573504</v>
      </c>
      <c r="AQ89" s="239">
        <f t="shared" si="24"/>
        <v>0.61627102835532777</v>
      </c>
    </row>
    <row r="90" spans="2:43" s="155" customFormat="1" ht="15" customHeight="1">
      <c r="E90" s="35"/>
      <c r="J90" s="33"/>
      <c r="K90" s="33"/>
      <c r="L90" s="33"/>
      <c r="M90" s="33"/>
      <c r="N90" s="33"/>
      <c r="O90" s="33"/>
      <c r="P90" s="33"/>
      <c r="Q90" s="33"/>
      <c r="R90" s="33"/>
      <c r="S90" s="33"/>
      <c r="T90" s="33"/>
      <c r="U90" s="33"/>
      <c r="V90" s="33"/>
      <c r="W90" s="33"/>
      <c r="X90" s="33"/>
    </row>
    <row r="91" spans="2:43" s="155" customFormat="1" ht="15" customHeight="1">
      <c r="B91" s="294" t="s">
        <v>98</v>
      </c>
      <c r="C91" s="294"/>
      <c r="D91" s="294"/>
      <c r="E91" s="294"/>
      <c r="F91" s="294"/>
      <c r="G91" s="294"/>
      <c r="H91" s="294"/>
      <c r="I91" s="294"/>
      <c r="J91" s="294"/>
      <c r="K91" s="294"/>
      <c r="L91" s="294"/>
      <c r="M91" s="294"/>
      <c r="N91" s="294"/>
      <c r="O91" s="294"/>
      <c r="P91" s="294"/>
      <c r="Q91" s="294"/>
      <c r="R91" s="294"/>
      <c r="S91" s="294"/>
      <c r="T91" s="294"/>
      <c r="U91" s="294"/>
      <c r="V91" s="294"/>
      <c r="W91" s="294"/>
      <c r="X91" s="294"/>
      <c r="Y91" s="294"/>
      <c r="Z91" s="294"/>
      <c r="AA91" s="294"/>
      <c r="AB91" s="294"/>
      <c r="AC91" s="294"/>
      <c r="AD91" s="294"/>
      <c r="AE91" s="294"/>
      <c r="AF91" s="333"/>
      <c r="AG91" s="333"/>
      <c r="AH91" s="333"/>
      <c r="AI91" s="333"/>
      <c r="AJ91" s="294"/>
      <c r="AK91" s="294"/>
      <c r="AL91" s="294"/>
      <c r="AM91" s="294"/>
      <c r="AN91" s="294"/>
      <c r="AO91" s="294"/>
      <c r="AP91" s="294"/>
      <c r="AQ91" s="294"/>
    </row>
    <row r="92" spans="2:43" s="155" customFormat="1" ht="15" customHeight="1">
      <c r="E92" s="35"/>
      <c r="J92" s="33"/>
      <c r="K92" s="33"/>
      <c r="L92" s="33"/>
      <c r="M92" s="33"/>
      <c r="N92" s="33"/>
      <c r="O92" s="33"/>
      <c r="P92" s="33"/>
      <c r="Q92" s="33"/>
      <c r="R92" s="33"/>
      <c r="S92" s="33"/>
      <c r="T92" s="33"/>
      <c r="U92" s="33"/>
      <c r="V92" s="33"/>
      <c r="W92" s="33"/>
      <c r="X92" s="33"/>
    </row>
    <row r="93" spans="2:43" s="155" customFormat="1" ht="15" customHeight="1">
      <c r="C93" s="292" t="s">
        <v>33</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312"/>
      <c r="AG93" s="312"/>
      <c r="AH93" s="312"/>
      <c r="AI93" s="312"/>
      <c r="AJ93" s="292"/>
      <c r="AK93" s="292"/>
      <c r="AL93" s="292"/>
      <c r="AM93" s="292"/>
      <c r="AN93" s="292"/>
      <c r="AO93" s="292"/>
      <c r="AP93" s="292"/>
      <c r="AQ93" s="292"/>
    </row>
    <row r="94" spans="2:43" s="155" customFormat="1" ht="15" customHeight="1">
      <c r="E94" s="35"/>
      <c r="J94" s="33"/>
      <c r="K94" s="33"/>
      <c r="L94" s="33"/>
      <c r="M94" s="33"/>
      <c r="N94" s="33"/>
      <c r="O94" s="33"/>
      <c r="P94" s="33"/>
      <c r="Q94" s="33"/>
      <c r="R94" s="33"/>
      <c r="S94" s="33"/>
      <c r="T94" s="33"/>
      <c r="U94" s="33"/>
      <c r="V94" s="33"/>
      <c r="W94" s="33"/>
      <c r="X94" s="33"/>
    </row>
    <row r="95" spans="2:43" s="155" customFormat="1" ht="15" customHeight="1">
      <c r="D95" s="193" t="s">
        <v>346</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2:43" s="155" customFormat="1" ht="15" customHeight="1">
      <c r="D96" s="192" t="s">
        <v>267</v>
      </c>
      <c r="E96" s="192"/>
      <c r="F96" s="192"/>
      <c r="G96" s="192"/>
      <c r="H96" s="192"/>
      <c r="I96" s="192"/>
      <c r="J96" s="192"/>
      <c r="K96" s="192"/>
      <c r="L96" s="192"/>
      <c r="M96" s="192"/>
      <c r="N96" s="192"/>
      <c r="O96" s="192"/>
      <c r="P96" s="192"/>
      <c r="Q96" s="192"/>
      <c r="R96" s="192"/>
      <c r="S96" s="192"/>
      <c r="T96" s="192"/>
      <c r="U96" s="192"/>
      <c r="V96" s="192"/>
      <c r="W96" s="192"/>
      <c r="X96" s="192"/>
      <c r="Y96" s="192"/>
      <c r="Z96" s="192"/>
      <c r="AA96" s="192"/>
      <c r="AB96" s="192"/>
      <c r="AC96" s="192"/>
      <c r="AD96" s="192"/>
      <c r="AE96" s="192"/>
      <c r="AF96" s="194"/>
      <c r="AG96" s="194"/>
      <c r="AH96" s="194"/>
      <c r="AI96" s="194"/>
      <c r="AJ96" s="192"/>
      <c r="AK96" s="192"/>
      <c r="AL96" s="192"/>
      <c r="AM96" s="192"/>
      <c r="AN96" s="192"/>
      <c r="AO96" s="192"/>
      <c r="AP96" s="192"/>
      <c r="AQ96" s="192"/>
    </row>
    <row r="97" spans="4:43" s="155" customFormat="1" ht="15" customHeight="1">
      <c r="E97" s="35"/>
      <c r="J97" s="33"/>
      <c r="K97" s="33"/>
      <c r="L97" s="33"/>
      <c r="M97" s="33"/>
      <c r="N97" s="33"/>
      <c r="O97" s="33"/>
      <c r="P97" s="33"/>
      <c r="Q97" s="33"/>
      <c r="R97" s="33"/>
      <c r="S97" s="33"/>
      <c r="T97" s="33"/>
      <c r="U97" s="33"/>
      <c r="V97" s="33"/>
      <c r="W97" s="33"/>
      <c r="X97" s="33"/>
      <c r="AJ97" s="210"/>
      <c r="AK97" s="19"/>
    </row>
    <row r="98" spans="4:43" s="155" customFormat="1" ht="15" customHeight="1">
      <c r="E98" s="155" t="s">
        <v>32</v>
      </c>
      <c r="G98" s="155" t="s">
        <v>40</v>
      </c>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230">
        <f>Input!AJ49</f>
        <v>2.5499999999999998E-2</v>
      </c>
      <c r="AK98" s="230">
        <f>Input!AK49</f>
        <v>2.5499999999999998E-2</v>
      </c>
      <c r="AL98" s="230">
        <f>Input!AL49</f>
        <v>2.5499999999999998E-2</v>
      </c>
      <c r="AM98" s="230">
        <f>Input!AM49</f>
        <v>2.5499999999999998E-2</v>
      </c>
      <c r="AN98" s="230">
        <f>Input!AN49</f>
        <v>2.5499999999999998E-2</v>
      </c>
      <c r="AO98" s="230">
        <f>Input!AO49</f>
        <v>2.5499999999999998E-2</v>
      </c>
      <c r="AP98" s="230">
        <f>Input!AP49</f>
        <v>2.5499999999999998E-2</v>
      </c>
      <c r="AQ98" s="230">
        <f>Input!AQ49</f>
        <v>2.5499999999999998E-2</v>
      </c>
    </row>
    <row r="99" spans="4:43" s="155" customFormat="1" ht="15" customHeight="1">
      <c r="E99" s="155" t="s">
        <v>497</v>
      </c>
      <c r="G99" s="155" t="s">
        <v>53</v>
      </c>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230">
        <f>Input!AJ60/Input!AI60-1</f>
        <v>3.1001360114357723E-2</v>
      </c>
      <c r="AK99" s="230">
        <f>Input!AK60/Input!AJ60-1</f>
        <v>3.0999727187452031E-2</v>
      </c>
      <c r="AL99" s="230">
        <f>Input!AL60/Input!AK60-1</f>
        <v>3.0999209795634419E-2</v>
      </c>
      <c r="AM99" s="230">
        <f>Input!AM60/Input!AL60-1</f>
        <v>3.0998839784832866E-2</v>
      </c>
      <c r="AN99" s="230">
        <f>Input!AN60/Input!AM60-1</f>
        <v>3.1001169662434824E-2</v>
      </c>
      <c r="AO99" s="230">
        <f>Input!AO60/Input!AN60-1</f>
        <v>3.0998418988019916E-2</v>
      </c>
      <c r="AP99" s="230">
        <f>Input!AP60/Input!AO60-1</f>
        <v>3.099996791889903E-2</v>
      </c>
      <c r="AQ99" s="230">
        <f>Input!AQ60/Input!AP60-1</f>
        <v>3.100135979064822E-2</v>
      </c>
    </row>
    <row r="100" spans="4:43" s="155" customFormat="1" ht="15" customHeight="1">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237"/>
      <c r="AK100" s="230"/>
      <c r="AL100" s="230"/>
      <c r="AM100" s="230"/>
      <c r="AN100" s="230"/>
      <c r="AO100" s="230"/>
      <c r="AP100" s="230"/>
      <c r="AQ100" s="230"/>
    </row>
    <row r="101" spans="4:43" s="155" customFormat="1" ht="15" customHeight="1">
      <c r="E101" s="155" t="s">
        <v>346</v>
      </c>
      <c r="G101" s="155" t="s">
        <v>249</v>
      </c>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239">
        <f>(((1 + AJ98) * (1 + AJ99)) - 1)</f>
        <v>5.7291894797274034E-2</v>
      </c>
      <c r="AK101" s="239">
        <f t="shared" ref="AK101:AQ101" si="25">((1 + AK98) * (1 + AK99)) - 1</f>
        <v>5.7290220230732158E-2</v>
      </c>
      <c r="AL101" s="239">
        <f t="shared" si="25"/>
        <v>5.7289689645423136E-2</v>
      </c>
      <c r="AM101" s="239">
        <f t="shared" si="25"/>
        <v>5.7289310199346133E-2</v>
      </c>
      <c r="AN101" s="239">
        <f t="shared" si="25"/>
        <v>5.7291699488827064E-2</v>
      </c>
      <c r="AO101" s="239">
        <f t="shared" si="25"/>
        <v>5.7288878672214549E-2</v>
      </c>
      <c r="AP101" s="239">
        <f t="shared" si="25"/>
        <v>5.7290467100830966E-2</v>
      </c>
      <c r="AQ101" s="239">
        <f t="shared" si="25"/>
        <v>5.7291894465309801E-2</v>
      </c>
    </row>
    <row r="102" spans="4:43" s="155" customFormat="1" ht="15" customHeight="1">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19"/>
    </row>
    <row r="103" spans="4:43" s="155" customFormat="1" ht="15" customHeight="1">
      <c r="D103" s="193" t="s">
        <v>402</v>
      </c>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row>
    <row r="104" spans="4:43" s="155" customFormat="1" ht="15" customHeight="1">
      <c r="E104" s="35"/>
      <c r="J104" s="33"/>
      <c r="K104" s="33"/>
      <c r="L104" s="33"/>
      <c r="M104" s="33"/>
      <c r="N104" s="33"/>
      <c r="O104" s="33"/>
      <c r="P104" s="33"/>
      <c r="Q104" s="33"/>
      <c r="R104" s="33"/>
      <c r="S104" s="33"/>
      <c r="T104" s="33"/>
      <c r="U104" s="33"/>
      <c r="V104" s="33"/>
      <c r="W104" s="33"/>
      <c r="X104" s="33"/>
    </row>
    <row r="105" spans="4:43" s="155" customFormat="1" ht="15" customHeight="1">
      <c r="E105" s="35" t="s">
        <v>171</v>
      </c>
      <c r="G105" s="155" t="s">
        <v>25</v>
      </c>
      <c r="J105" s="33"/>
      <c r="K105" s="33"/>
      <c r="L105" s="33"/>
      <c r="M105" s="33"/>
      <c r="N105" s="33"/>
      <c r="O105" s="33"/>
      <c r="P105" s="33"/>
      <c r="Q105" s="33"/>
      <c r="R105" s="33"/>
      <c r="S105" s="33"/>
      <c r="T105" s="33"/>
      <c r="U105" s="33"/>
      <c r="V105" s="33"/>
      <c r="W105" s="33"/>
      <c r="X105" s="33"/>
      <c r="AJ105" s="155">
        <f>AJ22</f>
        <v>-1415.4212477815211</v>
      </c>
      <c r="AK105" s="155">
        <f>AK22</f>
        <v>-1472.8556385710554</v>
      </c>
      <c r="AL105" s="155">
        <f t="shared" ref="AL105:AQ105" si="26">AL22</f>
        <v>-1536.8578363030297</v>
      </c>
      <c r="AM105" s="155">
        <f t="shared" si="26"/>
        <v>-1596.3321389932398</v>
      </c>
      <c r="AN105" s="155">
        <f t="shared" si="26"/>
        <v>-1658.6880453500551</v>
      </c>
      <c r="AO105" s="155">
        <f t="shared" si="26"/>
        <v>-1686.3401909631209</v>
      </c>
      <c r="AP105" s="155">
        <f t="shared" si="26"/>
        <v>-1713.3388318787656</v>
      </c>
      <c r="AQ105" s="155">
        <f t="shared" si="26"/>
        <v>-1750.5265585681004</v>
      </c>
    </row>
    <row r="106" spans="4:43" s="155" customFormat="1" ht="15" customHeight="1">
      <c r="E106" s="35" t="s">
        <v>401</v>
      </c>
      <c r="G106" s="155" t="s">
        <v>25</v>
      </c>
      <c r="J106" s="33"/>
      <c r="K106" s="33"/>
      <c r="L106" s="33"/>
      <c r="M106" s="33"/>
      <c r="N106" s="33"/>
      <c r="O106" s="33"/>
      <c r="P106" s="33"/>
      <c r="Q106" s="33"/>
      <c r="R106" s="33"/>
      <c r="S106" s="33"/>
      <c r="T106" s="33"/>
      <c r="U106" s="33"/>
      <c r="V106" s="33"/>
      <c r="W106" s="33"/>
      <c r="X106" s="33"/>
      <c r="AJ106" s="143">
        <f>AJ31</f>
        <v>-1389.0892052440063</v>
      </c>
      <c r="AK106" s="143">
        <f t="shared" ref="AK106:AQ106" si="27">AK31</f>
        <v>-1449.8971149062679</v>
      </c>
      <c r="AL106" s="143">
        <f t="shared" si="27"/>
        <v>-1506.1603060154473</v>
      </c>
      <c r="AM106" s="143">
        <f t="shared" si="27"/>
        <v>-1565.2812377017967</v>
      </c>
      <c r="AN106" s="143">
        <f t="shared" si="27"/>
        <v>-1590.3448389926614</v>
      </c>
      <c r="AO106" s="143">
        <f t="shared" si="27"/>
        <v>-1615.6848398989057</v>
      </c>
      <c r="AP106" s="143">
        <f t="shared" si="27"/>
        <v>-1650.9505089922413</v>
      </c>
      <c r="AQ106" s="143">
        <f t="shared" si="27"/>
        <v>-1677.8788708191041</v>
      </c>
    </row>
    <row r="107" spans="4:43" s="155" customFormat="1" ht="15" customHeight="1">
      <c r="E107" s="35"/>
      <c r="J107" s="33"/>
      <c r="K107" s="33"/>
      <c r="L107" s="33"/>
      <c r="M107" s="33"/>
      <c r="N107" s="33"/>
      <c r="O107" s="33"/>
      <c r="P107" s="33"/>
      <c r="Q107" s="33"/>
      <c r="R107" s="33"/>
      <c r="S107" s="33"/>
      <c r="T107" s="33"/>
      <c r="U107" s="33"/>
      <c r="V107" s="33"/>
      <c r="W107" s="33"/>
      <c r="X107" s="33"/>
    </row>
    <row r="108" spans="4:43" s="155" customFormat="1" ht="15" customHeight="1">
      <c r="E108" s="35" t="s">
        <v>402</v>
      </c>
      <c r="G108" s="155" t="s">
        <v>25</v>
      </c>
      <c r="J108" s="33"/>
      <c r="K108" s="33"/>
      <c r="L108" s="33"/>
      <c r="M108" s="33"/>
      <c r="N108" s="33"/>
      <c r="O108" s="33"/>
      <c r="P108" s="33"/>
      <c r="Q108" s="33"/>
      <c r="R108" s="33"/>
      <c r="S108" s="33"/>
      <c r="T108" s="33"/>
      <c r="U108" s="33"/>
      <c r="V108" s="33"/>
      <c r="W108" s="33"/>
      <c r="X108" s="33"/>
      <c r="AJ108" s="38">
        <f t="shared" ref="AJ108:AQ108" si="28">AVERAGE(AJ105:AJ106)</f>
        <v>-1402.2552265127638</v>
      </c>
      <c r="AK108" s="38">
        <f t="shared" si="28"/>
        <v>-1461.3763767386617</v>
      </c>
      <c r="AL108" s="38">
        <f t="shared" si="28"/>
        <v>-1521.5090711592384</v>
      </c>
      <c r="AM108" s="38">
        <f t="shared" si="28"/>
        <v>-1580.8066883475183</v>
      </c>
      <c r="AN108" s="38">
        <f t="shared" si="28"/>
        <v>-1624.5164421713582</v>
      </c>
      <c r="AO108" s="38">
        <f t="shared" si="28"/>
        <v>-1651.0125154310133</v>
      </c>
      <c r="AP108" s="38">
        <f t="shared" si="28"/>
        <v>-1682.1446704355035</v>
      </c>
      <c r="AQ108" s="38">
        <f t="shared" si="28"/>
        <v>-1714.2027146936023</v>
      </c>
    </row>
    <row r="109" spans="4:43" s="155" customFormat="1" ht="15" customHeight="1">
      <c r="E109" s="35"/>
      <c r="J109" s="33"/>
      <c r="K109" s="33"/>
      <c r="L109" s="33"/>
      <c r="M109" s="33"/>
      <c r="N109" s="33"/>
      <c r="O109" s="33"/>
      <c r="P109" s="33"/>
      <c r="Q109" s="33"/>
      <c r="R109" s="33"/>
      <c r="S109" s="33"/>
      <c r="T109" s="33"/>
      <c r="U109" s="33"/>
      <c r="V109" s="33"/>
      <c r="W109" s="33"/>
      <c r="X109" s="33"/>
    </row>
    <row r="110" spans="4:43" s="155" customFormat="1" ht="15" customHeight="1">
      <c r="D110" s="193" t="s">
        <v>345</v>
      </c>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row>
    <row r="111" spans="4:43" s="155" customFormat="1" ht="15" customHeight="1">
      <c r="E111" s="35"/>
      <c r="J111" s="33"/>
      <c r="K111" s="33"/>
      <c r="L111" s="33"/>
      <c r="M111" s="33"/>
      <c r="N111" s="33"/>
      <c r="O111" s="33"/>
      <c r="P111" s="33"/>
      <c r="Q111" s="33"/>
      <c r="R111" s="33"/>
      <c r="S111" s="33"/>
      <c r="T111" s="33"/>
      <c r="U111" s="33"/>
      <c r="V111" s="33"/>
      <c r="W111" s="33"/>
      <c r="X111" s="33"/>
      <c r="AI111" s="143"/>
      <c r="AJ111" s="209"/>
      <c r="AK111" s="209"/>
      <c r="AL111" s="209"/>
      <c r="AM111" s="209"/>
      <c r="AN111" s="209"/>
      <c r="AO111" s="209"/>
      <c r="AP111" s="209"/>
      <c r="AQ111" s="209"/>
    </row>
    <row r="112" spans="4:43" s="155" customFormat="1" ht="15" customHeight="1">
      <c r="E112" s="35" t="s">
        <v>402</v>
      </c>
      <c r="G112" s="155" t="s">
        <v>25</v>
      </c>
      <c r="J112" s="33"/>
      <c r="K112" s="33"/>
      <c r="L112" s="33"/>
      <c r="M112" s="33"/>
      <c r="N112" s="33"/>
      <c r="O112" s="33"/>
      <c r="P112" s="33"/>
      <c r="Q112" s="33"/>
      <c r="R112" s="33"/>
      <c r="S112" s="33"/>
      <c r="T112" s="33"/>
      <c r="U112" s="33"/>
      <c r="V112" s="33"/>
      <c r="W112" s="33"/>
      <c r="X112" s="33"/>
      <c r="AI112" s="143"/>
      <c r="AJ112" s="155">
        <f>AJ108</f>
        <v>-1402.2552265127638</v>
      </c>
      <c r="AK112" s="155">
        <f t="shared" ref="AK112:AQ112" si="29">AK108</f>
        <v>-1461.3763767386617</v>
      </c>
      <c r="AL112" s="155">
        <f t="shared" si="29"/>
        <v>-1521.5090711592384</v>
      </c>
      <c r="AM112" s="155">
        <f t="shared" si="29"/>
        <v>-1580.8066883475183</v>
      </c>
      <c r="AN112" s="155">
        <f t="shared" si="29"/>
        <v>-1624.5164421713582</v>
      </c>
      <c r="AO112" s="155">
        <f t="shared" si="29"/>
        <v>-1651.0125154310133</v>
      </c>
      <c r="AP112" s="155">
        <f t="shared" si="29"/>
        <v>-1682.1446704355035</v>
      </c>
      <c r="AQ112" s="155">
        <f t="shared" si="29"/>
        <v>-1714.2027146936023</v>
      </c>
    </row>
    <row r="113" spans="4:43" s="155" customFormat="1" ht="15" customHeight="1">
      <c r="E113" s="155" t="s">
        <v>346</v>
      </c>
      <c r="G113" s="163" t="s">
        <v>47</v>
      </c>
      <c r="J113" s="33"/>
      <c r="K113" s="33"/>
      <c r="L113" s="33"/>
      <c r="M113" s="33"/>
      <c r="N113" s="33"/>
      <c r="O113" s="33"/>
      <c r="P113" s="33"/>
      <c r="Q113" s="33"/>
      <c r="R113" s="33"/>
      <c r="S113" s="33"/>
      <c r="T113" s="33"/>
      <c r="U113" s="33"/>
      <c r="V113" s="33"/>
      <c r="W113" s="33"/>
      <c r="X113" s="33"/>
      <c r="AJ113" s="230">
        <f>AJ101</f>
        <v>5.7291894797274034E-2</v>
      </c>
      <c r="AK113" s="230">
        <f t="shared" ref="AK113:AQ113" si="30">AK101</f>
        <v>5.7290220230732158E-2</v>
      </c>
      <c r="AL113" s="230">
        <f t="shared" si="30"/>
        <v>5.7289689645423136E-2</v>
      </c>
      <c r="AM113" s="230">
        <f t="shared" si="30"/>
        <v>5.7289310199346133E-2</v>
      </c>
      <c r="AN113" s="230">
        <f t="shared" si="30"/>
        <v>5.7291699488827064E-2</v>
      </c>
      <c r="AO113" s="230">
        <f t="shared" si="30"/>
        <v>5.7288878672214549E-2</v>
      </c>
      <c r="AP113" s="230">
        <f t="shared" si="30"/>
        <v>5.7290467100830966E-2</v>
      </c>
      <c r="AQ113" s="230">
        <f t="shared" si="30"/>
        <v>5.7291894465309801E-2</v>
      </c>
    </row>
    <row r="114" spans="4:43" s="155" customFormat="1" ht="15" customHeight="1">
      <c r="E114" s="35"/>
      <c r="J114" s="33"/>
      <c r="K114" s="33"/>
      <c r="L114" s="33"/>
      <c r="M114" s="33"/>
      <c r="N114" s="33"/>
      <c r="O114" s="33"/>
      <c r="P114" s="33"/>
      <c r="Q114" s="33"/>
      <c r="R114" s="33"/>
      <c r="S114" s="33"/>
      <c r="T114" s="33"/>
      <c r="U114" s="33"/>
      <c r="V114" s="33"/>
      <c r="W114" s="33"/>
      <c r="X114" s="33"/>
      <c r="AJ114" s="209"/>
      <c r="AK114" s="19"/>
      <c r="AL114" s="19"/>
      <c r="AM114" s="19"/>
      <c r="AN114" s="19"/>
      <c r="AO114" s="19"/>
      <c r="AP114" s="19"/>
      <c r="AQ114" s="19"/>
    </row>
    <row r="115" spans="4:43" s="155" customFormat="1" ht="15" customHeight="1">
      <c r="E115" s="35" t="s">
        <v>345</v>
      </c>
      <c r="G115" s="155" t="s">
        <v>25</v>
      </c>
      <c r="J115" s="33"/>
      <c r="K115" s="33"/>
      <c r="L115" s="33"/>
      <c r="M115" s="33"/>
      <c r="N115" s="33"/>
      <c r="O115" s="33"/>
      <c r="P115" s="33"/>
      <c r="Q115" s="33"/>
      <c r="R115" s="33"/>
      <c r="S115" s="33"/>
      <c r="T115" s="33"/>
      <c r="U115" s="33"/>
      <c r="V115" s="33"/>
      <c r="W115" s="33"/>
      <c r="X115" s="33"/>
      <c r="AJ115" s="38">
        <f>AJ112 * AJ113</f>
        <v>-80.337858916296938</v>
      </c>
      <c r="AK115" s="38">
        <f t="shared" ref="AK115:AQ115" si="31">AK112 * AK113</f>
        <v>-83.722574463347343</v>
      </c>
      <c r="AL115" s="38">
        <f t="shared" si="31"/>
        <v>-87.166782479408795</v>
      </c>
      <c r="AM115" s="38">
        <f t="shared" si="31"/>
        <v>-90.563324733942068</v>
      </c>
      <c r="AN115" s="38">
        <f t="shared" si="31"/>
        <v>-93.071307819539967</v>
      </c>
      <c r="AO115" s="38">
        <f t="shared" si="31"/>
        <v>-94.584655682835077</v>
      </c>
      <c r="AP115" s="38">
        <f t="shared" si="31"/>
        <v>-96.370853900423356</v>
      </c>
      <c r="AQ115" s="38">
        <f t="shared" si="31"/>
        <v>-98.209921022373422</v>
      </c>
    </row>
    <row r="116" spans="4:43" s="155" customFormat="1" ht="15" customHeight="1">
      <c r="E116" s="35"/>
      <c r="J116" s="33"/>
      <c r="K116" s="33"/>
      <c r="L116" s="33"/>
      <c r="M116" s="33"/>
      <c r="N116" s="33"/>
      <c r="O116" s="33"/>
      <c r="P116" s="33"/>
      <c r="Q116" s="33"/>
      <c r="R116" s="33"/>
      <c r="S116" s="33"/>
      <c r="T116" s="33"/>
      <c r="U116" s="33"/>
      <c r="V116" s="33"/>
      <c r="W116" s="33"/>
      <c r="X116" s="33"/>
    </row>
    <row r="117" spans="4:43" s="155" customFormat="1" ht="15" customHeight="1">
      <c r="D117" s="193" t="s">
        <v>356</v>
      </c>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row>
    <row r="118" spans="4:43" s="155" customFormat="1" ht="15" customHeight="1">
      <c r="D118" s="192" t="s">
        <v>354</v>
      </c>
      <c r="E118" s="192"/>
      <c r="F118" s="192"/>
      <c r="G118" s="192"/>
      <c r="H118" s="192"/>
      <c r="I118" s="192"/>
      <c r="J118" s="192"/>
      <c r="K118" s="192"/>
      <c r="L118" s="192"/>
      <c r="M118" s="192"/>
      <c r="N118" s="192"/>
      <c r="O118" s="192"/>
      <c r="P118" s="192"/>
      <c r="Q118" s="192"/>
      <c r="R118" s="192"/>
      <c r="S118" s="192"/>
      <c r="T118" s="192"/>
      <c r="U118" s="192"/>
      <c r="V118" s="192"/>
      <c r="W118" s="192"/>
      <c r="X118" s="192"/>
      <c r="Y118" s="192"/>
      <c r="Z118" s="192"/>
      <c r="AA118" s="192"/>
      <c r="AB118" s="192"/>
      <c r="AC118" s="192"/>
      <c r="AD118" s="192"/>
      <c r="AE118" s="192"/>
      <c r="AF118" s="194"/>
      <c r="AG118" s="194"/>
      <c r="AH118" s="194"/>
      <c r="AI118" s="194"/>
      <c r="AJ118" s="192"/>
      <c r="AK118" s="192"/>
      <c r="AL118" s="192"/>
      <c r="AM118" s="192"/>
      <c r="AN118" s="192"/>
      <c r="AO118" s="192"/>
      <c r="AP118" s="192"/>
      <c r="AQ118" s="192"/>
    </row>
    <row r="119" spans="4:43" s="155" customFormat="1" ht="15" customHeight="1">
      <c r="E119" s="35"/>
      <c r="J119" s="33"/>
      <c r="K119" s="33"/>
      <c r="L119" s="33"/>
      <c r="M119" s="33"/>
      <c r="N119" s="33"/>
      <c r="O119" s="33"/>
      <c r="P119" s="33"/>
      <c r="Q119" s="33"/>
      <c r="R119" s="33"/>
      <c r="S119" s="33"/>
      <c r="T119" s="33"/>
      <c r="U119" s="33"/>
      <c r="V119" s="33"/>
      <c r="W119" s="33"/>
      <c r="X119" s="33"/>
      <c r="AJ119" s="209"/>
    </row>
    <row r="120" spans="4:43" s="155" customFormat="1" ht="15" customHeight="1">
      <c r="E120" s="163" t="s">
        <v>251</v>
      </c>
      <c r="G120" s="163" t="s">
        <v>47</v>
      </c>
      <c r="J120" s="33"/>
      <c r="K120" s="33"/>
      <c r="L120" s="33"/>
      <c r="M120" s="33"/>
      <c r="N120" s="33"/>
      <c r="O120" s="33"/>
      <c r="P120" s="33"/>
      <c r="Q120" s="33"/>
      <c r="R120" s="33"/>
      <c r="S120" s="33"/>
      <c r="T120" s="33"/>
      <c r="U120" s="33"/>
      <c r="V120" s="33"/>
      <c r="W120" s="33"/>
      <c r="X120" s="33"/>
      <c r="Y120" s="33"/>
      <c r="Z120" s="33"/>
      <c r="AA120" s="33"/>
      <c r="AB120" s="33"/>
      <c r="AC120" s="33"/>
      <c r="AD120" s="33"/>
      <c r="AE120" s="33"/>
      <c r="AF120" s="33"/>
      <c r="AG120" s="33"/>
      <c r="AH120" s="33"/>
      <c r="AI120" s="33"/>
      <c r="AJ120" s="230">
        <f>Input!AJ89</f>
        <v>0.25</v>
      </c>
      <c r="AK120" s="230">
        <f>Input!AK89</f>
        <v>0.25</v>
      </c>
      <c r="AL120" s="230">
        <f>Input!AL89</f>
        <v>0.25</v>
      </c>
      <c r="AM120" s="230">
        <f>Input!AM89</f>
        <v>0.25</v>
      </c>
      <c r="AN120" s="230">
        <f>Input!AN89</f>
        <v>0.25</v>
      </c>
      <c r="AO120" s="230">
        <f>Input!AO89</f>
        <v>0.25</v>
      </c>
      <c r="AP120" s="230">
        <f>Input!AP89</f>
        <v>0.25</v>
      </c>
      <c r="AQ120" s="230">
        <f>Input!AQ89</f>
        <v>0.25</v>
      </c>
    </row>
    <row r="121" spans="4:43" s="155" customFormat="1" ht="15" customHeight="1">
      <c r="E121" s="155" t="s">
        <v>32</v>
      </c>
      <c r="G121" s="155" t="s">
        <v>40</v>
      </c>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c r="AG121" s="33"/>
      <c r="AH121" s="33"/>
      <c r="AI121" s="33"/>
      <c r="AJ121" s="230">
        <f>AJ98</f>
        <v>2.5499999999999998E-2</v>
      </c>
      <c r="AK121" s="230">
        <f t="shared" ref="AK121:AQ121" si="32">AK98</f>
        <v>2.5499999999999998E-2</v>
      </c>
      <c r="AL121" s="230">
        <f t="shared" si="32"/>
        <v>2.5499999999999998E-2</v>
      </c>
      <c r="AM121" s="230">
        <f t="shared" si="32"/>
        <v>2.5499999999999998E-2</v>
      </c>
      <c r="AN121" s="230">
        <f t="shared" si="32"/>
        <v>2.5499999999999998E-2</v>
      </c>
      <c r="AO121" s="230">
        <f t="shared" si="32"/>
        <v>2.5499999999999998E-2</v>
      </c>
      <c r="AP121" s="230">
        <f t="shared" si="32"/>
        <v>2.5499999999999998E-2</v>
      </c>
      <c r="AQ121" s="230">
        <f t="shared" si="32"/>
        <v>2.5499999999999998E-2</v>
      </c>
    </row>
    <row r="122" spans="4:43" s="155" customFormat="1" ht="15" customHeight="1">
      <c r="E122" s="155" t="s">
        <v>346</v>
      </c>
      <c r="G122" s="155" t="s">
        <v>249</v>
      </c>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230">
        <f>AJ101</f>
        <v>5.7291894797274034E-2</v>
      </c>
      <c r="AK122" s="230">
        <f t="shared" ref="AK122:AQ122" si="33">AK101</f>
        <v>5.7290220230732158E-2</v>
      </c>
      <c r="AL122" s="230">
        <f t="shared" si="33"/>
        <v>5.7289689645423136E-2</v>
      </c>
      <c r="AM122" s="230">
        <f t="shared" si="33"/>
        <v>5.7289310199346133E-2</v>
      </c>
      <c r="AN122" s="230">
        <f t="shared" si="33"/>
        <v>5.7291699488827064E-2</v>
      </c>
      <c r="AO122" s="230">
        <f t="shared" si="33"/>
        <v>5.7288878672214549E-2</v>
      </c>
      <c r="AP122" s="230">
        <f t="shared" si="33"/>
        <v>5.7290467100830966E-2</v>
      </c>
      <c r="AQ122" s="230">
        <f t="shared" si="33"/>
        <v>5.7291894465309801E-2</v>
      </c>
    </row>
    <row r="123" spans="4:43" s="155" customFormat="1" ht="15" customHeight="1">
      <c r="E123" s="35"/>
      <c r="J123" s="33"/>
      <c r="K123" s="33"/>
      <c r="L123" s="33"/>
      <c r="M123" s="33"/>
      <c r="N123" s="33"/>
      <c r="O123" s="33"/>
      <c r="P123" s="33"/>
      <c r="Q123" s="33"/>
      <c r="R123" s="33"/>
      <c r="S123" s="33"/>
      <c r="T123" s="33"/>
      <c r="U123" s="33"/>
      <c r="V123" s="33"/>
      <c r="W123" s="33"/>
      <c r="X123" s="33"/>
      <c r="AJ123" s="230"/>
      <c r="AK123" s="230"/>
      <c r="AL123" s="230"/>
      <c r="AM123" s="230"/>
      <c r="AN123" s="230"/>
      <c r="AO123" s="230"/>
      <c r="AP123" s="230"/>
      <c r="AQ123" s="230"/>
    </row>
    <row r="124" spans="4:43" s="155" customFormat="1" ht="15" customHeight="1">
      <c r="E124" s="35" t="s">
        <v>352</v>
      </c>
      <c r="G124" s="155" t="s">
        <v>47</v>
      </c>
      <c r="J124" s="33"/>
      <c r="K124" s="33"/>
      <c r="L124" s="33"/>
      <c r="M124" s="33"/>
      <c r="N124" s="33"/>
      <c r="O124" s="33"/>
      <c r="P124" s="33"/>
      <c r="Q124" s="33"/>
      <c r="R124" s="33"/>
      <c r="S124" s="33"/>
      <c r="T124" s="33"/>
      <c r="U124" s="33"/>
      <c r="V124" s="33"/>
      <c r="W124" s="33"/>
      <c r="X124" s="33"/>
      <c r="AJ124" s="242">
        <f>1 - ((AJ120 * AJ121) + ((1 - AJ120) * AJ122)) / AJ122</f>
        <v>0.13872771580416776</v>
      </c>
      <c r="AK124" s="242">
        <f t="shared" ref="AK124:AQ124" si="34">1 - ((AK120 * AK121) + ((1 - AK120) * AK122)) / AK122</f>
        <v>0.13872446336695599</v>
      </c>
      <c r="AL124" s="242">
        <f t="shared" si="34"/>
        <v>0.1387234327946949</v>
      </c>
      <c r="AM124" s="242">
        <f t="shared" si="34"/>
        <v>0.1387226957731329</v>
      </c>
      <c r="AN124" s="242">
        <f t="shared" si="34"/>
        <v>0.13872733647492441</v>
      </c>
      <c r="AO124" s="242">
        <f t="shared" si="34"/>
        <v>0.13872185757945521</v>
      </c>
      <c r="AP124" s="242">
        <f t="shared" si="34"/>
        <v>0.13872494286387949</v>
      </c>
      <c r="AQ124" s="242">
        <f t="shared" si="34"/>
        <v>0.13872771515942706</v>
      </c>
    </row>
    <row r="125" spans="4:43" s="155" customFormat="1" ht="15" customHeight="1">
      <c r="E125" s="35"/>
      <c r="J125" s="33"/>
      <c r="K125" s="33"/>
      <c r="L125" s="33"/>
      <c r="M125" s="33"/>
      <c r="N125" s="33"/>
      <c r="O125" s="33"/>
      <c r="P125" s="33"/>
      <c r="Q125" s="33"/>
      <c r="R125" s="33"/>
      <c r="S125" s="33"/>
      <c r="T125" s="33"/>
      <c r="U125" s="33"/>
      <c r="V125" s="33"/>
      <c r="W125" s="33"/>
      <c r="X125" s="33"/>
    </row>
    <row r="126" spans="4:43" s="155" customFormat="1" ht="15" customHeight="1">
      <c r="D126" s="193" t="s">
        <v>351</v>
      </c>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row>
    <row r="127" spans="4:43" s="155" customFormat="1" ht="15" customHeight="1">
      <c r="E127" s="35"/>
      <c r="J127" s="33"/>
      <c r="K127" s="33"/>
      <c r="L127" s="33"/>
      <c r="M127" s="33"/>
      <c r="N127" s="33"/>
      <c r="O127" s="33"/>
      <c r="P127" s="33"/>
      <c r="Q127" s="33"/>
      <c r="R127" s="33"/>
      <c r="S127" s="33"/>
      <c r="T127" s="33"/>
      <c r="U127" s="33"/>
      <c r="V127" s="33"/>
      <c r="W127" s="33"/>
      <c r="X127" s="33"/>
      <c r="AJ127" s="403"/>
    </row>
    <row r="128" spans="4:43" s="155" customFormat="1" ht="15" customHeight="1">
      <c r="E128" s="155" t="s">
        <v>345</v>
      </c>
      <c r="G128" s="155" t="s">
        <v>25</v>
      </c>
      <c r="J128" s="33"/>
      <c r="K128" s="33"/>
      <c r="L128" s="33"/>
      <c r="M128" s="33"/>
      <c r="N128" s="33"/>
      <c r="O128" s="33"/>
      <c r="P128" s="33"/>
      <c r="Q128" s="33"/>
      <c r="R128" s="33"/>
      <c r="S128" s="33"/>
      <c r="T128" s="33"/>
      <c r="U128" s="33"/>
      <c r="V128" s="33"/>
      <c r="W128" s="33"/>
      <c r="X128" s="33"/>
      <c r="AJ128" s="155">
        <f>AJ115</f>
        <v>-80.337858916296938</v>
      </c>
      <c r="AK128" s="155">
        <f t="shared" ref="AK128:AQ128" si="35">AK115</f>
        <v>-83.722574463347343</v>
      </c>
      <c r="AL128" s="155">
        <f t="shared" si="35"/>
        <v>-87.166782479408795</v>
      </c>
      <c r="AM128" s="155">
        <f t="shared" si="35"/>
        <v>-90.563324733942068</v>
      </c>
      <c r="AN128" s="155">
        <f t="shared" si="35"/>
        <v>-93.071307819539967</v>
      </c>
      <c r="AO128" s="155">
        <f t="shared" si="35"/>
        <v>-94.584655682835077</v>
      </c>
      <c r="AP128" s="155">
        <f t="shared" si="35"/>
        <v>-96.370853900423356</v>
      </c>
      <c r="AQ128" s="155">
        <f t="shared" si="35"/>
        <v>-98.209921022373422</v>
      </c>
    </row>
    <row r="129" spans="3:43" s="155" customFormat="1" ht="15" customHeight="1">
      <c r="E129" s="35" t="s">
        <v>352</v>
      </c>
      <c r="G129" s="155" t="s">
        <v>47</v>
      </c>
      <c r="J129" s="33"/>
      <c r="K129" s="33"/>
      <c r="L129" s="33"/>
      <c r="M129" s="33"/>
      <c r="N129" s="33"/>
      <c r="O129" s="33"/>
      <c r="P129" s="33"/>
      <c r="Q129" s="33"/>
      <c r="R129" s="33"/>
      <c r="S129" s="33"/>
      <c r="T129" s="33"/>
      <c r="U129" s="33"/>
      <c r="V129" s="33"/>
      <c r="W129" s="33"/>
      <c r="X129" s="33"/>
      <c r="AJ129" s="237">
        <f t="shared" ref="AJ129:AQ129" si="36">AJ124</f>
        <v>0.13872771580416776</v>
      </c>
      <c r="AK129" s="237">
        <f t="shared" si="36"/>
        <v>0.13872446336695599</v>
      </c>
      <c r="AL129" s="237">
        <f t="shared" si="36"/>
        <v>0.1387234327946949</v>
      </c>
      <c r="AM129" s="237">
        <f t="shared" si="36"/>
        <v>0.1387226957731329</v>
      </c>
      <c r="AN129" s="237">
        <f t="shared" si="36"/>
        <v>0.13872733647492441</v>
      </c>
      <c r="AO129" s="237">
        <f t="shared" si="36"/>
        <v>0.13872185757945521</v>
      </c>
      <c r="AP129" s="237">
        <f t="shared" si="36"/>
        <v>0.13872494286387949</v>
      </c>
      <c r="AQ129" s="237">
        <f t="shared" si="36"/>
        <v>0.13872771515942706</v>
      </c>
    </row>
    <row r="130" spans="3:43" s="155" customFormat="1" ht="15" customHeight="1">
      <c r="E130" s="35"/>
      <c r="J130" s="33"/>
      <c r="K130" s="33"/>
      <c r="L130" s="33"/>
      <c r="M130" s="33"/>
      <c r="N130" s="33"/>
      <c r="O130" s="33"/>
      <c r="P130" s="33"/>
      <c r="Q130" s="33"/>
      <c r="R130" s="33"/>
      <c r="S130" s="33"/>
      <c r="T130" s="33"/>
      <c r="U130" s="33"/>
      <c r="V130" s="33"/>
      <c r="W130" s="33"/>
      <c r="X130" s="33"/>
    </row>
    <row r="131" spans="3:43" s="155" customFormat="1" ht="15" customHeight="1">
      <c r="E131" s="35" t="s">
        <v>347</v>
      </c>
      <c r="G131" s="155" t="s">
        <v>25</v>
      </c>
      <c r="J131" s="33"/>
      <c r="K131" s="33"/>
      <c r="L131" s="33"/>
      <c r="M131" s="33"/>
      <c r="N131" s="33"/>
      <c r="O131" s="33"/>
      <c r="P131" s="33"/>
      <c r="Q131" s="33"/>
      <c r="R131" s="33"/>
      <c r="S131" s="33"/>
      <c r="T131" s="33"/>
      <c r="U131" s="33"/>
      <c r="V131" s="33"/>
      <c r="W131" s="33"/>
      <c r="X131" s="33"/>
      <c r="AJ131" s="38">
        <f>AJ$128 * (1 - AJ$129)</f>
        <v>-69.192771256241571</v>
      </c>
      <c r="AK131" s="38">
        <f t="shared" ref="AK131:AQ131" si="37">AK$128 * (1 - AK$129)</f>
        <v>-72.108205249219466</v>
      </c>
      <c r="AL131" s="38">
        <f t="shared" si="37"/>
        <v>-75.07470718819674</v>
      </c>
      <c r="AM131" s="38">
        <f t="shared" si="37"/>
        <v>-78.000136188671974</v>
      </c>
      <c r="AN131" s="38">
        <f t="shared" si="37"/>
        <v>-80.159773183497379</v>
      </c>
      <c r="AO131" s="38">
        <f t="shared" si="37"/>
        <v>-81.463696547999021</v>
      </c>
      <c r="AP131" s="38">
        <f t="shared" si="37"/>
        <v>-83.001812699343844</v>
      </c>
      <c r="AQ131" s="38">
        <f t="shared" si="37"/>
        <v>-84.585483072951774</v>
      </c>
    </row>
    <row r="132" spans="3:43" s="155" customFormat="1" ht="15" customHeight="1">
      <c r="E132" s="35"/>
      <c r="J132" s="33"/>
      <c r="K132" s="33"/>
      <c r="L132" s="33"/>
      <c r="M132" s="33"/>
      <c r="N132" s="33"/>
      <c r="O132" s="33"/>
      <c r="P132" s="33"/>
      <c r="Q132" s="33"/>
      <c r="R132" s="33"/>
      <c r="S132" s="33"/>
      <c r="T132" s="33"/>
      <c r="U132" s="33"/>
      <c r="V132" s="33"/>
      <c r="W132" s="33"/>
      <c r="X132" s="33"/>
    </row>
    <row r="133" spans="3:43" s="155" customFormat="1" ht="15" customHeight="1">
      <c r="E133" s="35" t="s">
        <v>348</v>
      </c>
      <c r="G133" s="155" t="s">
        <v>25</v>
      </c>
      <c r="J133" s="33"/>
      <c r="K133" s="33"/>
      <c r="L133" s="33"/>
      <c r="M133" s="33"/>
      <c r="N133" s="33"/>
      <c r="O133" s="33"/>
      <c r="P133" s="33"/>
      <c r="Q133" s="33"/>
      <c r="R133" s="33"/>
      <c r="S133" s="33"/>
      <c r="T133" s="33"/>
      <c r="U133" s="33"/>
      <c r="V133" s="33"/>
      <c r="W133" s="33"/>
      <c r="X133" s="33"/>
      <c r="AJ133" s="38">
        <f>AJ$128 * AJ$129</f>
        <v>-11.145087660055367</v>
      </c>
      <c r="AK133" s="38">
        <f t="shared" ref="AK133:AQ133" si="38">AK$128 * AK$129</f>
        <v>-11.614369214127873</v>
      </c>
      <c r="AL133" s="38">
        <f t="shared" si="38"/>
        <v>-12.092075291212055</v>
      </c>
      <c r="AM133" s="38">
        <f t="shared" si="38"/>
        <v>-12.563188545270087</v>
      </c>
      <c r="AN133" s="38">
        <f t="shared" si="38"/>
        <v>-12.911534636042585</v>
      </c>
      <c r="AO133" s="38">
        <f t="shared" si="38"/>
        <v>-13.120959134836056</v>
      </c>
      <c r="AP133" s="38">
        <f t="shared" si="38"/>
        <v>-13.369041201079508</v>
      </c>
      <c r="AQ133" s="38">
        <f t="shared" si="38"/>
        <v>-13.624437949421647</v>
      </c>
    </row>
    <row r="134" spans="3:43" s="155" customFormat="1" ht="15" customHeight="1">
      <c r="E134" s="35"/>
      <c r="J134" s="33"/>
      <c r="K134" s="33"/>
      <c r="L134" s="33"/>
      <c r="M134" s="33"/>
      <c r="N134" s="33"/>
      <c r="O134" s="33"/>
      <c r="P134" s="33"/>
      <c r="Q134" s="33"/>
      <c r="R134" s="33"/>
      <c r="S134" s="33"/>
      <c r="T134" s="33"/>
      <c r="U134" s="33"/>
      <c r="V134" s="33"/>
      <c r="W134" s="33"/>
      <c r="X134" s="33"/>
    </row>
    <row r="135" spans="3:43" s="155" customFormat="1" ht="15" customHeight="1">
      <c r="E135" s="35"/>
      <c r="J135" s="33"/>
      <c r="K135" s="33"/>
      <c r="L135" s="33"/>
      <c r="M135" s="33"/>
      <c r="N135" s="33"/>
      <c r="O135" s="33"/>
      <c r="P135" s="33"/>
      <c r="Q135" s="33"/>
      <c r="R135" s="33"/>
      <c r="S135" s="33"/>
      <c r="T135" s="33"/>
      <c r="U135" s="33"/>
      <c r="V135" s="33"/>
      <c r="W135" s="33"/>
      <c r="X135" s="33"/>
    </row>
    <row r="136" spans="3:43" s="155" customFormat="1" ht="15" customHeight="1">
      <c r="C136" s="292" t="s">
        <v>99</v>
      </c>
      <c r="D136" s="292"/>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312"/>
      <c r="AG136" s="312"/>
      <c r="AH136" s="312"/>
      <c r="AI136" s="312"/>
      <c r="AJ136" s="292"/>
      <c r="AK136" s="292"/>
      <c r="AL136" s="292"/>
      <c r="AM136" s="292"/>
      <c r="AN136" s="292"/>
      <c r="AO136" s="292"/>
      <c r="AP136" s="292"/>
      <c r="AQ136" s="292"/>
    </row>
    <row r="137" spans="3:43" s="155" customFormat="1" ht="15" customHeight="1">
      <c r="C137" s="192" t="s">
        <v>500</v>
      </c>
      <c r="D137" s="192"/>
      <c r="E137" s="192"/>
      <c r="F137" s="192"/>
      <c r="G137" s="192"/>
      <c r="H137" s="192"/>
      <c r="I137" s="192"/>
      <c r="J137" s="192"/>
      <c r="K137" s="192"/>
      <c r="L137" s="192"/>
      <c r="M137" s="192"/>
      <c r="N137" s="192"/>
      <c r="O137" s="192"/>
      <c r="P137" s="192"/>
      <c r="Q137" s="192"/>
      <c r="R137" s="192"/>
      <c r="S137" s="192"/>
      <c r="T137" s="192"/>
      <c r="U137" s="192"/>
      <c r="V137" s="192"/>
      <c r="W137" s="192"/>
      <c r="X137" s="192"/>
      <c r="Y137" s="192"/>
      <c r="Z137" s="192"/>
      <c r="AA137" s="192"/>
      <c r="AB137" s="192"/>
      <c r="AC137" s="192"/>
      <c r="AD137" s="192"/>
      <c r="AE137" s="192"/>
      <c r="AF137" s="194"/>
      <c r="AG137" s="194"/>
      <c r="AH137" s="194"/>
      <c r="AI137" s="194"/>
      <c r="AJ137" s="192"/>
      <c r="AK137" s="192"/>
      <c r="AL137" s="192"/>
      <c r="AM137" s="192"/>
      <c r="AN137" s="192"/>
      <c r="AO137" s="192"/>
      <c r="AP137" s="192"/>
      <c r="AQ137" s="192"/>
    </row>
    <row r="138" spans="3:43" s="155" customFormat="1" ht="15" customHeight="1">
      <c r="J138" s="33"/>
      <c r="K138" s="33"/>
      <c r="L138" s="33"/>
      <c r="M138" s="33"/>
      <c r="N138" s="33"/>
      <c r="O138" s="33"/>
      <c r="P138" s="33"/>
      <c r="Q138" s="33"/>
      <c r="R138" s="33"/>
      <c r="S138" s="33"/>
      <c r="T138" s="33"/>
      <c r="U138" s="33"/>
      <c r="V138" s="33"/>
      <c r="W138" s="33"/>
      <c r="X138" s="33"/>
    </row>
    <row r="139" spans="3:43" s="155" customFormat="1" ht="15" customHeight="1">
      <c r="E139" s="155" t="s">
        <v>144</v>
      </c>
      <c r="G139" s="155" t="s">
        <v>25</v>
      </c>
      <c r="J139" s="33"/>
      <c r="K139" s="33"/>
      <c r="L139" s="33"/>
      <c r="M139" s="33"/>
      <c r="N139" s="33"/>
      <c r="O139" s="33"/>
      <c r="P139" s="33"/>
      <c r="Q139" s="33"/>
      <c r="R139" s="33"/>
      <c r="S139" s="33"/>
      <c r="T139" s="33"/>
      <c r="U139" s="33"/>
      <c r="V139" s="33"/>
      <c r="W139" s="33"/>
      <c r="X139" s="33"/>
      <c r="AJ139" s="42">
        <f>AJ66</f>
        <v>0</v>
      </c>
    </row>
    <row r="140" spans="3:43" s="155" customFormat="1" ht="15" customHeight="1">
      <c r="E140" s="155" t="s">
        <v>11</v>
      </c>
      <c r="G140" s="155" t="s">
        <v>25</v>
      </c>
      <c r="J140" s="33"/>
      <c r="K140" s="33"/>
      <c r="L140" s="33"/>
      <c r="M140" s="33"/>
      <c r="N140" s="33"/>
      <c r="O140" s="33"/>
      <c r="P140" s="33"/>
      <c r="Q140" s="33"/>
      <c r="R140" s="33"/>
      <c r="S140" s="33"/>
      <c r="T140" s="33"/>
      <c r="U140" s="33"/>
      <c r="V140" s="33"/>
      <c r="W140" s="33"/>
      <c r="X140" s="33"/>
      <c r="AJ140" s="42"/>
      <c r="AK140" s="155">
        <f t="shared" ref="AK140:AQ140" si="39">AK80</f>
        <v>0</v>
      </c>
      <c r="AL140" s="155">
        <f t="shared" si="39"/>
        <v>0</v>
      </c>
      <c r="AM140" s="155">
        <f t="shared" si="39"/>
        <v>0</v>
      </c>
      <c r="AN140" s="155">
        <f t="shared" si="39"/>
        <v>0</v>
      </c>
      <c r="AO140" s="155">
        <f t="shared" si="39"/>
        <v>0</v>
      </c>
      <c r="AP140" s="155">
        <f t="shared" si="39"/>
        <v>0</v>
      </c>
      <c r="AQ140" s="155">
        <f t="shared" si="39"/>
        <v>0</v>
      </c>
    </row>
    <row r="141" spans="3:43" s="155" customFormat="1" ht="15" customHeight="1">
      <c r="E141" s="155" t="s">
        <v>156</v>
      </c>
      <c r="G141" s="155" t="s">
        <v>25</v>
      </c>
      <c r="J141" s="33"/>
      <c r="K141" s="33"/>
      <c r="L141" s="33"/>
      <c r="M141" s="33"/>
      <c r="N141" s="33"/>
      <c r="O141" s="33"/>
      <c r="P141" s="33"/>
      <c r="Q141" s="33"/>
      <c r="R141" s="33"/>
      <c r="S141" s="33"/>
      <c r="T141" s="33"/>
      <c r="U141" s="33"/>
      <c r="V141" s="33"/>
      <c r="W141" s="33"/>
      <c r="X141" s="33"/>
      <c r="AJ141" s="165">
        <f>IF(SUM(AJ139:AJ140) &gt; 0,SUM(AJ139:AJ140),0)</f>
        <v>0</v>
      </c>
      <c r="AK141" s="165">
        <f t="shared" ref="AK141:AQ141" si="40">IF(SUM(AK139:AK140) &gt; 0,SUM(AK139:AK140),0)</f>
        <v>0</v>
      </c>
      <c r="AL141" s="165">
        <f t="shared" si="40"/>
        <v>0</v>
      </c>
      <c r="AM141" s="165">
        <f t="shared" si="40"/>
        <v>0</v>
      </c>
      <c r="AN141" s="165">
        <f t="shared" si="40"/>
        <v>0</v>
      </c>
      <c r="AO141" s="165">
        <f t="shared" si="40"/>
        <v>0</v>
      </c>
      <c r="AP141" s="165">
        <f t="shared" si="40"/>
        <v>0</v>
      </c>
      <c r="AQ141" s="165">
        <f t="shared" si="40"/>
        <v>0</v>
      </c>
    </row>
    <row r="142" spans="3:43" s="155" customFormat="1" ht="15" customHeight="1">
      <c r="J142" s="33"/>
      <c r="K142" s="33"/>
      <c r="L142" s="33"/>
      <c r="M142" s="33"/>
      <c r="N142" s="33"/>
      <c r="O142" s="33"/>
      <c r="P142" s="33"/>
      <c r="Q142" s="33"/>
      <c r="R142" s="33"/>
      <c r="S142" s="33"/>
      <c r="T142" s="33"/>
      <c r="U142" s="33"/>
      <c r="V142" s="33"/>
      <c r="W142" s="33"/>
      <c r="X142" s="33"/>
    </row>
    <row r="143" spans="3:43" s="155" customFormat="1" ht="15" customHeight="1">
      <c r="E143" s="155" t="s">
        <v>260</v>
      </c>
      <c r="G143" s="155" t="s">
        <v>47</v>
      </c>
      <c r="I143" s="230">
        <f>Input!I84</f>
        <v>0.05</v>
      </c>
      <c r="J143" s="33"/>
      <c r="K143" s="33"/>
      <c r="L143" s="33"/>
      <c r="M143" s="33"/>
      <c r="N143" s="33"/>
      <c r="O143" s="33"/>
      <c r="P143" s="33"/>
      <c r="Q143" s="33"/>
      <c r="R143" s="33"/>
      <c r="S143" s="33"/>
      <c r="T143" s="33"/>
      <c r="U143" s="33"/>
      <c r="V143" s="33"/>
      <c r="W143" s="33"/>
      <c r="X143" s="33"/>
    </row>
    <row r="144" spans="3:43" s="155" customFormat="1" ht="15" customHeight="1">
      <c r="J144" s="33"/>
      <c r="K144" s="33"/>
      <c r="L144" s="33"/>
      <c r="M144" s="33"/>
      <c r="N144" s="33"/>
      <c r="O144" s="33"/>
      <c r="P144" s="33"/>
      <c r="Q144" s="33"/>
      <c r="R144" s="33"/>
      <c r="S144" s="33"/>
      <c r="T144" s="33"/>
      <c r="U144" s="33"/>
      <c r="V144" s="33"/>
      <c r="W144" s="33"/>
      <c r="X144" s="33"/>
    </row>
    <row r="145" spans="2:46" s="155" customFormat="1" ht="15" customHeight="1">
      <c r="E145" s="190" t="s">
        <v>102</v>
      </c>
      <c r="G145" s="155" t="s">
        <v>25</v>
      </c>
      <c r="J145" s="33"/>
      <c r="K145" s="33"/>
      <c r="L145" s="33"/>
      <c r="M145" s="33"/>
      <c r="N145" s="33"/>
      <c r="O145" s="33"/>
      <c r="P145" s="33"/>
      <c r="Q145" s="33"/>
      <c r="R145" s="33"/>
      <c r="S145" s="33"/>
      <c r="T145" s="33"/>
      <c r="U145" s="33"/>
      <c r="V145" s="33"/>
      <c r="W145" s="33"/>
      <c r="X145" s="33"/>
      <c r="AJ145" s="38">
        <f>AJ141 * $I143</f>
        <v>0</v>
      </c>
      <c r="AK145" s="38">
        <f t="shared" ref="AK145:AQ145" si="41">AK141 * $I143</f>
        <v>0</v>
      </c>
      <c r="AL145" s="38">
        <f t="shared" si="41"/>
        <v>0</v>
      </c>
      <c r="AM145" s="38">
        <f t="shared" si="41"/>
        <v>0</v>
      </c>
      <c r="AN145" s="38">
        <f t="shared" si="41"/>
        <v>0</v>
      </c>
      <c r="AO145" s="38">
        <f t="shared" si="41"/>
        <v>0</v>
      </c>
      <c r="AP145" s="38">
        <f t="shared" si="41"/>
        <v>0</v>
      </c>
      <c r="AQ145" s="38">
        <f t="shared" si="41"/>
        <v>0</v>
      </c>
    </row>
    <row r="146" spans="2:46" s="155" customFormat="1" ht="15" customHeight="1">
      <c r="J146" s="33"/>
      <c r="K146" s="33"/>
      <c r="L146" s="33"/>
      <c r="M146" s="33"/>
      <c r="N146" s="33"/>
      <c r="O146" s="33"/>
      <c r="P146" s="33"/>
      <c r="Q146" s="33"/>
      <c r="R146" s="33"/>
      <c r="S146" s="33"/>
      <c r="T146" s="33"/>
      <c r="U146" s="33"/>
      <c r="V146" s="33"/>
      <c r="W146" s="33"/>
      <c r="X146" s="33"/>
    </row>
    <row r="147" spans="2:46" s="155" customFormat="1" ht="15" customHeight="1">
      <c r="C147" s="292" t="s">
        <v>1</v>
      </c>
      <c r="D147" s="292"/>
      <c r="E147" s="292"/>
      <c r="F147" s="292"/>
      <c r="G147" s="292"/>
      <c r="H147" s="292"/>
      <c r="I147" s="292"/>
      <c r="J147" s="292"/>
      <c r="K147" s="292"/>
      <c r="L147" s="292"/>
      <c r="M147" s="292"/>
      <c r="N147" s="292"/>
      <c r="O147" s="292"/>
      <c r="P147" s="292"/>
      <c r="Q147" s="292"/>
      <c r="R147" s="292"/>
      <c r="S147" s="292"/>
      <c r="T147" s="292"/>
      <c r="U147" s="292"/>
      <c r="V147" s="292"/>
      <c r="W147" s="292"/>
      <c r="X147" s="292"/>
      <c r="Y147" s="292"/>
      <c r="Z147" s="292"/>
      <c r="AA147" s="292"/>
      <c r="AB147" s="292"/>
      <c r="AC147" s="292"/>
      <c r="AD147" s="292"/>
      <c r="AE147" s="292"/>
      <c r="AF147" s="312"/>
      <c r="AG147" s="312"/>
      <c r="AH147" s="312"/>
      <c r="AI147" s="312"/>
      <c r="AJ147" s="292"/>
      <c r="AK147" s="292"/>
      <c r="AL147" s="292"/>
      <c r="AM147" s="292"/>
      <c r="AN147" s="292"/>
      <c r="AO147" s="292"/>
      <c r="AP147" s="292"/>
      <c r="AQ147" s="292"/>
    </row>
    <row r="148" spans="2:46" s="155" customFormat="1" ht="15" customHeight="1">
      <c r="C148" s="192" t="s">
        <v>413</v>
      </c>
      <c r="D148" s="192"/>
      <c r="E148" s="192"/>
      <c r="F148" s="192"/>
      <c r="G148" s="192"/>
      <c r="H148" s="192"/>
      <c r="I148" s="192"/>
      <c r="J148" s="192"/>
      <c r="K148" s="192"/>
      <c r="L148" s="192"/>
      <c r="M148" s="192"/>
      <c r="N148" s="192"/>
      <c r="O148" s="192"/>
      <c r="P148" s="192"/>
      <c r="Q148" s="192"/>
      <c r="R148" s="192"/>
      <c r="S148" s="192"/>
      <c r="T148" s="192"/>
      <c r="U148" s="192"/>
      <c r="V148" s="192"/>
      <c r="W148" s="192"/>
      <c r="X148" s="192"/>
      <c r="Y148" s="192"/>
      <c r="Z148" s="192"/>
      <c r="AA148" s="192"/>
      <c r="AB148" s="192"/>
      <c r="AC148" s="192"/>
      <c r="AD148" s="192"/>
      <c r="AE148" s="192"/>
      <c r="AF148" s="194"/>
      <c r="AG148" s="194"/>
      <c r="AH148" s="194"/>
      <c r="AI148" s="194"/>
      <c r="AJ148" s="192"/>
      <c r="AK148" s="192"/>
      <c r="AL148" s="192"/>
      <c r="AM148" s="192"/>
      <c r="AN148" s="192"/>
      <c r="AO148" s="192"/>
      <c r="AP148" s="192"/>
      <c r="AQ148" s="192"/>
    </row>
    <row r="149" spans="2:46" s="155" customFormat="1" ht="15" customHeight="1">
      <c r="C149" s="192"/>
      <c r="D149" s="192"/>
      <c r="E149" s="192"/>
      <c r="F149" s="192"/>
      <c r="G149" s="192"/>
      <c r="H149" s="192"/>
      <c r="I149" s="192"/>
      <c r="J149" s="192"/>
      <c r="K149" s="192"/>
      <c r="L149" s="192"/>
      <c r="M149" s="192"/>
      <c r="N149" s="192"/>
      <c r="O149" s="192"/>
      <c r="P149" s="192"/>
      <c r="Q149" s="192"/>
      <c r="R149" s="192"/>
      <c r="S149" s="192"/>
      <c r="T149" s="192"/>
      <c r="U149" s="192"/>
      <c r="V149" s="192"/>
      <c r="W149" s="192"/>
      <c r="X149" s="192"/>
      <c r="Y149" s="192"/>
      <c r="Z149" s="192"/>
      <c r="AA149" s="192"/>
      <c r="AB149" s="192"/>
      <c r="AC149" s="192"/>
      <c r="AD149" s="192"/>
      <c r="AE149" s="192"/>
      <c r="AF149" s="194"/>
      <c r="AG149" s="194"/>
      <c r="AH149" s="194"/>
      <c r="AI149" s="194"/>
      <c r="AJ149" s="192"/>
      <c r="AK149" s="192"/>
      <c r="AL149" s="192"/>
      <c r="AM149" s="192"/>
      <c r="AN149" s="192"/>
      <c r="AO149" s="192"/>
      <c r="AP149" s="192"/>
      <c r="AQ149" s="192"/>
    </row>
    <row r="150" spans="2:46" s="155" customFormat="1" ht="15" customHeight="1">
      <c r="E150" s="35"/>
      <c r="J150" s="33"/>
      <c r="K150" s="33"/>
      <c r="L150" s="33"/>
      <c r="M150" s="33"/>
      <c r="N150" s="33"/>
      <c r="O150" s="33"/>
      <c r="P150" s="33"/>
      <c r="Q150" s="33"/>
      <c r="R150" s="33"/>
      <c r="S150" s="33"/>
      <c r="T150" s="33"/>
      <c r="U150" s="33"/>
      <c r="V150" s="33"/>
      <c r="W150" s="33"/>
      <c r="X150" s="33"/>
    </row>
    <row r="151" spans="2:46" s="155" customFormat="1" ht="15" customHeight="1">
      <c r="E151" s="35" t="s">
        <v>101</v>
      </c>
      <c r="G151" s="155" t="s">
        <v>25</v>
      </c>
      <c r="J151" s="33" t="s">
        <v>54</v>
      </c>
      <c r="K151" s="33"/>
      <c r="L151" s="33"/>
      <c r="M151" s="33"/>
      <c r="N151" s="33"/>
      <c r="O151" s="33"/>
      <c r="P151" s="33"/>
      <c r="Q151" s="33"/>
      <c r="R151" s="33"/>
      <c r="S151" s="33"/>
      <c r="T151" s="33"/>
      <c r="U151" s="33"/>
      <c r="V151" s="33"/>
      <c r="W151" s="33"/>
      <c r="X151" s="33"/>
      <c r="AJ151" s="155">
        <f>'Return&amp;RAV'!AJ47 * Input!AJ59 / Input!$AG$59</f>
        <v>2262.0977176741326</v>
      </c>
      <c r="AK151" s="155">
        <f>'Return&amp;RAV'!AK47 * Input!AK59 / Input!$AG$59</f>
        <v>2355.5295739432945</v>
      </c>
      <c r="AL151" s="155">
        <f>'Return&amp;RAV'!AL47 * Input!AL59 / Input!$AG$59</f>
        <v>2448.5779516280313</v>
      </c>
      <c r="AM151" s="155">
        <f>'Return&amp;RAV'!AM47 * Input!AM59 / Input!$AG$59</f>
        <v>2547.743292540013</v>
      </c>
      <c r="AN151" s="155">
        <f>'Return&amp;RAV'!AN47 * Input!AN59 / Input!$AG$59</f>
        <v>2627.0155644101783</v>
      </c>
      <c r="AO151" s="155">
        <f>'Return&amp;RAV'!AO47 * Input!AO59 / Input!$AG$59</f>
        <v>2711.6090551633069</v>
      </c>
      <c r="AP151" s="155">
        <f>'Return&amp;RAV'!AP47 * Input!AP59 / Input!$AG$59</f>
        <v>2840.5141212622229</v>
      </c>
      <c r="AQ151" s="155">
        <f>'Return&amp;RAV'!AQ47 * Input!AQ59 / Input!$AG$59</f>
        <v>2970.4446055384506</v>
      </c>
    </row>
    <row r="152" spans="2:46" s="155" customFormat="1" ht="15" customHeight="1">
      <c r="E152" s="155" t="s">
        <v>261</v>
      </c>
      <c r="G152" s="155" t="s">
        <v>47</v>
      </c>
      <c r="J152" s="33"/>
      <c r="K152" s="33"/>
      <c r="L152" s="33"/>
      <c r="M152" s="33"/>
      <c r="N152" s="33"/>
      <c r="O152" s="33"/>
      <c r="P152" s="33"/>
      <c r="Q152" s="33"/>
      <c r="R152" s="33"/>
      <c r="S152" s="33"/>
      <c r="T152" s="33"/>
      <c r="U152" s="33"/>
      <c r="V152" s="33"/>
      <c r="W152" s="33"/>
      <c r="X152" s="33"/>
      <c r="AJ152" s="230">
        <f>(1-Input!AJ51)</f>
        <v>0.35</v>
      </c>
      <c r="AK152" s="230">
        <f>(1-Input!AK51)</f>
        <v>0.35</v>
      </c>
      <c r="AL152" s="230">
        <f>(1-Input!AL51)</f>
        <v>0.35</v>
      </c>
      <c r="AM152" s="230">
        <f>(1-Input!AM51)</f>
        <v>0.35</v>
      </c>
      <c r="AN152" s="230">
        <f>(1-Input!AN51)</f>
        <v>0.35</v>
      </c>
      <c r="AO152" s="230">
        <f>(1-Input!AO51)</f>
        <v>0.35</v>
      </c>
      <c r="AP152" s="230">
        <f>(1-Input!AP51)</f>
        <v>0.35</v>
      </c>
      <c r="AQ152" s="230">
        <f>(1-Input!AQ51)</f>
        <v>0.35</v>
      </c>
    </row>
    <row r="153" spans="2:46" s="155" customFormat="1" ht="15" customHeight="1">
      <c r="E153" s="155" t="s">
        <v>262</v>
      </c>
      <c r="G153" s="155" t="s">
        <v>47</v>
      </c>
      <c r="J153" s="33"/>
      <c r="K153" s="33"/>
      <c r="L153" s="33"/>
      <c r="M153" s="33"/>
      <c r="N153" s="33"/>
      <c r="O153" s="33"/>
      <c r="P153" s="33"/>
      <c r="Q153" s="33"/>
      <c r="R153" s="33"/>
      <c r="S153" s="33"/>
      <c r="T153" s="33"/>
      <c r="U153" s="33"/>
      <c r="V153" s="33"/>
      <c r="W153" s="33"/>
      <c r="X153" s="33"/>
      <c r="AJ153" s="241">
        <f>Input!$I$85</f>
        <v>0.05</v>
      </c>
      <c r="AK153" s="230">
        <f t="shared" ref="AK153:AQ153" si="42">AJ153</f>
        <v>0.05</v>
      </c>
      <c r="AL153" s="230">
        <f t="shared" si="42"/>
        <v>0.05</v>
      </c>
      <c r="AM153" s="230">
        <f t="shared" si="42"/>
        <v>0.05</v>
      </c>
      <c r="AN153" s="230">
        <f t="shared" si="42"/>
        <v>0.05</v>
      </c>
      <c r="AO153" s="230">
        <f t="shared" si="42"/>
        <v>0.05</v>
      </c>
      <c r="AP153" s="230">
        <f t="shared" si="42"/>
        <v>0.05</v>
      </c>
      <c r="AQ153" s="230">
        <f t="shared" si="42"/>
        <v>0.05</v>
      </c>
    </row>
    <row r="154" spans="2:46" s="155" customFormat="1" ht="15" customHeight="1">
      <c r="E154" s="35"/>
      <c r="J154" s="33"/>
      <c r="K154" s="33"/>
      <c r="L154" s="33"/>
      <c r="M154" s="33"/>
      <c r="N154" s="33"/>
      <c r="O154" s="33"/>
      <c r="P154" s="33"/>
      <c r="Q154" s="33"/>
      <c r="R154" s="33"/>
      <c r="S154" s="33"/>
      <c r="T154" s="33"/>
      <c r="U154" s="33"/>
      <c r="V154" s="33"/>
      <c r="W154" s="33"/>
      <c r="X154" s="33"/>
    </row>
    <row r="155" spans="2:46" s="155" customFormat="1" ht="15" customHeight="1">
      <c r="E155" s="35" t="s">
        <v>103</v>
      </c>
      <c r="G155" s="155" t="s">
        <v>25</v>
      </c>
      <c r="J155" s="33"/>
      <c r="K155" s="33"/>
      <c r="L155" s="33"/>
      <c r="M155" s="33"/>
      <c r="N155" s="33"/>
      <c r="O155" s="33"/>
      <c r="P155" s="33"/>
      <c r="Q155" s="33"/>
      <c r="R155" s="33"/>
      <c r="S155" s="33"/>
      <c r="T155" s="33"/>
      <c r="U155" s="33"/>
      <c r="V155" s="33"/>
      <c r="W155" s="33"/>
      <c r="X155" s="33"/>
      <c r="AJ155" s="38">
        <f>AJ151 * AJ152 * AJ153</f>
        <v>39.586710059297324</v>
      </c>
      <c r="AK155" s="38">
        <f t="shared" ref="AK155:AQ155" si="43">AK151 * AK152 * AK153</f>
        <v>41.221767544007655</v>
      </c>
      <c r="AL155" s="38">
        <f t="shared" si="43"/>
        <v>42.850114153490551</v>
      </c>
      <c r="AM155" s="38">
        <f t="shared" si="43"/>
        <v>44.585507619450226</v>
      </c>
      <c r="AN155" s="38">
        <f t="shared" si="43"/>
        <v>45.972772377178117</v>
      </c>
      <c r="AO155" s="38">
        <f t="shared" si="43"/>
        <v>47.453158465357873</v>
      </c>
      <c r="AP155" s="38">
        <f t="shared" si="43"/>
        <v>49.708997122088903</v>
      </c>
      <c r="AQ155" s="38">
        <f t="shared" si="43"/>
        <v>51.982780596922886</v>
      </c>
    </row>
    <row r="156" spans="2:46" s="155" customFormat="1" ht="15" customHeight="1">
      <c r="E156" s="35"/>
      <c r="J156" s="33"/>
      <c r="K156" s="33"/>
      <c r="L156" s="33"/>
      <c r="M156" s="33"/>
      <c r="N156" s="33"/>
      <c r="O156" s="33"/>
      <c r="P156" s="33"/>
      <c r="Q156" s="33"/>
      <c r="R156" s="33"/>
      <c r="S156" s="33"/>
      <c r="T156" s="33"/>
      <c r="U156" s="33"/>
      <c r="V156" s="33"/>
      <c r="W156" s="33"/>
      <c r="X156" s="33"/>
    </row>
    <row r="157" spans="2:46" s="190" customFormat="1" ht="15" customHeight="1">
      <c r="B157" s="294" t="s">
        <v>6</v>
      </c>
      <c r="C157" s="294"/>
      <c r="D157" s="294"/>
      <c r="E157" s="294"/>
      <c r="F157" s="294"/>
      <c r="G157" s="294"/>
      <c r="H157" s="294"/>
      <c r="I157" s="294"/>
      <c r="J157" s="294"/>
      <c r="K157" s="294"/>
      <c r="L157" s="294"/>
      <c r="M157" s="294"/>
      <c r="N157" s="294"/>
      <c r="O157" s="294"/>
      <c r="P157" s="294"/>
      <c r="Q157" s="294"/>
      <c r="R157" s="294"/>
      <c r="S157" s="294"/>
      <c r="T157" s="294"/>
      <c r="U157" s="294"/>
      <c r="V157" s="294"/>
      <c r="W157" s="294"/>
      <c r="X157" s="294"/>
      <c r="Y157" s="294"/>
      <c r="Z157" s="294"/>
      <c r="AA157" s="294"/>
      <c r="AB157" s="294"/>
      <c r="AC157" s="294"/>
      <c r="AD157" s="294"/>
      <c r="AE157" s="294"/>
      <c r="AF157" s="294"/>
      <c r="AG157" s="294"/>
      <c r="AH157" s="333"/>
      <c r="AI157" s="333"/>
      <c r="AJ157" s="294"/>
      <c r="AK157" s="294"/>
      <c r="AL157" s="294"/>
      <c r="AM157" s="294"/>
      <c r="AN157" s="294"/>
      <c r="AO157" s="294"/>
      <c r="AP157" s="294"/>
      <c r="AQ157" s="294"/>
      <c r="AR157" s="113"/>
      <c r="AS157" s="113"/>
      <c r="AT157" s="113"/>
    </row>
    <row r="158" spans="2:46" s="190" customFormat="1" ht="15" customHeight="1">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55"/>
      <c r="AK158" s="155"/>
      <c r="AL158" s="155"/>
      <c r="AM158" s="155"/>
      <c r="AN158" s="155"/>
      <c r="AO158" s="155"/>
      <c r="AP158" s="155"/>
      <c r="AQ158" s="155"/>
      <c r="AR158" s="113"/>
      <c r="AS158" s="113"/>
      <c r="AT158" s="113"/>
    </row>
    <row r="159" spans="2:46" s="190" customFormat="1" ht="15" customHeight="1">
      <c r="C159" s="292" t="s">
        <v>89</v>
      </c>
      <c r="D159" s="292"/>
      <c r="E159" s="292"/>
      <c r="F159" s="292"/>
      <c r="G159" s="292"/>
      <c r="H159" s="292"/>
      <c r="I159" s="292"/>
      <c r="J159" s="292"/>
      <c r="K159" s="292"/>
      <c r="L159" s="292"/>
      <c r="M159" s="292"/>
      <c r="N159" s="292"/>
      <c r="O159" s="292"/>
      <c r="P159" s="292"/>
      <c r="Q159" s="292"/>
      <c r="R159" s="292"/>
      <c r="S159" s="292"/>
      <c r="T159" s="292"/>
      <c r="U159" s="292"/>
      <c r="V159" s="292"/>
      <c r="W159" s="292"/>
      <c r="X159" s="292"/>
      <c r="Y159" s="292"/>
      <c r="Z159" s="292"/>
      <c r="AA159" s="292"/>
      <c r="AB159" s="292"/>
      <c r="AC159" s="292"/>
      <c r="AD159" s="292"/>
      <c r="AE159" s="292"/>
      <c r="AF159" s="292"/>
      <c r="AG159" s="292"/>
      <c r="AH159" s="312"/>
      <c r="AI159" s="312"/>
      <c r="AJ159" s="292"/>
      <c r="AK159" s="292"/>
      <c r="AL159" s="292"/>
      <c r="AM159" s="292"/>
      <c r="AN159" s="292"/>
      <c r="AO159" s="292"/>
      <c r="AP159" s="292"/>
      <c r="AQ159" s="292"/>
      <c r="AR159" s="113"/>
      <c r="AS159" s="113"/>
      <c r="AT159" s="113"/>
    </row>
    <row r="160" spans="2:46" s="155" customFormat="1" ht="15" customHeight="1">
      <c r="C160" s="192" t="s">
        <v>268</v>
      </c>
      <c r="D160" s="192"/>
      <c r="E160" s="192"/>
      <c r="F160" s="192"/>
      <c r="G160" s="192"/>
      <c r="H160" s="192"/>
      <c r="I160" s="192"/>
      <c r="J160" s="192"/>
      <c r="K160" s="192"/>
      <c r="L160" s="192"/>
      <c r="M160" s="192"/>
      <c r="N160" s="192"/>
      <c r="O160" s="192"/>
      <c r="P160" s="192"/>
      <c r="Q160" s="192"/>
      <c r="R160" s="192"/>
      <c r="S160" s="192"/>
      <c r="T160" s="192"/>
      <c r="U160" s="192"/>
      <c r="V160" s="192"/>
      <c r="W160" s="192"/>
      <c r="X160" s="192"/>
      <c r="Y160" s="192"/>
      <c r="Z160" s="192"/>
      <c r="AA160" s="192"/>
      <c r="AB160" s="192"/>
      <c r="AC160" s="192"/>
      <c r="AD160" s="192"/>
      <c r="AE160" s="192"/>
      <c r="AF160" s="194"/>
      <c r="AG160" s="194"/>
      <c r="AH160" s="194"/>
      <c r="AI160" s="194"/>
      <c r="AJ160" s="192"/>
      <c r="AK160" s="192"/>
      <c r="AL160" s="192"/>
      <c r="AM160" s="192"/>
      <c r="AN160" s="192"/>
      <c r="AO160" s="192"/>
      <c r="AP160" s="192"/>
      <c r="AQ160" s="192"/>
    </row>
    <row r="161" spans="3:47" s="190" customFormat="1" ht="15" customHeight="1">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row>
    <row r="162" spans="3:47" s="190" customFormat="1" ht="15" customHeight="1">
      <c r="E162" s="190" t="s">
        <v>620</v>
      </c>
      <c r="G162" s="190" t="s">
        <v>25</v>
      </c>
      <c r="I162" s="4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55"/>
      <c r="AI162" s="155"/>
      <c r="AJ162" s="155">
        <f>Revenue!AJ20 * Input!AJ$59 / Input!$AG$59</f>
        <v>488.23847296554055</v>
      </c>
      <c r="AK162" s="155">
        <f>Revenue!AK20 * Input!AK$59 / Input!$AG$59</f>
        <v>503.4905597135803</v>
      </c>
      <c r="AL162" s="155">
        <f>Revenue!AL20 * Input!AL$59 / Input!$AG$59</f>
        <v>520.39549786909345</v>
      </c>
      <c r="AM162" s="155">
        <f>Revenue!AM20 * Input!AM$59 / Input!$AG$59</f>
        <v>537.31845238652261</v>
      </c>
      <c r="AN162" s="155">
        <f>Revenue!AN20 * Input!AN$59 / Input!$AG$59</f>
        <v>554.07461361950561</v>
      </c>
      <c r="AO162" s="155">
        <f>Revenue!AO20 * Input!AO$59 / Input!$AG$59</f>
        <v>570.63014190066724</v>
      </c>
      <c r="AP162" s="155">
        <f>Revenue!AP20 * Input!AP$59 / Input!$AG$59</f>
        <v>588.31217980304655</v>
      </c>
      <c r="AQ162" s="155">
        <f>Revenue!AQ20 * Input!AQ$59 / Input!$AG$59</f>
        <v>606.26536534694696</v>
      </c>
      <c r="AR162" s="113"/>
      <c r="AS162" s="113"/>
      <c r="AT162" s="113"/>
      <c r="AU162" s="114"/>
    </row>
    <row r="163" spans="3:47" s="190" customFormat="1" ht="15" customHeight="1">
      <c r="E163" s="190" t="s">
        <v>590</v>
      </c>
      <c r="G163" s="190" t="s">
        <v>25</v>
      </c>
      <c r="I163" s="4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55"/>
      <c r="AI163" s="155"/>
      <c r="AJ163" s="155">
        <f>DARTs!AJ64 * Input!AJ59/Input!$AG59</f>
        <v>-40.317706717660734</v>
      </c>
      <c r="AK163" s="155">
        <f>DARTs!AK64 * Input!AK59/Input!$AG59</f>
        <v>-41.764158875252285</v>
      </c>
      <c r="AL163" s="155">
        <f>DARTs!AL64 * Input!AL59/Input!$AG59</f>
        <v>-43.269140728765841</v>
      </c>
      <c r="AM163" s="155">
        <f>DARTs!AM64 * Input!AM59/Input!$AG59</f>
        <v>-44.835427660846236</v>
      </c>
      <c r="AN163" s="155">
        <f>DARTs!AN64 * Input!AN59/Input!$AG59</f>
        <v>-46.466063430920961</v>
      </c>
      <c r="AO163" s="155">
        <f>DARTs!AO64 * Input!AO59/Input!$AG59</f>
        <v>-48.163907944006283</v>
      </c>
      <c r="AP163" s="155">
        <f>DARTs!AP64 * Input!AP59/Input!$AG59</f>
        <v>-49.932413460127904</v>
      </c>
      <c r="AQ163" s="155">
        <f>DARTs!AQ64 * Input!AQ59/Input!$AG59</f>
        <v>-51.77502063373678</v>
      </c>
      <c r="AR163" s="113"/>
      <c r="AS163"/>
      <c r="AT163" s="113"/>
      <c r="AU163" s="114"/>
    </row>
    <row r="164" spans="3:47" s="190" customFormat="1" ht="15" customHeight="1">
      <c r="E164" s="155" t="s">
        <v>832</v>
      </c>
      <c r="G164" s="190" t="s">
        <v>25</v>
      </c>
      <c r="H164" s="155"/>
      <c r="I164" s="413"/>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55">
        <f>IF(m_tracked=0,-TIM!AJ86 * Input!AJ59/Input!$AG59,0)</f>
        <v>0</v>
      </c>
      <c r="AK164" s="155">
        <f>IF(m_tracked=0,-TIM!AK86 * Input!AK59/Input!$AG59,0)</f>
        <v>0</v>
      </c>
      <c r="AL164" s="155">
        <f>IF(m_tracked=0,-TIM!AL86 * Input!AL59/Input!$AG59,0)</f>
        <v>0</v>
      </c>
      <c r="AM164" s="155">
        <f>IF(m_tracked=0,-TIM!AM86 * Input!AM59/Input!$AG59,0)</f>
        <v>0</v>
      </c>
      <c r="AN164" s="155">
        <f>IF(m_tracked=0,-TIM!AN86 * Input!AN59/Input!$AG59,0)</f>
        <v>0</v>
      </c>
      <c r="AO164" s="155">
        <f>IF(m_tracked=0,-TIM!AO86 * Input!AO59/Input!$AG59,0)</f>
        <v>0</v>
      </c>
      <c r="AP164" s="155">
        <f>IF(m_tracked=0,-TIM!AP86 * Input!AP59/Input!$AG59,0)</f>
        <v>0</v>
      </c>
      <c r="AQ164" s="155">
        <f>IF(m_tracked=0,-TIM!AQ86 * Input!AQ59/Input!$AG59,0)</f>
        <v>0</v>
      </c>
      <c r="AR164" s="113"/>
      <c r="AS164"/>
      <c r="AT164" s="113"/>
      <c r="AU164" s="114"/>
    </row>
    <row r="165" spans="3:47" s="190" customFormat="1" ht="15" customHeight="1">
      <c r="E165" s="155" t="s">
        <v>350</v>
      </c>
      <c r="G165" s="190" t="s">
        <v>25</v>
      </c>
      <c r="H165" s="155"/>
      <c r="I165" s="413"/>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13"/>
      <c r="AH165" s="155"/>
      <c r="AI165" s="155"/>
      <c r="AJ165" s="155">
        <f>AJ131</f>
        <v>-69.192771256241571</v>
      </c>
      <c r="AK165" s="155">
        <f t="shared" ref="AK165:AQ165" si="44">AK131</f>
        <v>-72.108205249219466</v>
      </c>
      <c r="AL165" s="155">
        <f t="shared" si="44"/>
        <v>-75.07470718819674</v>
      </c>
      <c r="AM165" s="155">
        <f t="shared" si="44"/>
        <v>-78.000136188671974</v>
      </c>
      <c r="AN165" s="155">
        <f t="shared" si="44"/>
        <v>-80.159773183497379</v>
      </c>
      <c r="AO165" s="155">
        <f t="shared" si="44"/>
        <v>-81.463696547999021</v>
      </c>
      <c r="AP165" s="155">
        <f t="shared" si="44"/>
        <v>-83.001812699343844</v>
      </c>
      <c r="AQ165" s="155">
        <f t="shared" si="44"/>
        <v>-84.585483072951774</v>
      </c>
      <c r="AR165" s="113"/>
      <c r="AS165"/>
      <c r="AT165" s="113"/>
      <c r="AU165" s="114"/>
    </row>
    <row r="166" spans="3:47" s="190" customFormat="1" ht="15" customHeight="1">
      <c r="E166" s="155" t="s">
        <v>349</v>
      </c>
      <c r="G166" s="190" t="s">
        <v>25</v>
      </c>
      <c r="I166" s="4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55"/>
      <c r="AI166" s="155"/>
      <c r="AJ166" s="155">
        <f>AJ133</f>
        <v>-11.145087660055367</v>
      </c>
      <c r="AK166" s="155">
        <f t="shared" ref="AK166:AQ166" si="45">AK133</f>
        <v>-11.614369214127873</v>
      </c>
      <c r="AL166" s="155">
        <f t="shared" si="45"/>
        <v>-12.092075291212055</v>
      </c>
      <c r="AM166" s="155">
        <f t="shared" si="45"/>
        <v>-12.563188545270087</v>
      </c>
      <c r="AN166" s="155">
        <f t="shared" si="45"/>
        <v>-12.911534636042585</v>
      </c>
      <c r="AO166" s="155">
        <f t="shared" si="45"/>
        <v>-13.120959134836056</v>
      </c>
      <c r="AP166" s="155">
        <f t="shared" si="45"/>
        <v>-13.369041201079508</v>
      </c>
      <c r="AQ166" s="155">
        <f t="shared" si="45"/>
        <v>-13.624437949421647</v>
      </c>
      <c r="AR166" s="113"/>
      <c r="AS166"/>
      <c r="AT166" s="113"/>
      <c r="AU166" s="114"/>
    </row>
    <row r="167" spans="3:47" s="190" customFormat="1" ht="15" customHeight="1">
      <c r="E167" s="190" t="s">
        <v>263</v>
      </c>
      <c r="G167" s="190" t="s">
        <v>25</v>
      </c>
      <c r="H167" s="155"/>
      <c r="I167" s="413"/>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13"/>
      <c r="AH167" s="155"/>
      <c r="AI167" s="155"/>
      <c r="AJ167" s="155">
        <f>-TaxPools!AJ75*Input!AJ59/Input!$AG59</f>
        <v>-163.52593080875045</v>
      </c>
      <c r="AK167" s="155">
        <f>-TaxPools!AK75*Input!AK59/Input!$AG59</f>
        <v>-163.37930908397288</v>
      </c>
      <c r="AL167" s="155">
        <f>-TaxPools!AL75*Input!AL59/Input!$AG59</f>
        <v>-170.22351960592545</v>
      </c>
      <c r="AM167" s="155">
        <f>-TaxPools!AM75*Input!AM59/Input!$AG59</f>
        <v>-174.72132620031954</v>
      </c>
      <c r="AN167" s="155">
        <f>-TaxPools!AN75*Input!AN59/Input!$AG59</f>
        <v>-179.96653598456817</v>
      </c>
      <c r="AO167" s="155">
        <f>-TaxPools!AO75*Input!AO59/Input!$AG59</f>
        <v>-182.17065867290233</v>
      </c>
      <c r="AP167" s="155">
        <f>-TaxPools!AP75*Input!AP59/Input!$AG59</f>
        <v>-186.24571054173924</v>
      </c>
      <c r="AQ167" s="155">
        <f>-TaxPools!AQ75*Input!AQ59/Input!$AG59</f>
        <v>-189.61800309000247</v>
      </c>
      <c r="AR167" s="113"/>
      <c r="AS167"/>
      <c r="AT167" s="113"/>
      <c r="AU167" s="114"/>
    </row>
    <row r="168" spans="3:47" s="190" customFormat="1" ht="15" customHeight="1">
      <c r="E168" s="190" t="s">
        <v>125</v>
      </c>
      <c r="G168" s="190" t="s">
        <v>25</v>
      </c>
      <c r="H168" s="155"/>
      <c r="I168" s="413"/>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55">
        <f>-TaxPools!AJ127</f>
        <v>-84.593079738494225</v>
      </c>
      <c r="AK168" s="155">
        <f>-TaxPools!AK127</f>
        <v>-92.017167581381344</v>
      </c>
      <c r="AL168" s="155">
        <f>-TaxPools!AL127</f>
        <v>-98.597873543457695</v>
      </c>
      <c r="AM168" s="155">
        <f>-TaxPools!AM127</f>
        <v>-105.51295209857744</v>
      </c>
      <c r="AN168" s="155">
        <f>-TaxPools!AN127</f>
        <v>-109.53988521883323</v>
      </c>
      <c r="AO168" s="155">
        <f>-TaxPools!AO127</f>
        <v>-114.31212003821216</v>
      </c>
      <c r="AP168" s="155">
        <f>-TaxPools!AP127</f>
        <v>-120.26718390749136</v>
      </c>
      <c r="AQ168" s="155">
        <f>-TaxPools!AQ127</f>
        <v>-125.77883699255358</v>
      </c>
      <c r="AR168" s="113"/>
      <c r="AS168"/>
      <c r="AT168" s="113"/>
      <c r="AU168" s="114"/>
    </row>
    <row r="169" spans="3:47" s="190" customFormat="1" ht="15" customHeight="1">
      <c r="E169" s="190" t="s">
        <v>404</v>
      </c>
      <c r="G169" s="190" t="s">
        <v>25</v>
      </c>
      <c r="H169" s="155"/>
      <c r="I169" s="413"/>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65">
        <f t="shared" ref="AJ169:AQ169" si="46">SUM(AJ162:AJ168)</f>
        <v>119.46389678433826</v>
      </c>
      <c r="AK169" s="165">
        <f t="shared" si="46"/>
        <v>122.60734970962646</v>
      </c>
      <c r="AL169" s="165">
        <f t="shared" si="46"/>
        <v>121.13818151153572</v>
      </c>
      <c r="AM169" s="165">
        <f t="shared" si="46"/>
        <v>121.68542169283739</v>
      </c>
      <c r="AN169" s="165">
        <f t="shared" si="46"/>
        <v>125.03082116564335</v>
      </c>
      <c r="AO169" s="165">
        <f t="shared" si="46"/>
        <v>131.39879956271139</v>
      </c>
      <c r="AP169" s="165">
        <f t="shared" si="46"/>
        <v>135.49601799326467</v>
      </c>
      <c r="AQ169" s="165">
        <f t="shared" si="46"/>
        <v>140.88358360828079</v>
      </c>
      <c r="AR169" s="113"/>
      <c r="AS169"/>
      <c r="AT169" s="113"/>
      <c r="AU169" s="114"/>
    </row>
    <row r="170" spans="3:47" s="190" customFormat="1" ht="15" customHeight="1">
      <c r="H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55"/>
      <c r="AK170" s="155"/>
      <c r="AL170" s="155"/>
      <c r="AM170" s="155"/>
      <c r="AN170" s="155"/>
      <c r="AO170" s="155"/>
      <c r="AP170" s="155"/>
      <c r="AQ170" s="155"/>
      <c r="AR170" s="113"/>
      <c r="AS170" s="113"/>
      <c r="AT170" s="113"/>
      <c r="AU170" s="114"/>
    </row>
    <row r="171" spans="3:47" s="190" customFormat="1" ht="15" customHeight="1">
      <c r="C171" s="292" t="s">
        <v>6</v>
      </c>
      <c r="D171" s="292"/>
      <c r="E171" s="292"/>
      <c r="F171" s="292"/>
      <c r="G171" s="312"/>
      <c r="H171" s="312"/>
      <c r="I171" s="312"/>
      <c r="J171" s="312"/>
      <c r="K171" s="312"/>
      <c r="L171" s="312"/>
      <c r="M171" s="312"/>
      <c r="N171" s="312"/>
      <c r="O171" s="312"/>
      <c r="P171" s="312"/>
      <c r="Q171" s="312"/>
      <c r="R171" s="312"/>
      <c r="S171" s="312"/>
      <c r="T171" s="312"/>
      <c r="U171" s="312"/>
      <c r="V171" s="312"/>
      <c r="W171" s="312"/>
      <c r="X171" s="312"/>
      <c r="Y171" s="312"/>
      <c r="Z171" s="312"/>
      <c r="AA171" s="312"/>
      <c r="AB171" s="312"/>
      <c r="AC171" s="312"/>
      <c r="AD171" s="312"/>
      <c r="AE171" s="312"/>
      <c r="AF171" s="312"/>
      <c r="AG171" s="312"/>
      <c r="AH171" s="312"/>
      <c r="AI171" s="312"/>
      <c r="AJ171" s="312"/>
      <c r="AK171" s="312"/>
      <c r="AL171" s="312"/>
      <c r="AM171" s="312"/>
      <c r="AN171" s="312"/>
      <c r="AO171" s="312"/>
      <c r="AP171" s="312"/>
      <c r="AQ171" s="312"/>
      <c r="AR171" s="113"/>
      <c r="AS171" s="113"/>
      <c r="AT171" s="113"/>
      <c r="AU171" s="114"/>
    </row>
    <row r="172" spans="3:47" s="190" customFormat="1" ht="15" customHeight="1">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55"/>
      <c r="AK172" s="155"/>
      <c r="AL172" s="155"/>
      <c r="AM172" s="155"/>
      <c r="AN172" s="155"/>
      <c r="AO172" s="155"/>
      <c r="AP172" s="155"/>
      <c r="AQ172" s="155"/>
      <c r="AR172" s="113"/>
      <c r="AS172" s="113"/>
      <c r="AT172" s="113"/>
      <c r="AU172" s="114"/>
    </row>
    <row r="173" spans="3:47" s="190" customFormat="1" ht="15" customHeight="1">
      <c r="D173" s="196" t="s">
        <v>628</v>
      </c>
      <c r="E173" s="196"/>
      <c r="F173" s="196"/>
      <c r="G173" s="196"/>
      <c r="H173" s="196"/>
      <c r="I173" s="196"/>
      <c r="J173" s="196"/>
      <c r="K173" s="196"/>
      <c r="L173" s="196"/>
      <c r="M173" s="196"/>
      <c r="N173" s="196"/>
      <c r="O173" s="196"/>
      <c r="P173" s="196"/>
      <c r="Q173" s="196"/>
      <c r="R173" s="196"/>
      <c r="S173" s="196"/>
      <c r="T173" s="196"/>
      <c r="U173" s="196"/>
      <c r="V173" s="196"/>
      <c r="W173" s="196"/>
      <c r="X173" s="196"/>
      <c r="Y173" s="196"/>
      <c r="Z173" s="196"/>
      <c r="AA173" s="196"/>
      <c r="AB173" s="196"/>
      <c r="AC173" s="196"/>
      <c r="AD173" s="196"/>
      <c r="AE173" s="196"/>
      <c r="AF173" s="196"/>
      <c r="AG173" s="196"/>
      <c r="AH173" s="197"/>
      <c r="AI173" s="197"/>
      <c r="AJ173" s="197"/>
      <c r="AK173" s="197"/>
      <c r="AL173" s="197"/>
      <c r="AM173" s="197"/>
      <c r="AN173" s="197"/>
      <c r="AO173" s="197"/>
      <c r="AP173" s="197"/>
      <c r="AQ173" s="197"/>
      <c r="AR173" s="113"/>
    </row>
    <row r="174" spans="3:47" s="190" customFormat="1" ht="15" customHeight="1"/>
    <row r="175" spans="3:47" s="190" customFormat="1" ht="15" customHeight="1">
      <c r="E175" s="155" t="s">
        <v>464</v>
      </c>
      <c r="G175" s="190" t="s">
        <v>25</v>
      </c>
      <c r="AJ175" s="155">
        <f>-ABS(Input!AH401)</f>
        <v>0</v>
      </c>
      <c r="AK175" s="220">
        <f>SUM(AJ180)</f>
        <v>0</v>
      </c>
      <c r="AL175" s="155">
        <f t="shared" ref="AL175:AQ175" si="47">SUM(AK180)</f>
        <v>0</v>
      </c>
      <c r="AM175" s="155">
        <f t="shared" si="47"/>
        <v>0</v>
      </c>
      <c r="AN175" s="155">
        <f t="shared" si="47"/>
        <v>0</v>
      </c>
      <c r="AO175" s="155">
        <f t="shared" si="47"/>
        <v>0</v>
      </c>
      <c r="AP175" s="155">
        <f t="shared" si="47"/>
        <v>0</v>
      </c>
      <c r="AQ175" s="155">
        <f t="shared" si="47"/>
        <v>0</v>
      </c>
    </row>
    <row r="176" spans="3:47" s="190" customFormat="1" ht="15" customHeight="1">
      <c r="E176" s="155" t="s">
        <v>463</v>
      </c>
      <c r="G176" s="190" t="s">
        <v>25</v>
      </c>
      <c r="AJ176" s="155">
        <f>MIN(AJ169, 0)</f>
        <v>0</v>
      </c>
      <c r="AK176" s="155">
        <f>MIN(AK169, 0)</f>
        <v>0</v>
      </c>
      <c r="AL176" s="155">
        <f t="shared" ref="AL176:AQ176" si="48">MIN(AL169, 0)</f>
        <v>0</v>
      </c>
      <c r="AM176" s="155">
        <f t="shared" si="48"/>
        <v>0</v>
      </c>
      <c r="AN176" s="155">
        <f t="shared" si="48"/>
        <v>0</v>
      </c>
      <c r="AO176" s="155">
        <f t="shared" si="48"/>
        <v>0</v>
      </c>
      <c r="AP176" s="155">
        <f t="shared" si="48"/>
        <v>0</v>
      </c>
      <c r="AQ176" s="155">
        <f t="shared" si="48"/>
        <v>0</v>
      </c>
    </row>
    <row r="177" spans="4:44" s="190" customFormat="1" ht="15" customHeight="1">
      <c r="E177" s="155" t="s">
        <v>629</v>
      </c>
      <c r="G177" s="190" t="s">
        <v>25</v>
      </c>
      <c r="AJ177" s="155">
        <f>-Input!AJ38*(1/AJ186)</f>
        <v>0</v>
      </c>
      <c r="AK177" s="155">
        <f>-Input!AK38*(1/AK186)</f>
        <v>0</v>
      </c>
      <c r="AL177" s="155">
        <f>-Input!AL38*(1/AL186)</f>
        <v>0</v>
      </c>
      <c r="AM177" s="155">
        <f>-Input!AM38*(1/AM186)</f>
        <v>0</v>
      </c>
      <c r="AN177" s="155">
        <f>-Input!AN38*(1/AN186)</f>
        <v>0</v>
      </c>
      <c r="AO177" s="155">
        <f>-Input!AO38*(1/AO186)</f>
        <v>0</v>
      </c>
      <c r="AP177" s="155">
        <f>-Input!AP38*(1/AP186)</f>
        <v>0</v>
      </c>
      <c r="AQ177" s="155">
        <f>-Input!AQ38*(1/AQ186)</f>
        <v>0</v>
      </c>
    </row>
    <row r="178" spans="4:44" s="190" customFormat="1" ht="15" customHeight="1">
      <c r="E178" s="155" t="s">
        <v>630</v>
      </c>
      <c r="G178" s="190" t="s">
        <v>25</v>
      </c>
      <c r="AJ178" s="155">
        <f>-IF(Input!AJ39&gt;0,-MIN(Input!AJ39*(Input!AJ$59/Input!$AG59)*((1-AJ186)*1/AJ186),MAX(-(AJ169+SUM(AJ175:AJ177)),0)),-MIN(Input!AJ39*(Input!AJ$59/Input!$AG59)*((1-AJ186)*1/AJ186),MAX(AJ169+SUM(AJ175:AJ177),0)))</f>
        <v>0</v>
      </c>
      <c r="AK178" s="155">
        <f>-IF(Input!AK39&gt;0,-MIN(Input!AK39*(Input!AK$59/Input!$AG59)*((1-AK186)*1/AK186),MAX(-(AK169+SUM(AK175:AK177)),0)),-MIN(Input!AK39*(Input!AK$59/Input!$AG59)*((1-AK186)*1/AK186),MAX(AK169+SUM(AK175:AK177),0)))</f>
        <v>0</v>
      </c>
      <c r="AL178" s="155">
        <f>-IF(Input!AL39&gt;0,-MIN(Input!AL39*(Input!AL$59/Input!$AG59)*((1-AL186)*1/AL186),MAX(-(AL169+SUM(AL175:AL177)),0)),-MIN(Input!AL39*(Input!AL$59/Input!$AG59)*((1-AL186)*1/AL186),MAX(AL169+SUM(AL175:AL177),0)))</f>
        <v>0</v>
      </c>
      <c r="AM178" s="155">
        <f>-IF(Input!AM39&gt;0,-MIN(Input!AM39*(Input!AM$59/Input!$AG59)*((1-AM186)*1/AM186),MAX(-(AM169+SUM(AM175:AM177)),0)),-MIN(Input!AM39*(Input!AM$59/Input!$AG59)*((1-AM186)*1/AM186),MAX(AM169+SUM(AM175:AM177),0)))</f>
        <v>0</v>
      </c>
      <c r="AN178" s="155">
        <f>-IF(Input!AN39&gt;0,-MIN(Input!AN39*(Input!AN$59/Input!$AG59)*((1-AN186)*1/AN186),MAX(-(AN169+SUM(AN175:AN177)),0)),-MIN(Input!AN39*(Input!AN$59/Input!$AG59)*((1-AN186)*1/AN186),MAX(AN169+SUM(AN175:AN177),0)))</f>
        <v>0</v>
      </c>
      <c r="AO178" s="155">
        <f>-IF(Input!AO39&gt;0,-MIN(Input!AO39*(Input!AO$59/Input!$AG59)*((1-AO186)*1/AO186),MAX(-(AO169+SUM(AO175:AO177)),0)),-MIN(Input!AO39*(Input!AO$59/Input!$AG59)*((1-AO186)*1/AO186),MAX(AO169+SUM(AO175:AO177),0)))</f>
        <v>0</v>
      </c>
      <c r="AP178" s="155">
        <f>-IF(Input!AP39&gt;0,-MIN(Input!AP39*(Input!AP$59/Input!$AG59)*((1-AP186)*1/AP186),MAX(-(AP169+SUM(AP175:AP177)),0)),-MIN(Input!AP39*(Input!AP$59/Input!$AG59)*((1-AP186)*1/AP186),MAX(AP169+SUM(AP175:AP177),0)))</f>
        <v>0</v>
      </c>
      <c r="AQ178" s="155">
        <f>-IF(Input!AQ39&gt;0,-MIN(Input!AQ39*(Input!AQ$59/Input!$AG59)*((1-AQ186)*1/AQ186),MAX(-(AQ169+SUM(AQ175:AQ177)),0)),-MIN(Input!AQ39*(Input!AQ$59/Input!$AG59)*((1-AQ186)*1/AQ186),MAX(AQ169+SUM(AQ175:AQ177),0)))</f>
        <v>0</v>
      </c>
    </row>
    <row r="179" spans="4:44" s="190" customFormat="1" ht="15" customHeight="1">
      <c r="E179" s="190" t="s">
        <v>613</v>
      </c>
      <c r="G179" s="190" t="s">
        <v>25</v>
      </c>
      <c r="AJ179" s="155">
        <f t="shared" ref="AJ179:AQ179" si="49">IF(AJ169 &gt;= 0, MIN(AJ169, -AJ175-AJ177-AJ178), 0)</f>
        <v>0</v>
      </c>
      <c r="AK179" s="155">
        <f t="shared" si="49"/>
        <v>0</v>
      </c>
      <c r="AL179" s="155">
        <f t="shared" si="49"/>
        <v>0</v>
      </c>
      <c r="AM179" s="155">
        <f t="shared" si="49"/>
        <v>0</v>
      </c>
      <c r="AN179" s="155">
        <f t="shared" si="49"/>
        <v>0</v>
      </c>
      <c r="AO179" s="155">
        <f t="shared" si="49"/>
        <v>0</v>
      </c>
      <c r="AP179" s="155">
        <f t="shared" si="49"/>
        <v>0</v>
      </c>
      <c r="AQ179" s="155">
        <f t="shared" si="49"/>
        <v>0</v>
      </c>
    </row>
    <row r="180" spans="4:44" s="190" customFormat="1" ht="15" customHeight="1">
      <c r="E180" s="155" t="s">
        <v>74</v>
      </c>
      <c r="G180" s="190" t="s">
        <v>25</v>
      </c>
      <c r="AJ180" s="165">
        <f t="shared" ref="AJ180:AQ180" si="50">SUM(AJ175:AJ179)</f>
        <v>0</v>
      </c>
      <c r="AK180" s="165">
        <f t="shared" si="50"/>
        <v>0</v>
      </c>
      <c r="AL180" s="165">
        <f t="shared" si="50"/>
        <v>0</v>
      </c>
      <c r="AM180" s="165">
        <f t="shared" si="50"/>
        <v>0</v>
      </c>
      <c r="AN180" s="165">
        <f t="shared" si="50"/>
        <v>0</v>
      </c>
      <c r="AO180" s="165">
        <f t="shared" si="50"/>
        <v>0</v>
      </c>
      <c r="AP180" s="165">
        <f t="shared" si="50"/>
        <v>0</v>
      </c>
      <c r="AQ180" s="165">
        <f t="shared" si="50"/>
        <v>0</v>
      </c>
    </row>
    <row r="181" spans="4:44" s="190" customFormat="1" ht="15" customHeight="1">
      <c r="AJ181" s="155"/>
      <c r="AK181" s="155"/>
      <c r="AL181" s="155"/>
      <c r="AM181" s="155"/>
      <c r="AN181" s="155"/>
      <c r="AO181" s="155"/>
      <c r="AP181" s="155"/>
      <c r="AQ181" s="155"/>
    </row>
    <row r="182" spans="4:44" s="190" customFormat="1" ht="15" customHeight="1">
      <c r="D182" s="196" t="s">
        <v>340</v>
      </c>
      <c r="E182" s="196"/>
      <c r="F182" s="196"/>
      <c r="G182" s="196"/>
      <c r="H182" s="196"/>
      <c r="I182" s="196"/>
      <c r="J182" s="196"/>
      <c r="K182" s="196"/>
      <c r="L182" s="196"/>
      <c r="M182" s="196"/>
      <c r="N182" s="196"/>
      <c r="O182" s="196"/>
      <c r="P182" s="196"/>
      <c r="Q182" s="196"/>
      <c r="R182" s="196"/>
      <c r="S182" s="196"/>
      <c r="T182" s="196"/>
      <c r="U182" s="196"/>
      <c r="V182" s="196"/>
      <c r="W182" s="196"/>
      <c r="X182" s="196"/>
      <c r="Y182" s="196"/>
      <c r="Z182" s="196"/>
      <c r="AA182" s="196"/>
      <c r="AB182" s="196"/>
      <c r="AC182" s="196"/>
      <c r="AD182" s="196"/>
      <c r="AE182" s="196"/>
      <c r="AF182" s="196"/>
      <c r="AG182" s="196"/>
      <c r="AH182" s="197"/>
      <c r="AI182" s="197"/>
      <c r="AJ182" s="196"/>
      <c r="AK182" s="196"/>
      <c r="AL182" s="196"/>
      <c r="AM182" s="196"/>
      <c r="AN182" s="196"/>
      <c r="AO182" s="196"/>
      <c r="AP182" s="196"/>
      <c r="AQ182" s="196"/>
    </row>
    <row r="183" spans="4:44" s="155" customFormat="1" ht="15" customHeight="1">
      <c r="D183" s="192" t="s">
        <v>357</v>
      </c>
      <c r="E183" s="192"/>
      <c r="F183" s="192"/>
      <c r="G183" s="192"/>
      <c r="H183" s="192"/>
      <c r="I183" s="192"/>
      <c r="J183" s="192"/>
      <c r="K183" s="192"/>
      <c r="L183" s="192"/>
      <c r="M183" s="192"/>
      <c r="N183" s="192"/>
      <c r="O183" s="192"/>
      <c r="P183" s="192"/>
      <c r="Q183" s="192"/>
      <c r="R183" s="192"/>
      <c r="S183" s="192"/>
      <c r="T183" s="192"/>
      <c r="U183" s="192"/>
      <c r="V183" s="192"/>
      <c r="W183" s="192"/>
      <c r="X183" s="192"/>
      <c r="Y183" s="192"/>
      <c r="Z183" s="192"/>
      <c r="AA183" s="192"/>
      <c r="AB183" s="192"/>
      <c r="AC183" s="192"/>
      <c r="AD183" s="192"/>
      <c r="AE183" s="192"/>
      <c r="AF183" s="194"/>
      <c r="AG183" s="194"/>
      <c r="AH183" s="194"/>
      <c r="AI183" s="194"/>
      <c r="AJ183" s="192"/>
      <c r="AK183" s="192"/>
      <c r="AL183" s="192"/>
      <c r="AM183" s="192"/>
      <c r="AN183" s="192"/>
      <c r="AO183" s="192"/>
      <c r="AP183" s="192"/>
      <c r="AQ183" s="192"/>
    </row>
    <row r="184" spans="4:44" s="155" customFormat="1" ht="15" customHeight="1">
      <c r="J184" s="33"/>
      <c r="K184" s="33"/>
      <c r="L184" s="33"/>
      <c r="M184" s="33"/>
      <c r="N184" s="33"/>
      <c r="O184" s="33"/>
      <c r="P184" s="33"/>
      <c r="Q184" s="33"/>
      <c r="R184" s="33"/>
      <c r="S184" s="33"/>
      <c r="T184" s="33"/>
      <c r="U184" s="33"/>
      <c r="V184" s="33"/>
      <c r="W184" s="33"/>
      <c r="X184" s="33"/>
    </row>
    <row r="185" spans="4:44" s="155" customFormat="1" ht="15" customHeight="1">
      <c r="E185" s="190" t="s">
        <v>465</v>
      </c>
      <c r="F185" s="190"/>
      <c r="G185" s="190" t="s">
        <v>25</v>
      </c>
      <c r="J185" s="33"/>
      <c r="K185" s="33"/>
      <c r="L185" s="33"/>
      <c r="M185" s="33"/>
      <c r="N185" s="33"/>
      <c r="O185" s="33"/>
      <c r="P185" s="33"/>
      <c r="Q185" s="33"/>
      <c r="R185" s="33"/>
      <c r="S185" s="33"/>
      <c r="T185" s="33"/>
      <c r="U185" s="33"/>
      <c r="V185" s="33"/>
      <c r="W185" s="33"/>
      <c r="X185" s="33"/>
      <c r="AJ185" s="155">
        <f t="shared" ref="AJ185:AQ185" si="51">MAX(AJ169-AJ179,0)</f>
        <v>119.46389678433826</v>
      </c>
      <c r="AK185" s="155">
        <f>MAX(AK169-AK179,0)</f>
        <v>122.60734970962646</v>
      </c>
      <c r="AL185" s="155">
        <f t="shared" si="51"/>
        <v>121.13818151153572</v>
      </c>
      <c r="AM185" s="155">
        <f t="shared" si="51"/>
        <v>121.68542169283739</v>
      </c>
      <c r="AN185" s="155">
        <f t="shared" si="51"/>
        <v>125.03082116564335</v>
      </c>
      <c r="AO185" s="155">
        <f t="shared" si="51"/>
        <v>131.39879956271139</v>
      </c>
      <c r="AP185" s="155">
        <f t="shared" si="51"/>
        <v>135.49601799326467</v>
      </c>
      <c r="AQ185" s="155">
        <f t="shared" si="51"/>
        <v>140.88358360828079</v>
      </c>
    </row>
    <row r="186" spans="4:44" s="155" customFormat="1" ht="15" customHeight="1">
      <c r="E186" s="155" t="s">
        <v>82</v>
      </c>
      <c r="F186" s="190"/>
      <c r="G186" s="155" t="s">
        <v>47</v>
      </c>
      <c r="J186" s="33"/>
      <c r="K186" s="33"/>
      <c r="L186" s="33"/>
      <c r="M186" s="33"/>
      <c r="N186" s="33"/>
      <c r="O186" s="33"/>
      <c r="P186" s="33"/>
      <c r="Q186" s="33"/>
      <c r="R186" s="33"/>
      <c r="S186" s="33"/>
      <c r="T186" s="33"/>
      <c r="U186" s="33"/>
      <c r="V186" s="33"/>
      <c r="W186" s="33"/>
      <c r="X186" s="33"/>
      <c r="AJ186" s="334">
        <f>TaxTrigger!AJ$96</f>
        <v>0.2</v>
      </c>
      <c r="AK186" s="334">
        <f>TaxTrigger!AK$96</f>
        <v>0.2</v>
      </c>
      <c r="AL186" s="334">
        <f>TaxTrigger!AL$96</f>
        <v>0.2</v>
      </c>
      <c r="AM186" s="334">
        <f>TaxTrigger!AM$96</f>
        <v>0.2</v>
      </c>
      <c r="AN186" s="334">
        <f>TaxTrigger!AN$96</f>
        <v>0.2</v>
      </c>
      <c r="AO186" s="334">
        <f>TaxTrigger!AO$96</f>
        <v>0.2</v>
      </c>
      <c r="AP186" s="334">
        <f>TaxTrigger!AP$96</f>
        <v>0.2</v>
      </c>
      <c r="AQ186" s="334">
        <f>TaxTrigger!AQ$96</f>
        <v>0.2</v>
      </c>
      <c r="AR186" s="334"/>
    </row>
    <row r="187" spans="4:44" s="190" customFormat="1" ht="15" customHeight="1">
      <c r="E187" s="190" t="s">
        <v>298</v>
      </c>
      <c r="G187" s="190" t="s">
        <v>25</v>
      </c>
      <c r="AJ187" s="155">
        <f t="shared" ref="AJ187:AQ187" si="52">AJ186*AJ185</f>
        <v>23.892779356867653</v>
      </c>
      <c r="AK187" s="155">
        <f t="shared" si="52"/>
        <v>24.521469941925293</v>
      </c>
      <c r="AL187" s="155">
        <f t="shared" si="52"/>
        <v>24.227636302307147</v>
      </c>
      <c r="AM187" s="155">
        <f t="shared" si="52"/>
        <v>24.337084338567479</v>
      </c>
      <c r="AN187" s="155">
        <f t="shared" si="52"/>
        <v>25.006164233128672</v>
      </c>
      <c r="AO187" s="155">
        <f t="shared" si="52"/>
        <v>26.279759912542278</v>
      </c>
      <c r="AP187" s="155">
        <f t="shared" si="52"/>
        <v>27.099203598652934</v>
      </c>
      <c r="AQ187" s="155">
        <f t="shared" si="52"/>
        <v>28.17671672165616</v>
      </c>
    </row>
    <row r="188" spans="4:44" s="190" customFormat="1" ht="15" customHeight="1">
      <c r="AJ188" s="155"/>
      <c r="AK188" s="155"/>
      <c r="AL188" s="155"/>
      <c r="AM188" s="155"/>
      <c r="AN188" s="155"/>
      <c r="AO188" s="155"/>
      <c r="AP188" s="155"/>
      <c r="AQ188" s="155"/>
    </row>
    <row r="189" spans="4:44" s="190" customFormat="1" ht="15" customHeight="1">
      <c r="E189" s="155" t="s">
        <v>264</v>
      </c>
      <c r="G189" s="155" t="s">
        <v>44</v>
      </c>
      <c r="AJ189" s="19">
        <f t="shared" ref="AJ189:AQ189" si="53">1 / (1 - AJ186)</f>
        <v>1.25</v>
      </c>
      <c r="AK189" s="19">
        <f t="shared" si="53"/>
        <v>1.25</v>
      </c>
      <c r="AL189" s="19">
        <f t="shared" si="53"/>
        <v>1.25</v>
      </c>
      <c r="AM189" s="19">
        <f t="shared" si="53"/>
        <v>1.25</v>
      </c>
      <c r="AN189" s="19">
        <f t="shared" si="53"/>
        <v>1.25</v>
      </c>
      <c r="AO189" s="19">
        <f t="shared" si="53"/>
        <v>1.25</v>
      </c>
      <c r="AP189" s="19">
        <f t="shared" si="53"/>
        <v>1.25</v>
      </c>
      <c r="AQ189" s="19">
        <f t="shared" si="53"/>
        <v>1.25</v>
      </c>
    </row>
    <row r="190" spans="4:44" s="190" customFormat="1" ht="15" customHeight="1">
      <c r="AJ190" s="155"/>
      <c r="AK190" s="155"/>
      <c r="AL190" s="155"/>
      <c r="AM190" s="155"/>
      <c r="AN190" s="155"/>
      <c r="AO190" s="155"/>
      <c r="AP190" s="155"/>
      <c r="AQ190" s="155"/>
    </row>
    <row r="191" spans="4:44" s="190" customFormat="1" ht="15" customHeight="1">
      <c r="E191" s="147" t="s">
        <v>621</v>
      </c>
      <c r="G191" s="190" t="s">
        <v>25</v>
      </c>
      <c r="AJ191" s="38">
        <f t="shared" ref="AJ191:AQ191" si="54">AJ187 * AJ189</f>
        <v>29.865974196084565</v>
      </c>
      <c r="AK191" s="38">
        <f t="shared" si="54"/>
        <v>30.651837427406615</v>
      </c>
      <c r="AL191" s="38">
        <f t="shared" si="54"/>
        <v>30.284545377883934</v>
      </c>
      <c r="AM191" s="38">
        <f t="shared" si="54"/>
        <v>30.421355423209349</v>
      </c>
      <c r="AN191" s="38">
        <f t="shared" si="54"/>
        <v>31.25770529141084</v>
      </c>
      <c r="AO191" s="38">
        <f t="shared" si="54"/>
        <v>32.849699890677847</v>
      </c>
      <c r="AP191" s="38">
        <f t="shared" si="54"/>
        <v>33.874004498316168</v>
      </c>
      <c r="AQ191" s="38">
        <f t="shared" si="54"/>
        <v>35.220895902070197</v>
      </c>
    </row>
    <row r="192" spans="4:44" s="190" customFormat="1" ht="15" customHeight="1">
      <c r="AJ192" s="155"/>
      <c r="AK192" s="155"/>
      <c r="AL192" s="155"/>
      <c r="AM192" s="155"/>
      <c r="AN192" s="155"/>
      <c r="AO192" s="155"/>
      <c r="AP192" s="155"/>
      <c r="AQ192" s="155"/>
    </row>
    <row r="193" spans="2:47" s="190" customFormat="1" ht="15" customHeight="1">
      <c r="D193" s="196" t="s">
        <v>6</v>
      </c>
      <c r="E193" s="196"/>
      <c r="F193" s="196"/>
      <c r="G193" s="196"/>
      <c r="H193" s="196"/>
      <c r="I193" s="196"/>
      <c r="J193" s="196"/>
      <c r="K193" s="196"/>
      <c r="L193" s="196"/>
      <c r="M193" s="196"/>
      <c r="N193" s="196"/>
      <c r="O193" s="196"/>
      <c r="P193" s="196"/>
      <c r="Q193" s="196"/>
      <c r="R193" s="196"/>
      <c r="S193" s="196"/>
      <c r="T193" s="196"/>
      <c r="U193" s="196"/>
      <c r="V193" s="196"/>
      <c r="W193" s="196"/>
      <c r="X193" s="196"/>
      <c r="Y193" s="196"/>
      <c r="Z193" s="196"/>
      <c r="AA193" s="196"/>
      <c r="AB193" s="196"/>
      <c r="AC193" s="196"/>
      <c r="AD193" s="196"/>
      <c r="AE193" s="196"/>
      <c r="AF193" s="196"/>
      <c r="AG193" s="196"/>
      <c r="AH193" s="197"/>
      <c r="AI193" s="197"/>
      <c r="AJ193" s="196"/>
      <c r="AK193" s="196"/>
      <c r="AL193" s="196"/>
      <c r="AM193" s="196"/>
      <c r="AN193" s="196"/>
      <c r="AO193" s="196"/>
      <c r="AP193" s="196"/>
      <c r="AQ193" s="196"/>
    </row>
    <row r="194" spans="2:47" s="190" customFormat="1" ht="15" customHeight="1">
      <c r="AJ194" s="155"/>
      <c r="AK194" s="155"/>
      <c r="AL194" s="155"/>
      <c r="AM194" s="155"/>
      <c r="AN194" s="155"/>
      <c r="AO194" s="155"/>
      <c r="AP194" s="155"/>
      <c r="AQ194" s="155"/>
    </row>
    <row r="195" spans="2:47" ht="15" customHeight="1">
      <c r="E195" s="147" t="s">
        <v>6</v>
      </c>
      <c r="G195" s="190" t="s">
        <v>25</v>
      </c>
      <c r="AH195" s="145"/>
      <c r="AI195" s="145"/>
      <c r="AJ195" s="145">
        <f>AJ191</f>
        <v>29.865974196084565</v>
      </c>
      <c r="AK195" s="145">
        <f t="shared" ref="AK195:AQ195" si="55">AK191</f>
        <v>30.651837427406615</v>
      </c>
      <c r="AL195" s="145">
        <f t="shared" si="55"/>
        <v>30.284545377883934</v>
      </c>
      <c r="AM195" s="145">
        <f t="shared" si="55"/>
        <v>30.421355423209349</v>
      </c>
      <c r="AN195" s="145">
        <f t="shared" si="55"/>
        <v>31.25770529141084</v>
      </c>
      <c r="AO195" s="145">
        <f t="shared" si="55"/>
        <v>32.849699890677847</v>
      </c>
      <c r="AP195" s="145">
        <f t="shared" si="55"/>
        <v>33.874004498316168</v>
      </c>
      <c r="AQ195" s="145">
        <f t="shared" si="55"/>
        <v>35.220895902070197</v>
      </c>
    </row>
    <row r="196" spans="2:47" s="190" customFormat="1" ht="15" customHeight="1">
      <c r="D196" s="147"/>
      <c r="E196" s="155" t="s">
        <v>631</v>
      </c>
      <c r="G196" s="190" t="s">
        <v>25</v>
      </c>
      <c r="AJ196" s="155">
        <f>((Input!AJ39*(1-AJ186)*(Input!AJ$59/Input!$AG59))-AJ178/(1/AJ186))*AJ189</f>
        <v>0</v>
      </c>
      <c r="AK196" s="155">
        <f>((Input!AK39*(1-AK186)*(Input!AK$59/Input!$AG59))-AK178/(1/AK186))*AK189</f>
        <v>0</v>
      </c>
      <c r="AL196" s="155">
        <f>((Input!AL39*(1-AL186)*(Input!AL$59/Input!$AG59))-AL178/(1/AL186))*AL189</f>
        <v>0</v>
      </c>
      <c r="AM196" s="155">
        <f>((Input!AM39*(1-AM186)*(Input!AM$59/Input!$AG59))-AM178/(1/AM186))*AM189</f>
        <v>0</v>
      </c>
      <c r="AN196" s="155">
        <f>((Input!AN39*(1-AN186)*(Input!AN$59/Input!$AG59))-AN178/(1/AN186))*AN189</f>
        <v>0</v>
      </c>
      <c r="AO196" s="155">
        <f>((Input!AO39*(1-AO186)*(Input!AO$59/Input!$AG59))-AO178/(1/AO186))*AO189</f>
        <v>0</v>
      </c>
      <c r="AP196" s="155">
        <f>((Input!AP39*(1-AP186)*(Input!AP$59/Input!$AG59))-AP178/(1/AP186))*AP189</f>
        <v>0</v>
      </c>
      <c r="AQ196" s="155">
        <f>((Input!AQ39*(1-AQ186)*(Input!AQ$59/Input!$AG59))-AQ178/(1/AQ186))*AQ189</f>
        <v>0</v>
      </c>
    </row>
    <row r="197" spans="2:47" s="190" customFormat="1" ht="15" customHeight="1">
      <c r="E197" s="147" t="s">
        <v>6</v>
      </c>
      <c r="G197" s="190" t="s">
        <v>25</v>
      </c>
      <c r="AJ197" s="165">
        <f t="shared" ref="AJ197:AQ197" si="56">SUM(AJ195:AJ196)</f>
        <v>29.865974196084565</v>
      </c>
      <c r="AK197" s="165">
        <f t="shared" si="56"/>
        <v>30.651837427406615</v>
      </c>
      <c r="AL197" s="165">
        <f t="shared" si="56"/>
        <v>30.284545377883934</v>
      </c>
      <c r="AM197" s="165">
        <f t="shared" si="56"/>
        <v>30.421355423209349</v>
      </c>
      <c r="AN197" s="165">
        <f t="shared" si="56"/>
        <v>31.25770529141084</v>
      </c>
      <c r="AO197" s="165">
        <f t="shared" si="56"/>
        <v>32.849699890677847</v>
      </c>
      <c r="AP197" s="165">
        <f t="shared" si="56"/>
        <v>33.874004498316168</v>
      </c>
      <c r="AQ197" s="165">
        <f t="shared" si="56"/>
        <v>35.220895902070197</v>
      </c>
    </row>
    <row r="198" spans="2:47" s="190" customFormat="1" ht="15" customHeight="1">
      <c r="E198" s="147"/>
      <c r="AJ198" s="210"/>
      <c r="AK198" s="210"/>
      <c r="AL198" s="210"/>
      <c r="AM198" s="210"/>
      <c r="AN198" s="210"/>
      <c r="AO198" s="210"/>
      <c r="AP198" s="210"/>
      <c r="AQ198" s="210"/>
    </row>
    <row r="199" spans="2:47" s="190" customFormat="1" ht="15" customHeight="1">
      <c r="B199" s="294" t="s">
        <v>611</v>
      </c>
      <c r="C199" s="294"/>
      <c r="D199" s="294"/>
      <c r="E199" s="294"/>
      <c r="F199" s="294"/>
      <c r="G199" s="294"/>
      <c r="H199" s="294"/>
      <c r="I199" s="294"/>
      <c r="J199" s="294"/>
      <c r="K199" s="294"/>
      <c r="L199" s="294"/>
      <c r="M199" s="294"/>
      <c r="N199" s="294"/>
      <c r="O199" s="294"/>
      <c r="P199" s="294"/>
      <c r="Q199" s="294"/>
      <c r="R199" s="294"/>
      <c r="S199" s="294"/>
      <c r="T199" s="294"/>
      <c r="U199" s="294"/>
      <c r="V199" s="294"/>
      <c r="W199" s="294"/>
      <c r="X199" s="294"/>
      <c r="Y199" s="294"/>
      <c r="Z199" s="294"/>
      <c r="AA199" s="294"/>
      <c r="AB199" s="294"/>
      <c r="AC199" s="294"/>
      <c r="AD199" s="294"/>
      <c r="AE199" s="294"/>
      <c r="AF199" s="294"/>
      <c r="AG199" s="294"/>
      <c r="AH199" s="333"/>
      <c r="AI199" s="333"/>
      <c r="AJ199" s="294"/>
      <c r="AK199" s="294"/>
      <c r="AL199" s="294"/>
      <c r="AM199" s="294"/>
      <c r="AN199" s="294"/>
      <c r="AO199" s="294"/>
      <c r="AP199" s="294"/>
      <c r="AQ199" s="294"/>
      <c r="AR199" s="113"/>
      <c r="AS199" s="113"/>
      <c r="AT199" s="113"/>
    </row>
    <row r="200" spans="2:47" s="190" customFormat="1" ht="15" customHeight="1">
      <c r="E200" s="147"/>
      <c r="AJ200" s="155"/>
      <c r="AK200" s="155"/>
      <c r="AL200" s="155"/>
      <c r="AM200" s="155"/>
      <c r="AN200" s="155"/>
      <c r="AO200" s="155"/>
      <c r="AP200" s="155"/>
      <c r="AQ200" s="155"/>
    </row>
    <row r="201" spans="2:47" s="190" customFormat="1" ht="15" customHeight="1">
      <c r="C201" s="292" t="s">
        <v>89</v>
      </c>
      <c r="D201" s="292"/>
      <c r="E201" s="292"/>
      <c r="F201" s="292"/>
      <c r="G201" s="292"/>
      <c r="H201" s="292"/>
      <c r="I201" s="292"/>
      <c r="J201" s="292"/>
      <c r="K201" s="292"/>
      <c r="L201" s="292"/>
      <c r="M201" s="292"/>
      <c r="N201" s="292"/>
      <c r="O201" s="292"/>
      <c r="P201" s="292"/>
      <c r="Q201" s="292"/>
      <c r="R201" s="292"/>
      <c r="S201" s="292"/>
      <c r="T201" s="292"/>
      <c r="U201" s="292"/>
      <c r="V201" s="292"/>
      <c r="W201" s="292"/>
      <c r="X201" s="292"/>
      <c r="Y201" s="292"/>
      <c r="Z201" s="292"/>
      <c r="AA201" s="292"/>
      <c r="AB201" s="292"/>
      <c r="AC201" s="292"/>
      <c r="AD201" s="292"/>
      <c r="AE201" s="292"/>
      <c r="AF201" s="292"/>
      <c r="AG201" s="292"/>
      <c r="AH201" s="312"/>
      <c r="AI201" s="312"/>
      <c r="AJ201" s="292"/>
      <c r="AK201" s="292"/>
      <c r="AL201" s="292"/>
      <c r="AM201" s="292"/>
      <c r="AN201" s="292"/>
      <c r="AO201" s="292"/>
      <c r="AP201" s="292"/>
      <c r="AQ201" s="292"/>
      <c r="AR201" s="113"/>
      <c r="AS201" s="113"/>
      <c r="AT201" s="113"/>
    </row>
    <row r="202" spans="2:47" s="155" customFormat="1" ht="15" customHeight="1">
      <c r="C202" s="192"/>
      <c r="D202" s="192"/>
      <c r="E202" s="192"/>
      <c r="F202" s="192"/>
      <c r="G202" s="192"/>
      <c r="H202" s="192"/>
      <c r="I202" s="192"/>
      <c r="J202" s="192"/>
      <c r="K202" s="192"/>
      <c r="L202" s="192"/>
      <c r="M202" s="192"/>
      <c r="N202" s="192"/>
      <c r="O202" s="192"/>
      <c r="P202" s="192"/>
      <c r="Q202" s="192"/>
      <c r="R202" s="192"/>
      <c r="S202" s="192"/>
      <c r="T202" s="192"/>
      <c r="U202" s="192"/>
      <c r="V202" s="192"/>
      <c r="W202" s="192"/>
      <c r="X202" s="192"/>
      <c r="Y202" s="192"/>
      <c r="Z202" s="192"/>
      <c r="AA202" s="192"/>
      <c r="AB202" s="192"/>
      <c r="AC202" s="192"/>
      <c r="AD202" s="192"/>
      <c r="AE202" s="192"/>
      <c r="AF202" s="194"/>
      <c r="AG202" s="194"/>
      <c r="AH202" s="194"/>
      <c r="AI202" s="194"/>
      <c r="AJ202" s="192"/>
      <c r="AK202" s="192"/>
      <c r="AL202" s="192"/>
      <c r="AM202" s="192"/>
      <c r="AN202" s="192"/>
      <c r="AO202" s="192"/>
      <c r="AP202" s="192"/>
      <c r="AQ202" s="192"/>
    </row>
    <row r="203" spans="2:47" s="190" customFormat="1" ht="15" customHeight="1">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row>
    <row r="204" spans="2:47" s="190" customFormat="1" ht="15" customHeight="1">
      <c r="E204" s="190" t="s">
        <v>612</v>
      </c>
      <c r="G204" s="190" t="s">
        <v>25</v>
      </c>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55"/>
      <c r="AI204" s="155"/>
      <c r="AJ204" s="155">
        <f>AJ162</f>
        <v>488.23847296554055</v>
      </c>
      <c r="AK204" s="155">
        <f t="shared" ref="AK204:AQ204" si="57">AK162</f>
        <v>503.4905597135803</v>
      </c>
      <c r="AL204" s="155">
        <f t="shared" si="57"/>
        <v>520.39549786909345</v>
      </c>
      <c r="AM204" s="155">
        <f t="shared" si="57"/>
        <v>537.31845238652261</v>
      </c>
      <c r="AN204" s="155">
        <f t="shared" si="57"/>
        <v>554.07461361950561</v>
      </c>
      <c r="AO204" s="155">
        <f t="shared" si="57"/>
        <v>570.63014190066724</v>
      </c>
      <c r="AP204" s="155">
        <f t="shared" si="57"/>
        <v>588.31217980304655</v>
      </c>
      <c r="AQ204" s="155">
        <f t="shared" si="57"/>
        <v>606.26536534694696</v>
      </c>
      <c r="AR204" s="113"/>
      <c r="AS204" s="113"/>
      <c r="AT204" s="396"/>
      <c r="AU204" s="114"/>
    </row>
    <row r="205" spans="2:47" s="190" customFormat="1" ht="15" customHeight="1">
      <c r="E205" s="190" t="s">
        <v>590</v>
      </c>
      <c r="G205" s="190" t="s">
        <v>25</v>
      </c>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55"/>
      <c r="AI205" s="155"/>
      <c r="AJ205" s="155">
        <f t="shared" ref="AJ205:AQ205" si="58">AJ163</f>
        <v>-40.317706717660734</v>
      </c>
      <c r="AK205" s="155">
        <f t="shared" si="58"/>
        <v>-41.764158875252285</v>
      </c>
      <c r="AL205" s="155">
        <f t="shared" si="58"/>
        <v>-43.269140728765841</v>
      </c>
      <c r="AM205" s="155">
        <f t="shared" si="58"/>
        <v>-44.835427660846236</v>
      </c>
      <c r="AN205" s="155">
        <f t="shared" si="58"/>
        <v>-46.466063430920961</v>
      </c>
      <c r="AO205" s="155">
        <f t="shared" si="58"/>
        <v>-48.163907944006283</v>
      </c>
      <c r="AP205" s="155">
        <f t="shared" si="58"/>
        <v>-49.932413460127904</v>
      </c>
      <c r="AQ205" s="155">
        <f t="shared" si="58"/>
        <v>-51.77502063373678</v>
      </c>
      <c r="AR205" s="113"/>
      <c r="AS205" s="113"/>
      <c r="AT205" s="396"/>
      <c r="AU205" s="114"/>
    </row>
    <row r="206" spans="2:47" s="190" customFormat="1" ht="15" customHeight="1">
      <c r="E206" s="190" t="s">
        <v>178</v>
      </c>
      <c r="G206" s="190" t="s">
        <v>25</v>
      </c>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55"/>
      <c r="AI206" s="155"/>
      <c r="AJ206" s="155">
        <f>AJ197</f>
        <v>29.865974196084565</v>
      </c>
      <c r="AK206" s="155">
        <f t="shared" ref="AK206:AQ206" si="59">AK197</f>
        <v>30.651837427406615</v>
      </c>
      <c r="AL206" s="155">
        <f t="shared" si="59"/>
        <v>30.284545377883934</v>
      </c>
      <c r="AM206" s="155">
        <f t="shared" si="59"/>
        <v>30.421355423209349</v>
      </c>
      <c r="AN206" s="155">
        <f t="shared" si="59"/>
        <v>31.25770529141084</v>
      </c>
      <c r="AO206" s="155">
        <f t="shared" si="59"/>
        <v>32.849699890677847</v>
      </c>
      <c r="AP206" s="155">
        <f t="shared" si="59"/>
        <v>33.874004498316168</v>
      </c>
      <c r="AQ206" s="155">
        <f t="shared" si="59"/>
        <v>35.220895902070197</v>
      </c>
      <c r="AR206" s="113"/>
      <c r="AS206" s="113"/>
      <c r="AT206" s="396"/>
      <c r="AU206" s="114"/>
    </row>
    <row r="207" spans="2:47" s="190" customFormat="1" ht="15" customHeight="1">
      <c r="E207" s="155" t="s">
        <v>775</v>
      </c>
      <c r="G207" s="190" t="s">
        <v>25</v>
      </c>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55"/>
      <c r="AI207" s="155"/>
      <c r="AJ207" s="155">
        <f>(DARTs!AJ24+DARTs!AJ25)*Input!AJ59/Input!$AG59</f>
        <v>5.0752500959004774</v>
      </c>
      <c r="AK207" s="155">
        <f>(DARTs!AK24+DARTs!AK25)*Input!AK59/Input!$AG59</f>
        <v>5.4291957128018584</v>
      </c>
      <c r="AL207" s="155">
        <f>(DARTs!AL24+DARTs!AL25)*Input!AL59/Input!$AG59</f>
        <v>5.8078224203259623</v>
      </c>
      <c r="AM207" s="155">
        <f>(DARTs!AM24+DARTs!AM25)*Input!AM59/Input!$AG59</f>
        <v>6.2128519480343991</v>
      </c>
      <c r="AN207" s="155">
        <f>(DARTs!AN24+DARTs!AN25)*Input!AN59/Input!$AG59</f>
        <v>6.6461426956360166</v>
      </c>
      <c r="AO207" s="155">
        <f>(DARTs!AO24+DARTs!AO25)*Input!AO59/Input!$AG59</f>
        <v>7.109632621699232</v>
      </c>
      <c r="AP207" s="155">
        <f>(DARTs!AP24+DARTs!AP25)*Input!AP59/Input!$AG59</f>
        <v>7.6054569198956967</v>
      </c>
      <c r="AQ207" s="155">
        <f>(DARTs!AQ24+DARTs!AQ25)*Input!AQ59/Input!$AG59</f>
        <v>8.13587088495769</v>
      </c>
      <c r="AR207" s="113"/>
      <c r="AS207" s="113"/>
      <c r="AT207" s="396"/>
      <c r="AU207" s="114"/>
    </row>
    <row r="208" spans="2:47" s="190" customFormat="1" ht="15" customHeight="1">
      <c r="E208" s="190" t="s">
        <v>738</v>
      </c>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s="113"/>
      <c r="AS208" s="113"/>
      <c r="AT208" s="396"/>
      <c r="AU208" s="114"/>
    </row>
    <row r="209" spans="3:47" s="190" customFormat="1" ht="15" customHeight="1">
      <c r="E209" s="190" t="s">
        <v>738</v>
      </c>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55"/>
      <c r="AI209" s="155"/>
      <c r="AJ209" s="155"/>
      <c r="AK209" s="155"/>
      <c r="AL209" s="155"/>
      <c r="AM209" s="155"/>
      <c r="AN209" s="155"/>
      <c r="AO209" s="155"/>
      <c r="AP209" s="155"/>
      <c r="AQ209" s="155"/>
      <c r="AR209" s="113"/>
      <c r="AS209" s="113"/>
      <c r="AT209" s="396"/>
      <c r="AU209" s="114"/>
    </row>
    <row r="210" spans="3:47" s="190" customFormat="1" ht="15" customHeight="1">
      <c r="E210" s="155" t="str">
        <f>Input!E345</f>
        <v>Overall net income of Directly Remunerated Services</v>
      </c>
      <c r="G210" s="190" t="s">
        <v>25</v>
      </c>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55"/>
      <c r="AI210" s="155"/>
      <c r="AJ210" s="155">
        <f>DARTs!AJ47*Input!AJ59/Input!$AG59</f>
        <v>12.067621957860494</v>
      </c>
      <c r="AK210" s="155">
        <f>DARTs!AK47*Input!AK59/Input!$AG59</f>
        <v>10.761538954269557</v>
      </c>
      <c r="AL210" s="155">
        <f>DARTs!AL47*Input!AL59/Input!$AG59</f>
        <v>9.2174300715927799</v>
      </c>
      <c r="AM210" s="155">
        <f>DARTs!AM47*Input!AM59/Input!$AG59</f>
        <v>8.0045626235470326</v>
      </c>
      <c r="AN210" s="155">
        <f>DARTs!AN47*Input!AN59/Input!$AG59</f>
        <v>7.9740780589608535</v>
      </c>
      <c r="AO210" s="155">
        <f>DARTs!AO47*Input!AO59/Input!$AG59</f>
        <v>8.2370488634246417</v>
      </c>
      <c r="AP210" s="155">
        <f>DARTs!AP47*Input!AP59/Input!$AG59</f>
        <v>8.4205214572838472</v>
      </c>
      <c r="AQ210" s="155">
        <f>DARTs!AQ47*Input!AQ59/Input!$AG59</f>
        <v>8.7237726336011185</v>
      </c>
      <c r="AR210" s="113"/>
      <c r="AS210" s="113"/>
      <c r="AT210" s="396"/>
      <c r="AU210" s="114"/>
    </row>
    <row r="211" spans="3:47" s="190" customFormat="1" ht="15" customHeight="1">
      <c r="E211" s="155" t="s">
        <v>350</v>
      </c>
      <c r="G211" s="190" t="s">
        <v>25</v>
      </c>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13"/>
      <c r="AH211" s="155"/>
      <c r="AI211" s="155"/>
      <c r="AJ211" s="155">
        <f t="shared" ref="AJ211:AQ211" si="60">AJ165</f>
        <v>-69.192771256241571</v>
      </c>
      <c r="AK211" s="155">
        <f t="shared" si="60"/>
        <v>-72.108205249219466</v>
      </c>
      <c r="AL211" s="155">
        <f t="shared" si="60"/>
        <v>-75.07470718819674</v>
      </c>
      <c r="AM211" s="155">
        <f t="shared" si="60"/>
        <v>-78.000136188671974</v>
      </c>
      <c r="AN211" s="155">
        <f t="shared" si="60"/>
        <v>-80.159773183497379</v>
      </c>
      <c r="AO211" s="155">
        <f t="shared" si="60"/>
        <v>-81.463696547999021</v>
      </c>
      <c r="AP211" s="155">
        <f t="shared" si="60"/>
        <v>-83.001812699343844</v>
      </c>
      <c r="AQ211" s="155">
        <f t="shared" si="60"/>
        <v>-84.585483072951774</v>
      </c>
      <c r="AR211" s="113"/>
      <c r="AS211" s="113"/>
      <c r="AT211" s="396"/>
      <c r="AU211" s="114"/>
    </row>
    <row r="212" spans="3:47" s="190" customFormat="1" ht="15" customHeight="1">
      <c r="E212" s="155" t="s">
        <v>349</v>
      </c>
      <c r="G212" s="190" t="s">
        <v>25</v>
      </c>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55"/>
      <c r="AI212" s="155"/>
      <c r="AJ212" s="155">
        <f t="shared" ref="AJ212:AQ212" si="61">AJ166</f>
        <v>-11.145087660055367</v>
      </c>
      <c r="AK212" s="155">
        <f t="shared" si="61"/>
        <v>-11.614369214127873</v>
      </c>
      <c r="AL212" s="155">
        <f t="shared" si="61"/>
        <v>-12.092075291212055</v>
      </c>
      <c r="AM212" s="155">
        <f t="shared" si="61"/>
        <v>-12.563188545270087</v>
      </c>
      <c r="AN212" s="155">
        <f t="shared" si="61"/>
        <v>-12.911534636042585</v>
      </c>
      <c r="AO212" s="155">
        <f t="shared" si="61"/>
        <v>-13.120959134836056</v>
      </c>
      <c r="AP212" s="155">
        <f t="shared" si="61"/>
        <v>-13.369041201079508</v>
      </c>
      <c r="AQ212" s="155">
        <f t="shared" si="61"/>
        <v>-13.624437949421647</v>
      </c>
      <c r="AR212" s="113"/>
      <c r="AS212" s="113"/>
      <c r="AT212" s="396"/>
      <c r="AU212" s="114"/>
    </row>
    <row r="213" spans="3:47" s="190" customFormat="1" ht="15" customHeight="1">
      <c r="E213" s="190" t="s">
        <v>263</v>
      </c>
      <c r="G213" s="190" t="s">
        <v>25</v>
      </c>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13"/>
      <c r="AH213" s="155"/>
      <c r="AI213" s="155"/>
      <c r="AJ213" s="155">
        <f t="shared" ref="AJ213:AQ213" si="62">AJ167</f>
        <v>-163.52593080875045</v>
      </c>
      <c r="AK213" s="155">
        <f t="shared" si="62"/>
        <v>-163.37930908397288</v>
      </c>
      <c r="AL213" s="155">
        <f t="shared" si="62"/>
        <v>-170.22351960592545</v>
      </c>
      <c r="AM213" s="155">
        <f t="shared" si="62"/>
        <v>-174.72132620031954</v>
      </c>
      <c r="AN213" s="155">
        <f t="shared" si="62"/>
        <v>-179.96653598456817</v>
      </c>
      <c r="AO213" s="155">
        <f t="shared" si="62"/>
        <v>-182.17065867290233</v>
      </c>
      <c r="AP213" s="155">
        <f t="shared" si="62"/>
        <v>-186.24571054173924</v>
      </c>
      <c r="AQ213" s="155">
        <f t="shared" si="62"/>
        <v>-189.61800309000247</v>
      </c>
      <c r="AR213" s="113"/>
      <c r="AS213" s="113"/>
      <c r="AT213" s="396"/>
      <c r="AU213" s="114"/>
    </row>
    <row r="214" spans="3:47" s="190" customFormat="1" ht="15" customHeight="1">
      <c r="E214" s="190" t="s">
        <v>125</v>
      </c>
      <c r="G214" s="190" t="s">
        <v>25</v>
      </c>
      <c r="H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55">
        <f t="shared" ref="AJ214:AQ214" si="63">AJ168</f>
        <v>-84.593079738494225</v>
      </c>
      <c r="AK214" s="155">
        <f t="shared" si="63"/>
        <v>-92.017167581381344</v>
      </c>
      <c r="AL214" s="155">
        <f t="shared" si="63"/>
        <v>-98.597873543457695</v>
      </c>
      <c r="AM214" s="155">
        <f t="shared" si="63"/>
        <v>-105.51295209857744</v>
      </c>
      <c r="AN214" s="155">
        <f t="shared" si="63"/>
        <v>-109.53988521883323</v>
      </c>
      <c r="AO214" s="155">
        <f t="shared" si="63"/>
        <v>-114.31212003821216</v>
      </c>
      <c r="AP214" s="155">
        <f t="shared" si="63"/>
        <v>-120.26718390749136</v>
      </c>
      <c r="AQ214" s="155">
        <f t="shared" si="63"/>
        <v>-125.77883699255358</v>
      </c>
      <c r="AR214" s="113"/>
      <c r="AS214" s="113"/>
      <c r="AT214" s="396"/>
      <c r="AU214" s="114"/>
    </row>
    <row r="215" spans="3:47" s="190" customFormat="1" ht="15" customHeight="1">
      <c r="E215" s="190" t="s">
        <v>615</v>
      </c>
      <c r="G215" s="190" t="s">
        <v>25</v>
      </c>
      <c r="H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65">
        <f t="shared" ref="AJ215:AQ215" si="64">SUM(AJ204:AJ214)</f>
        <v>166.47274303418368</v>
      </c>
      <c r="AK215" s="165">
        <f t="shared" si="64"/>
        <v>169.44992180410452</v>
      </c>
      <c r="AL215" s="165">
        <f t="shared" si="64"/>
        <v>166.44797938133837</v>
      </c>
      <c r="AM215" s="165">
        <f t="shared" si="64"/>
        <v>166.32419168762817</v>
      </c>
      <c r="AN215" s="165">
        <f t="shared" si="64"/>
        <v>170.90874721165105</v>
      </c>
      <c r="AO215" s="165">
        <f t="shared" si="64"/>
        <v>179.5951809385131</v>
      </c>
      <c r="AP215" s="165">
        <f t="shared" si="64"/>
        <v>185.39600086876032</v>
      </c>
      <c r="AQ215" s="165">
        <f t="shared" si="64"/>
        <v>192.96412302890985</v>
      </c>
      <c r="AR215" s="113"/>
      <c r="AS215" s="113"/>
      <c r="AT215" s="113"/>
      <c r="AU215" s="114"/>
    </row>
    <row r="216" spans="3:47" s="190" customFormat="1" ht="15" customHeight="1">
      <c r="H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55"/>
      <c r="AK216" s="155"/>
      <c r="AL216" s="155"/>
      <c r="AM216" s="155"/>
      <c r="AN216" s="155"/>
      <c r="AO216" s="155"/>
      <c r="AP216" s="155"/>
      <c r="AQ216" s="155"/>
      <c r="AR216" s="113"/>
      <c r="AS216" s="113"/>
      <c r="AT216" s="113"/>
      <c r="AU216" s="114"/>
    </row>
    <row r="217" spans="3:47" s="190" customFormat="1" ht="15" customHeight="1">
      <c r="C217" s="292" t="s">
        <v>90</v>
      </c>
      <c r="D217" s="292"/>
      <c r="E217" s="292"/>
      <c r="F217" s="292"/>
      <c r="G217" s="292"/>
      <c r="H217" s="292"/>
      <c r="I217" s="292"/>
      <c r="J217" s="292"/>
      <c r="K217" s="292"/>
      <c r="L217" s="292"/>
      <c r="M217" s="292"/>
      <c r="N217" s="292"/>
      <c r="O217" s="292"/>
      <c r="P217" s="292"/>
      <c r="Q217" s="292"/>
      <c r="R217" s="292"/>
      <c r="S217" s="292"/>
      <c r="T217" s="292"/>
      <c r="U217" s="292"/>
      <c r="V217" s="292"/>
      <c r="W217" s="292"/>
      <c r="X217" s="292"/>
      <c r="Y217" s="292"/>
      <c r="Z217" s="292"/>
      <c r="AA217" s="292"/>
      <c r="AB217" s="292"/>
      <c r="AC217" s="292"/>
      <c r="AD217" s="292"/>
      <c r="AE217" s="292"/>
      <c r="AF217" s="292"/>
      <c r="AG217" s="292"/>
      <c r="AH217" s="312"/>
      <c r="AI217" s="312"/>
      <c r="AJ217" s="312"/>
      <c r="AK217" s="312"/>
      <c r="AL217" s="312"/>
      <c r="AM217" s="312"/>
      <c r="AN217" s="312"/>
      <c r="AO217" s="312"/>
      <c r="AP217" s="312"/>
      <c r="AQ217" s="312"/>
      <c r="AR217" s="113"/>
      <c r="AS217" s="113"/>
      <c r="AT217" s="113"/>
      <c r="AU217" s="114"/>
    </row>
    <row r="218" spans="3:47" s="190" customFormat="1" ht="15" customHeight="1">
      <c r="H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55"/>
      <c r="AK218" s="155"/>
      <c r="AL218" s="155"/>
      <c r="AM218" s="155"/>
      <c r="AN218" s="155"/>
      <c r="AO218" s="155"/>
      <c r="AP218" s="155"/>
      <c r="AQ218" s="155"/>
      <c r="AR218" s="113"/>
      <c r="AS218" s="113"/>
      <c r="AT218" s="113"/>
      <c r="AU218" s="114"/>
    </row>
    <row r="219" spans="3:47" s="190" customFormat="1" ht="15" customHeight="1">
      <c r="E219" s="155" t="s">
        <v>464</v>
      </c>
      <c r="G219" s="190" t="s">
        <v>25</v>
      </c>
      <c r="AJ219" s="155">
        <f>AJ175</f>
        <v>0</v>
      </c>
      <c r="AK219" s="220">
        <f>SUM(AJ222)</f>
        <v>0</v>
      </c>
      <c r="AL219" s="155">
        <f t="shared" ref="AL219" si="65">SUM(AK222)</f>
        <v>0</v>
      </c>
      <c r="AM219" s="155">
        <f t="shared" ref="AM219" si="66">SUM(AL222)</f>
        <v>0</v>
      </c>
      <c r="AN219" s="155">
        <f t="shared" ref="AN219" si="67">SUM(AM222)</f>
        <v>0</v>
      </c>
      <c r="AO219" s="155">
        <f t="shared" ref="AO219" si="68">SUM(AN222)</f>
        <v>0</v>
      </c>
      <c r="AP219" s="155">
        <f t="shared" ref="AP219" si="69">SUM(AO222)</f>
        <v>0</v>
      </c>
      <c r="AQ219" s="155">
        <f t="shared" ref="AQ219" si="70">SUM(AP222)</f>
        <v>0</v>
      </c>
    </row>
    <row r="220" spans="3:47" s="190" customFormat="1" ht="15" customHeight="1">
      <c r="E220" s="155" t="s">
        <v>463</v>
      </c>
      <c r="G220" s="190" t="s">
        <v>25</v>
      </c>
      <c r="AJ220" s="155">
        <f>MIN(AJ215, 0)</f>
        <v>0</v>
      </c>
      <c r="AK220" s="155">
        <f>MIN(AK215, 0)</f>
        <v>0</v>
      </c>
      <c r="AL220" s="155">
        <f t="shared" ref="AL220:AQ220" si="71">MIN(AL215, 0)</f>
        <v>0</v>
      </c>
      <c r="AM220" s="155">
        <f t="shared" si="71"/>
        <v>0</v>
      </c>
      <c r="AN220" s="155">
        <f t="shared" si="71"/>
        <v>0</v>
      </c>
      <c r="AO220" s="155">
        <f t="shared" si="71"/>
        <v>0</v>
      </c>
      <c r="AP220" s="155">
        <f t="shared" si="71"/>
        <v>0</v>
      </c>
      <c r="AQ220" s="155">
        <f t="shared" si="71"/>
        <v>0</v>
      </c>
    </row>
    <row r="221" spans="3:47" s="190" customFormat="1" ht="15" customHeight="1">
      <c r="E221" s="190" t="s">
        <v>613</v>
      </c>
      <c r="G221" s="190" t="s">
        <v>25</v>
      </c>
      <c r="AJ221" s="155">
        <f t="shared" ref="AJ221:AQ221" si="72">IF(AJ215 &gt;= 0, MIN(AJ215, -AJ219), 0)</f>
        <v>0</v>
      </c>
      <c r="AK221" s="155">
        <f t="shared" si="72"/>
        <v>0</v>
      </c>
      <c r="AL221" s="155">
        <f t="shared" si="72"/>
        <v>0</v>
      </c>
      <c r="AM221" s="155">
        <f t="shared" si="72"/>
        <v>0</v>
      </c>
      <c r="AN221" s="155">
        <f t="shared" si="72"/>
        <v>0</v>
      </c>
      <c r="AO221" s="155">
        <f t="shared" si="72"/>
        <v>0</v>
      </c>
      <c r="AP221" s="155">
        <f t="shared" si="72"/>
        <v>0</v>
      </c>
      <c r="AQ221" s="155">
        <f t="shared" si="72"/>
        <v>0</v>
      </c>
    </row>
    <row r="222" spans="3:47" s="190" customFormat="1" ht="15" customHeight="1">
      <c r="E222" s="155" t="s">
        <v>74</v>
      </c>
      <c r="G222" s="190" t="s">
        <v>25</v>
      </c>
      <c r="AJ222" s="165">
        <f t="shared" ref="AJ222:AQ222" si="73">SUM(AJ219:AJ221)</f>
        <v>0</v>
      </c>
      <c r="AK222" s="165">
        <f t="shared" si="73"/>
        <v>0</v>
      </c>
      <c r="AL222" s="165">
        <f t="shared" si="73"/>
        <v>0</v>
      </c>
      <c r="AM222" s="165">
        <f t="shared" si="73"/>
        <v>0</v>
      </c>
      <c r="AN222" s="165">
        <f t="shared" si="73"/>
        <v>0</v>
      </c>
      <c r="AO222" s="165">
        <f t="shared" si="73"/>
        <v>0</v>
      </c>
      <c r="AP222" s="165">
        <f t="shared" si="73"/>
        <v>0</v>
      </c>
      <c r="AQ222" s="165">
        <f t="shared" si="73"/>
        <v>0</v>
      </c>
    </row>
    <row r="223" spans="3:47" s="190" customFormat="1" ht="15" customHeight="1">
      <c r="AJ223" s="155"/>
      <c r="AK223" s="155"/>
      <c r="AL223" s="155"/>
      <c r="AM223" s="155"/>
      <c r="AN223" s="155"/>
      <c r="AO223" s="155"/>
      <c r="AP223" s="155"/>
      <c r="AQ223" s="155"/>
    </row>
    <row r="224" spans="3:47" s="190" customFormat="1" ht="15" customHeight="1">
      <c r="C224" s="292"/>
      <c r="D224" s="292" t="s">
        <v>611</v>
      </c>
      <c r="E224" s="292"/>
      <c r="F224" s="292"/>
      <c r="G224" s="292"/>
      <c r="H224" s="292"/>
      <c r="I224" s="292"/>
      <c r="J224" s="292"/>
      <c r="K224" s="292"/>
      <c r="L224" s="292"/>
      <c r="M224" s="292"/>
      <c r="N224" s="292"/>
      <c r="O224" s="292"/>
      <c r="P224" s="292"/>
      <c r="Q224" s="292"/>
      <c r="R224" s="292"/>
      <c r="S224" s="292"/>
      <c r="T224" s="292"/>
      <c r="U224" s="292"/>
      <c r="V224" s="292"/>
      <c r="W224" s="292"/>
      <c r="X224" s="292"/>
      <c r="Y224" s="292"/>
      <c r="Z224" s="292"/>
      <c r="AA224" s="292"/>
      <c r="AB224" s="292"/>
      <c r="AC224" s="292"/>
      <c r="AD224" s="292"/>
      <c r="AE224" s="292"/>
      <c r="AF224" s="292"/>
      <c r="AG224" s="292"/>
      <c r="AH224" s="312"/>
      <c r="AI224" s="312"/>
      <c r="AJ224" s="312"/>
      <c r="AK224" s="312"/>
      <c r="AL224" s="312"/>
      <c r="AM224" s="312"/>
      <c r="AN224" s="312"/>
      <c r="AO224" s="312"/>
      <c r="AP224" s="312"/>
      <c r="AQ224" s="312"/>
      <c r="AR224" s="113"/>
      <c r="AS224" s="113"/>
      <c r="AT224" s="113"/>
      <c r="AU224" s="114"/>
    </row>
    <row r="225" spans="2:46" s="155" customFormat="1" ht="15" customHeight="1">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192"/>
      <c r="AA225" s="192"/>
      <c r="AB225" s="192"/>
      <c r="AC225" s="192"/>
      <c r="AD225" s="192"/>
      <c r="AE225" s="192"/>
      <c r="AF225" s="194"/>
      <c r="AG225" s="194"/>
      <c r="AH225" s="194"/>
      <c r="AI225" s="194"/>
      <c r="AJ225" s="192"/>
      <c r="AK225" s="192"/>
      <c r="AL225" s="192"/>
      <c r="AM225" s="192"/>
      <c r="AN225" s="192"/>
      <c r="AO225" s="192"/>
      <c r="AP225" s="192"/>
      <c r="AQ225" s="192"/>
    </row>
    <row r="226" spans="2:46" s="155" customFormat="1" ht="15" customHeight="1">
      <c r="J226" s="33"/>
      <c r="K226" s="33"/>
      <c r="L226" s="33"/>
      <c r="M226" s="33"/>
      <c r="N226" s="33"/>
      <c r="O226" s="33"/>
      <c r="P226" s="33"/>
      <c r="Q226" s="33"/>
      <c r="R226" s="33"/>
      <c r="S226" s="33"/>
      <c r="T226" s="33"/>
      <c r="U226" s="33"/>
      <c r="V226" s="33"/>
      <c r="W226" s="33"/>
      <c r="X226" s="33"/>
    </row>
    <row r="227" spans="2:46" s="155" customFormat="1" ht="15" customHeight="1">
      <c r="E227" s="190" t="s">
        <v>465</v>
      </c>
      <c r="F227" s="190"/>
      <c r="G227" s="190" t="s">
        <v>25</v>
      </c>
      <c r="J227" s="33"/>
      <c r="K227" s="33"/>
      <c r="L227" s="33"/>
      <c r="M227" s="33"/>
      <c r="N227" s="33"/>
      <c r="O227" s="33"/>
      <c r="P227" s="33"/>
      <c r="Q227" s="33"/>
      <c r="R227" s="33"/>
      <c r="S227" s="33"/>
      <c r="T227" s="33"/>
      <c r="U227" s="33"/>
      <c r="V227" s="33"/>
      <c r="W227" s="33"/>
      <c r="X227" s="33"/>
      <c r="AJ227" s="155">
        <f t="shared" ref="AJ227:AQ227" si="74">MAX(AJ215 - AJ221,0)</f>
        <v>166.47274303418368</v>
      </c>
      <c r="AK227" s="155">
        <f t="shared" si="74"/>
        <v>169.44992180410452</v>
      </c>
      <c r="AL227" s="155">
        <f t="shared" si="74"/>
        <v>166.44797938133837</v>
      </c>
      <c r="AM227" s="155">
        <f t="shared" si="74"/>
        <v>166.32419168762817</v>
      </c>
      <c r="AN227" s="155">
        <f t="shared" si="74"/>
        <v>170.90874721165105</v>
      </c>
      <c r="AO227" s="155">
        <f t="shared" si="74"/>
        <v>179.5951809385131</v>
      </c>
      <c r="AP227" s="155">
        <f t="shared" si="74"/>
        <v>185.39600086876032</v>
      </c>
      <c r="AQ227" s="155">
        <f t="shared" si="74"/>
        <v>192.96412302890985</v>
      </c>
    </row>
    <row r="228" spans="2:46" s="155" customFormat="1" ht="15" customHeight="1">
      <c r="E228" s="155" t="s">
        <v>82</v>
      </c>
      <c r="F228" s="190"/>
      <c r="G228" s="155" t="s">
        <v>47</v>
      </c>
      <c r="J228" s="33"/>
      <c r="K228" s="33"/>
      <c r="L228" s="33"/>
      <c r="M228" s="33"/>
      <c r="N228" s="33"/>
      <c r="O228" s="33"/>
      <c r="P228" s="33"/>
      <c r="Q228" s="33"/>
      <c r="R228" s="33"/>
      <c r="S228" s="33"/>
      <c r="T228" s="33"/>
      <c r="U228" s="33"/>
      <c r="V228" s="33"/>
      <c r="W228" s="33"/>
      <c r="X228" s="33"/>
      <c r="AJ228" s="334">
        <f>TaxTrigger!AJ$96</f>
        <v>0.2</v>
      </c>
      <c r="AK228" s="334">
        <f>TaxTrigger!AK$96</f>
        <v>0.2</v>
      </c>
      <c r="AL228" s="334">
        <f>TaxTrigger!AL$96</f>
        <v>0.2</v>
      </c>
      <c r="AM228" s="334">
        <f>TaxTrigger!AM$96</f>
        <v>0.2</v>
      </c>
      <c r="AN228" s="334">
        <f>TaxTrigger!AN$96</f>
        <v>0.2</v>
      </c>
      <c r="AO228" s="334">
        <f>TaxTrigger!AO$96</f>
        <v>0.2</v>
      </c>
      <c r="AP228" s="334">
        <f>TaxTrigger!AP$96</f>
        <v>0.2</v>
      </c>
      <c r="AQ228" s="334">
        <f>TaxTrigger!AQ$96</f>
        <v>0.2</v>
      </c>
      <c r="AR228" s="334"/>
    </row>
    <row r="229" spans="2:46" s="190" customFormat="1" ht="15" customHeight="1">
      <c r="E229" s="190" t="s">
        <v>298</v>
      </c>
      <c r="G229" s="190" t="s">
        <v>25</v>
      </c>
      <c r="AJ229" s="155">
        <f t="shared" ref="AJ229:AQ229" si="75">AJ228*AJ227</f>
        <v>33.294548606836734</v>
      </c>
      <c r="AK229" s="155">
        <f t="shared" si="75"/>
        <v>33.889984360820904</v>
      </c>
      <c r="AL229" s="155">
        <f t="shared" si="75"/>
        <v>33.289595876267676</v>
      </c>
      <c r="AM229" s="155">
        <f t="shared" si="75"/>
        <v>33.264838337525639</v>
      </c>
      <c r="AN229" s="155">
        <f t="shared" si="75"/>
        <v>34.181749442330208</v>
      </c>
      <c r="AO229" s="155">
        <f t="shared" si="75"/>
        <v>35.919036187702623</v>
      </c>
      <c r="AP229" s="155">
        <f t="shared" si="75"/>
        <v>37.079200173752064</v>
      </c>
      <c r="AQ229" s="155">
        <f t="shared" si="75"/>
        <v>38.592824605781971</v>
      </c>
    </row>
    <row r="230" spans="2:46" s="190" customFormat="1" ht="15" customHeight="1">
      <c r="E230" s="147"/>
      <c r="AJ230" s="155"/>
      <c r="AK230" s="155"/>
      <c r="AL230" s="155"/>
      <c r="AM230" s="155"/>
      <c r="AN230" s="155"/>
      <c r="AO230" s="155"/>
      <c r="AP230" s="155"/>
      <c r="AQ230" s="155"/>
    </row>
    <row r="231" spans="2:46" s="190" customFormat="1" ht="15" customHeight="1">
      <c r="B231" s="397" t="str">
        <f>"Additional Information for purposes of "&amp;Input!E38</f>
        <v>Additional Information for purposes of Tax liability revenue allowance adjustments - gearing / debt interest costs</v>
      </c>
      <c r="C231" s="294"/>
      <c r="D231" s="294"/>
      <c r="E231" s="294"/>
      <c r="F231" s="294"/>
      <c r="G231" s="294"/>
      <c r="H231" s="294"/>
      <c r="I231" s="294"/>
      <c r="J231" s="294"/>
      <c r="K231" s="294"/>
      <c r="L231" s="294"/>
      <c r="M231" s="294"/>
      <c r="N231" s="294"/>
      <c r="O231" s="294"/>
      <c r="P231" s="294"/>
      <c r="Q231" s="294"/>
      <c r="R231" s="294"/>
      <c r="S231" s="294"/>
      <c r="T231" s="294"/>
      <c r="U231" s="294"/>
      <c r="V231" s="294"/>
      <c r="W231" s="294"/>
      <c r="X231" s="294"/>
      <c r="Y231" s="294"/>
      <c r="Z231" s="294"/>
      <c r="AA231" s="294"/>
      <c r="AB231" s="294"/>
      <c r="AC231" s="294"/>
      <c r="AD231" s="294"/>
      <c r="AE231" s="294"/>
      <c r="AF231" s="294"/>
      <c r="AG231" s="294"/>
      <c r="AH231" s="333"/>
      <c r="AI231" s="333"/>
      <c r="AJ231" s="294"/>
      <c r="AK231" s="294"/>
      <c r="AL231" s="294"/>
      <c r="AM231" s="294"/>
      <c r="AN231" s="294"/>
      <c r="AO231" s="294"/>
      <c r="AP231" s="294"/>
      <c r="AQ231" s="294"/>
      <c r="AR231" s="113"/>
      <c r="AS231" s="113"/>
      <c r="AT231" s="113"/>
    </row>
    <row r="232" spans="2:46" s="150" customFormat="1" ht="15" customHeight="1"/>
    <row r="233" spans="2:46" s="150" customFormat="1" ht="15" customHeight="1">
      <c r="E233" s="147" t="s">
        <v>33</v>
      </c>
      <c r="F233" s="147"/>
      <c r="G233" s="190" t="s">
        <v>25</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f>-AJ165-AJ166</f>
        <v>80.337858916296938</v>
      </c>
      <c r="AK233" s="147">
        <f t="shared" ref="AK233:AQ233" si="76">-AK165-AK166</f>
        <v>83.722574463347343</v>
      </c>
      <c r="AL233" s="147">
        <f t="shared" si="76"/>
        <v>87.166782479408795</v>
      </c>
      <c r="AM233" s="147">
        <f t="shared" si="76"/>
        <v>90.563324733942068</v>
      </c>
      <c r="AN233" s="147">
        <f t="shared" si="76"/>
        <v>93.071307819539967</v>
      </c>
      <c r="AO233" s="147">
        <f t="shared" si="76"/>
        <v>94.584655682835077</v>
      </c>
      <c r="AP233" s="147">
        <f t="shared" si="76"/>
        <v>96.370853900423356</v>
      </c>
      <c r="AQ233" s="147">
        <f t="shared" si="76"/>
        <v>98.209921022373422</v>
      </c>
    </row>
    <row r="234" spans="2:46" s="150" customFormat="1" ht="15" customHeight="1">
      <c r="E234" s="147" t="s">
        <v>27</v>
      </c>
      <c r="F234" s="147"/>
      <c r="G234" s="147" t="s">
        <v>657</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f>'Return&amp;RAV'!AJ47</f>
        <v>2068.4376775502119</v>
      </c>
      <c r="AK234" s="147">
        <f>'Return&amp;RAV'!AK47</f>
        <v>2089.1089485373086</v>
      </c>
      <c r="AL234" s="147">
        <f>'Return&amp;RAV'!AL47</f>
        <v>2106.3383268803873</v>
      </c>
      <c r="AM234" s="147">
        <f>'Return&amp;RAV'!AM47</f>
        <v>2125.7475442279979</v>
      </c>
      <c r="AN234" s="147">
        <f>'Return&amp;RAV'!AN47</f>
        <v>2125.9816272584339</v>
      </c>
      <c r="AO234" s="147">
        <f>'Return&amp;RAV'!AO47</f>
        <v>2128.4621782171962</v>
      </c>
      <c r="AP234" s="147">
        <f>'Return&amp;RAV'!AP47</f>
        <v>2162.6048007139193</v>
      </c>
      <c r="AQ234" s="147">
        <f>'Return&amp;RAV'!AQ47</f>
        <v>2193.5241985782422</v>
      </c>
    </row>
    <row r="235" spans="2:46" s="150" customFormat="1" ht="15" customHeight="1"/>
    <row r="236" spans="2:46" s="156" customFormat="1" ht="15" customHeight="1">
      <c r="B236" s="84" t="s">
        <v>51</v>
      </c>
      <c r="C236" s="84"/>
      <c r="D236" s="84"/>
      <c r="E236" s="84"/>
      <c r="F236" s="84"/>
      <c r="G236" s="84"/>
      <c r="H236" s="84"/>
      <c r="I236" s="84"/>
      <c r="J236" s="84"/>
      <c r="K236" s="84"/>
      <c r="L236" s="84"/>
      <c r="M236" s="84"/>
      <c r="N236" s="84"/>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c r="AL236" s="84"/>
      <c r="AM236" s="84"/>
      <c r="AN236" s="84"/>
      <c r="AO236" s="84"/>
      <c r="AP236" s="84"/>
      <c r="AQ236" s="84"/>
    </row>
    <row r="237" spans="2:46" s="150" customFormat="1" ht="15" customHeight="1"/>
    <row r="238" spans="2:46" hidden="1"/>
    <row r="239" spans="2:46" ht="15" hidden="1" customHeight="1"/>
    <row r="240" spans="2:46"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sheetData>
  <conditionalFormatting sqref="AK78:AQ78">
    <cfRule type="cellIs" dxfId="20" priority="1" operator="equal">
      <formula>FALSE()</formula>
    </cfRule>
  </conditionalFormatting>
  <pageMargins left="0.23622047244094491" right="0.23622047244094491" top="0.74803149606299213" bottom="0.74803149606299213" header="0.31496062992125984" footer="0.31496062992125984"/>
  <pageSetup paperSize="8" scale="71" fitToHeight="0" orientation="landscape" r:id="rId1"/>
  <headerFooter>
    <oddFooter>&amp;LDraft at &amp;D&amp;C&amp;P of &amp;N&amp;R"&amp;A" sheet</oddFooter>
  </headerFooter>
  <rowBreaks count="3" manualBreakCount="3">
    <brk id="42" max="41" man="1"/>
    <brk id="90" max="41" man="1"/>
    <brk id="146" max="41" man="1"/>
  </rowBreaks>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Drop Down 1">
              <controlPr defaultSize="0" autoLine="0" autoPict="0">
                <anchor moveWithCells="1">
                  <from>
                    <xdr:col>4</xdr:col>
                    <xdr:colOff>561975</xdr:colOff>
                    <xdr:row>1</xdr:row>
                    <xdr:rowOff>0</xdr:rowOff>
                  </from>
                  <to>
                    <xdr:col>4</xdr:col>
                    <xdr:colOff>3000375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tint="0.59999389629810485"/>
    <pageSetUpPr autoPageBreaks="0" fitToPage="1"/>
  </sheetPr>
  <dimension ref="A1:XDD83"/>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zeroHeight="1" outlineLevelCol="1"/>
  <cols>
    <col min="1" max="4" width="1.625" style="190" customWidth="1"/>
    <col min="5" max="5" width="50.625" style="190" customWidth="1"/>
    <col min="6" max="6" width="1.625" style="190" customWidth="1"/>
    <col min="7" max="7" width="12.625" style="190" bestFit="1" customWidth="1"/>
    <col min="8" max="8" width="1.625" style="190" customWidth="1"/>
    <col min="9" max="9" width="10.625" style="190" customWidth="1"/>
    <col min="10" max="10" width="1.625" style="190" customWidth="1"/>
    <col min="11" max="35" width="10.625" style="190" hidden="1" customWidth="1" outlineLevel="1"/>
    <col min="36" max="36" width="10.625" style="190" customWidth="1" collapsed="1"/>
    <col min="37" max="43" width="10.625" style="190" customWidth="1"/>
    <col min="44" max="44" width="1.625" style="190" customWidth="1"/>
    <col min="45" max="45" width="9" style="190" hidden="1"/>
    <col min="46" max="88" width="0" style="190" hidden="1"/>
    <col min="89" max="16332" width="9" style="190" hidden="1"/>
    <col min="16333" max="16384" width="0" style="190" hidden="1"/>
  </cols>
  <sheetData>
    <row r="1" spans="1:45" s="7" customFormat="1" ht="19.5">
      <c r="A1" s="307" t="s">
        <v>17</v>
      </c>
      <c r="B1" s="10"/>
      <c r="C1" s="10"/>
      <c r="D1" s="10"/>
      <c r="E1" s="10"/>
      <c r="F1" s="10"/>
      <c r="G1" s="10"/>
      <c r="H1" s="10"/>
      <c r="I1" s="10"/>
      <c r="J1" s="308"/>
      <c r="K1" s="308"/>
      <c r="L1" s="308"/>
      <c r="M1" s="308"/>
      <c r="N1" s="308"/>
      <c r="O1" s="308"/>
      <c r="P1" s="308"/>
      <c r="Q1" s="308"/>
      <c r="R1" s="308"/>
      <c r="S1" s="308"/>
      <c r="T1" s="308"/>
      <c r="U1" s="308"/>
      <c r="V1" s="308"/>
      <c r="W1" s="308"/>
      <c r="X1" s="308"/>
      <c r="Y1" s="10"/>
      <c r="Z1" s="10"/>
      <c r="AA1" s="10"/>
      <c r="AB1" s="10"/>
      <c r="AC1" s="10"/>
      <c r="AD1" s="10"/>
      <c r="AE1" s="10"/>
      <c r="AF1" s="10"/>
      <c r="AG1" s="10"/>
      <c r="AH1" s="10"/>
      <c r="AI1" s="10"/>
      <c r="AJ1" s="10"/>
      <c r="AK1" s="10"/>
      <c r="AL1" s="10"/>
      <c r="AM1" s="10"/>
      <c r="AN1" s="10"/>
      <c r="AO1" s="10"/>
      <c r="AP1" s="10"/>
      <c r="AQ1" s="10"/>
      <c r="AR1" s="309"/>
    </row>
    <row r="2" spans="1:45" s="7" customFormat="1">
      <c r="A2" s="10"/>
      <c r="B2" s="10" t="str">
        <f>UserInterface!G17</f>
        <v>SSES</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5" s="7" customFormat="1">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5" s="7" customFormat="1">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5" s="7" customFormat="1">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5" s="7" customFormat="1">
      <c r="A6" s="10"/>
      <c r="B6" s="10"/>
      <c r="C6" s="10"/>
      <c r="D6" s="10"/>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5" s="7" customFormat="1">
      <c r="A7" s="10"/>
      <c r="B7" s="10"/>
      <c r="C7" s="10"/>
      <c r="D7" s="10"/>
      <c r="E7" s="10" t="s">
        <v>231</v>
      </c>
      <c r="F7" s="10"/>
      <c r="I7" s="310">
        <f>UserInterface!$G$10</f>
        <v>42460</v>
      </c>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c r="AS7" s="43"/>
    </row>
    <row r="8" spans="1:45" s="147" customFormat="1"/>
    <row r="9" spans="1:45">
      <c r="B9" s="294" t="s">
        <v>173</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c r="AR9" s="113"/>
      <c r="AS9" s="113"/>
    </row>
    <row r="10" spans="1:45">
      <c r="B10" s="192" t="s">
        <v>368</v>
      </c>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13"/>
      <c r="AS10" s="113"/>
    </row>
    <row r="11" spans="1:45">
      <c r="B11" s="192" t="s">
        <v>369</v>
      </c>
      <c r="C11" s="192"/>
      <c r="D11" s="192"/>
      <c r="E11" s="192"/>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13"/>
      <c r="AS11" s="113"/>
    </row>
    <row r="12" spans="1:45">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55"/>
      <c r="AJ12" s="155"/>
      <c r="AK12" s="155"/>
      <c r="AL12" s="155"/>
      <c r="AM12" s="155"/>
      <c r="AN12" s="155"/>
      <c r="AO12" s="155"/>
      <c r="AP12" s="155"/>
      <c r="AQ12" s="155"/>
      <c r="AR12" s="113"/>
      <c r="AS12" s="113"/>
    </row>
    <row r="13" spans="1:45">
      <c r="E13" s="190" t="s">
        <v>97</v>
      </c>
      <c r="G13" s="190" t="s">
        <v>657</v>
      </c>
      <c r="I13" s="412"/>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55">
        <f>TIM!AJ72</f>
        <v>91.844072300899256</v>
      </c>
      <c r="AK13" s="155">
        <f>TIM!AK72</f>
        <v>93.749823076437792</v>
      </c>
      <c r="AL13" s="155">
        <f>TIM!AL72</f>
        <v>91.319810044457768</v>
      </c>
      <c r="AM13" s="155">
        <f>TIM!AM72</f>
        <v>91.189707292947958</v>
      </c>
      <c r="AN13" s="155">
        <f>TIM!AN72</f>
        <v>82.008912612207496</v>
      </c>
      <c r="AO13" s="155">
        <f>TIM!AO72</f>
        <v>82.121879278724236</v>
      </c>
      <c r="AP13" s="155">
        <f>TIM!AP72</f>
        <v>84.511292240744496</v>
      </c>
      <c r="AQ13" s="155">
        <f>TIM!AQ72</f>
        <v>82.345180848507511</v>
      </c>
      <c r="AR13" s="113"/>
      <c r="AS13" s="113"/>
    </row>
    <row r="14" spans="1:45">
      <c r="E14" s="155" t="s">
        <v>600</v>
      </c>
      <c r="G14" s="155" t="s">
        <v>657</v>
      </c>
      <c r="I14" s="412"/>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55">
        <f>Input!AJ264</f>
        <v>59.126857142857141</v>
      </c>
      <c r="AK14" s="155">
        <f>Input!AK264</f>
        <v>54.741999999999997</v>
      </c>
      <c r="AL14" s="155">
        <f>Input!AL264</f>
        <v>55.996000000000002</v>
      </c>
      <c r="AM14" s="155">
        <f>Input!AM264</f>
        <v>55.999000000000002</v>
      </c>
      <c r="AN14" s="155">
        <f>Input!AN264</f>
        <v>57.051142857142864</v>
      </c>
      <c r="AO14" s="155">
        <f>Input!AO264</f>
        <v>56.005000000000003</v>
      </c>
      <c r="AP14" s="155">
        <f>Input!AP264</f>
        <v>55.344000000000001</v>
      </c>
      <c r="AQ14" s="155">
        <f>Input!AQ264</f>
        <v>55.695999999999998</v>
      </c>
      <c r="AR14" s="113"/>
      <c r="AS14" s="113"/>
    </row>
    <row r="15" spans="1:45" s="155" customFormat="1">
      <c r="E15" s="155" t="s">
        <v>65</v>
      </c>
      <c r="G15" s="190" t="s">
        <v>657</v>
      </c>
      <c r="I15" s="412"/>
      <c r="AJ15" s="155">
        <f>-'Return&amp;RAV'!AJ46</f>
        <v>198.74093750399697</v>
      </c>
      <c r="AK15" s="155">
        <f>-'Return&amp;RAV'!AK46</f>
        <v>198.07831619125824</v>
      </c>
      <c r="AL15" s="155">
        <f>-'Return&amp;RAV'!AL46</f>
        <v>195.85017842732279</v>
      </c>
      <c r="AM15" s="155">
        <f>-'Return&amp;RAV'!AM46</f>
        <v>193.36676633593478</v>
      </c>
      <c r="AN15" s="155">
        <f>-'Return&amp;RAV'!AN46</f>
        <v>191.12004639804832</v>
      </c>
      <c r="AO15" s="155">
        <f>-'Return&amp;RAV'!AO46</f>
        <v>189.13716735826065</v>
      </c>
      <c r="AP15" s="155">
        <f>-'Return&amp;RAV'!AP46</f>
        <v>163.05039273168077</v>
      </c>
      <c r="AQ15" s="155">
        <f>-'Return&amp;RAV'!AQ46</f>
        <v>161.21935744886116</v>
      </c>
      <c r="AS15" s="113"/>
    </row>
    <row r="16" spans="1:45" s="155" customFormat="1">
      <c r="E16" s="155" t="s">
        <v>18</v>
      </c>
      <c r="G16" s="190" t="s">
        <v>657</v>
      </c>
      <c r="I16" s="412"/>
      <c r="AJ16" s="155">
        <f>'Return&amp;RAV'!AJ35</f>
        <v>76.021862850637021</v>
      </c>
      <c r="AK16" s="155">
        <f>'Return&amp;RAV'!AK35</f>
        <v>76.68852929002324</v>
      </c>
      <c r="AL16" s="155">
        <f>'Return&amp;RAV'!AL35</f>
        <v>77.388865297339407</v>
      </c>
      <c r="AM16" s="155">
        <f>'Return&amp;RAV'!AM35</f>
        <v>78.064007363474886</v>
      </c>
      <c r="AN16" s="155">
        <f>'Return&amp;RAV'!AN35</f>
        <v>78.432896605035552</v>
      </c>
      <c r="AO16" s="155">
        <f>'Return&amp;RAV'!AO35</f>
        <v>78.482210085718606</v>
      </c>
      <c r="AP16" s="155">
        <f>'Return&amp;RAV'!AP35</f>
        <v>79.147038162931267</v>
      </c>
      <c r="AQ16" s="155">
        <f>'Return&amp;RAV'!AQ35</f>
        <v>80.348354078530676</v>
      </c>
      <c r="AS16" s="113"/>
    </row>
    <row r="17" spans="2:45">
      <c r="D17" s="155"/>
      <c r="E17" s="190" t="s">
        <v>102</v>
      </c>
      <c r="G17" s="190" t="s">
        <v>657</v>
      </c>
      <c r="I17" s="412"/>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55">
        <f>'Finance&amp;Tax'!AJ145*Input!$AG$59/Input!AJ$59</f>
        <v>0</v>
      </c>
      <c r="AK17" s="155">
        <f>'Finance&amp;Tax'!AK145*Input!$AG$59/Input!AK$59</f>
        <v>0</v>
      </c>
      <c r="AL17" s="155">
        <f>'Finance&amp;Tax'!AL145*Input!$AG$59/Input!AL$59</f>
        <v>0</v>
      </c>
      <c r="AM17" s="155">
        <f>'Finance&amp;Tax'!AM145*Input!$AG$59/Input!AM$59</f>
        <v>0</v>
      </c>
      <c r="AN17" s="155">
        <f>'Finance&amp;Tax'!AN145*Input!$AG$59/Input!AN$59</f>
        <v>0</v>
      </c>
      <c r="AO17" s="155">
        <f>'Finance&amp;Tax'!AO145*Input!$AG$59/Input!AO$59</f>
        <v>0</v>
      </c>
      <c r="AP17" s="155">
        <f>'Finance&amp;Tax'!AP145*Input!$AG$59/Input!AP$59</f>
        <v>0</v>
      </c>
      <c r="AQ17" s="155">
        <f>'Finance&amp;Tax'!AQ145*Input!$AG$59/Input!AQ$59</f>
        <v>0</v>
      </c>
      <c r="AR17" s="113"/>
      <c r="AS17" s="113"/>
    </row>
    <row r="18" spans="2:45">
      <c r="E18" s="155" t="s">
        <v>22</v>
      </c>
      <c r="G18" s="190" t="s">
        <v>657</v>
      </c>
      <c r="I18" s="412"/>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55">
        <f>TIM!AJ86</f>
        <v>0.3648271976377423</v>
      </c>
      <c r="AK18" s="155">
        <f>TIM!AK86</f>
        <v>0.37109083837102003</v>
      </c>
      <c r="AL18" s="155">
        <f>TIM!AL86</f>
        <v>0.36071859106606846</v>
      </c>
      <c r="AM18" s="155">
        <f>TIM!AM86</f>
        <v>0.35927814835295946</v>
      </c>
      <c r="AN18" s="155">
        <f>TIM!AN86</f>
        <v>0.3227419487574148</v>
      </c>
      <c r="AO18" s="155">
        <f>TIM!AO86</f>
        <v>0.32139075529498529</v>
      </c>
      <c r="AP18" s="155">
        <f>TIM!AP86</f>
        <v>0.32876178406363676</v>
      </c>
      <c r="AQ18" s="155">
        <f>TIM!AQ86</f>
        <v>0.31920430794598703</v>
      </c>
      <c r="AR18" s="113"/>
      <c r="AS18" s="113"/>
    </row>
    <row r="19" spans="2:45">
      <c r="E19" s="155" t="s">
        <v>215</v>
      </c>
      <c r="G19" s="190" t="s">
        <v>657</v>
      </c>
      <c r="I19" s="412"/>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55">
        <f>DARTs!AJ58</f>
        <v>20.341420031076023</v>
      </c>
      <c r="AK19" s="155">
        <f>DARTs!AK58</f>
        <v>22.913831241511371</v>
      </c>
      <c r="AL19" s="155">
        <f>DARTs!AL58</f>
        <v>26.743846270480336</v>
      </c>
      <c r="AM19" s="155">
        <f>DARTs!AM58</f>
        <v>29.340890634640587</v>
      </c>
      <c r="AN19" s="155">
        <f>DARTs!AN58</f>
        <v>39.463753150084557</v>
      </c>
      <c r="AO19" s="155">
        <f>DARTs!AO58</f>
        <v>41.845252235022564</v>
      </c>
      <c r="AP19" s="155">
        <f>DARTs!AP58</f>
        <v>65.52572132787013</v>
      </c>
      <c r="AQ19" s="155">
        <f>DARTs!AQ58</f>
        <v>67.768435737214361</v>
      </c>
      <c r="AR19" s="113"/>
      <c r="AS19" s="113"/>
    </row>
    <row r="20" spans="2:45">
      <c r="E20" s="190" t="s">
        <v>222</v>
      </c>
      <c r="G20" s="190" t="s">
        <v>657</v>
      </c>
      <c r="I20" s="411"/>
      <c r="AJ20" s="165">
        <f t="shared" ref="AJ20:AQ20" si="0">SUM(AJ13:AJ19)</f>
        <v>446.43997702710419</v>
      </c>
      <c r="AK20" s="165">
        <f>SUM(AK13:AK19)</f>
        <v>446.54359063760165</v>
      </c>
      <c r="AL20" s="165">
        <f t="shared" si="0"/>
        <v>447.65941863066638</v>
      </c>
      <c r="AM20" s="165">
        <f t="shared" si="0"/>
        <v>448.31964977535119</v>
      </c>
      <c r="AN20" s="165">
        <f t="shared" si="0"/>
        <v>448.39949357127625</v>
      </c>
      <c r="AO20" s="165">
        <f t="shared" si="0"/>
        <v>447.91289971302103</v>
      </c>
      <c r="AP20" s="165">
        <f t="shared" si="0"/>
        <v>447.90720624729033</v>
      </c>
      <c r="AQ20" s="165">
        <f t="shared" si="0"/>
        <v>447.69653242105971</v>
      </c>
    </row>
    <row r="21" spans="2:45">
      <c r="E21" s="190" t="s">
        <v>6</v>
      </c>
      <c r="G21" s="190" t="s">
        <v>657</v>
      </c>
      <c r="I21" s="412"/>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55">
        <f>'Finance&amp;Tax'!AJ197*Input!$AG$59/Input!AJ$59</f>
        <v>27.309123660423086</v>
      </c>
      <c r="AK21" s="155">
        <f>'Finance&amp;Tax'!AK197*Input!$AG$59/Input!AK$59</f>
        <v>27.184981486565491</v>
      </c>
      <c r="AL21" s="155">
        <f>'Finance&amp;Tax'!AL197*Input!$AG$59/Input!AL$59</f>
        <v>26.051651163146474</v>
      </c>
      <c r="AM21" s="155">
        <f>'Finance&amp;Tax'!AM197*Input!$AG$59/Input!AM$59</f>
        <v>25.382510778196359</v>
      </c>
      <c r="AN21" s="155">
        <f>'Finance&amp;Tax'!AN197*Input!$AG$59/Input!AN$59</f>
        <v>25.296122360325025</v>
      </c>
      <c r="AO21" s="155">
        <f>'Finance&amp;Tax'!AO197*Input!$AG$59/Input!AO$59</f>
        <v>25.785185976553858</v>
      </c>
      <c r="AP21" s="155">
        <f>'Finance&amp;Tax'!AP197*Input!$AG$59/Input!AP$59</f>
        <v>25.789727359253916</v>
      </c>
      <c r="AQ21" s="155">
        <f>'Finance&amp;Tax'!AQ197*Input!$AG$59/Input!AQ$59</f>
        <v>26.008863222948985</v>
      </c>
      <c r="AR21" s="113"/>
      <c r="AS21" s="113"/>
    </row>
    <row r="22" spans="2:45">
      <c r="E22" s="190" t="s">
        <v>173</v>
      </c>
      <c r="G22" s="190" t="s">
        <v>657</v>
      </c>
      <c r="I22" s="412"/>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65">
        <f t="shared" ref="AJ22:AQ22" si="1">SUM(AJ20:AJ21)</f>
        <v>473.74910068752729</v>
      </c>
      <c r="AK22" s="165">
        <f t="shared" si="1"/>
        <v>473.72857212416716</v>
      </c>
      <c r="AL22" s="165">
        <f t="shared" si="1"/>
        <v>473.71106979381284</v>
      </c>
      <c r="AM22" s="165">
        <f t="shared" si="1"/>
        <v>473.70216055354757</v>
      </c>
      <c r="AN22" s="165">
        <f t="shared" si="1"/>
        <v>473.69561593160125</v>
      </c>
      <c r="AO22" s="165">
        <f t="shared" si="1"/>
        <v>473.6980856895749</v>
      </c>
      <c r="AP22" s="165">
        <f t="shared" si="1"/>
        <v>473.69693360654423</v>
      </c>
      <c r="AQ22" s="165">
        <f t="shared" si="1"/>
        <v>473.70539564400872</v>
      </c>
      <c r="AR22" s="113"/>
      <c r="AS22" s="113"/>
    </row>
    <row r="23" spans="2:45" s="155" customFormat="1"/>
    <row r="24" spans="2:45" s="147" customFormat="1">
      <c r="B24" s="294" t="s">
        <v>58</v>
      </c>
      <c r="C24" s="294"/>
      <c r="D24" s="294"/>
      <c r="E24" s="294"/>
      <c r="F24" s="294"/>
      <c r="G24" s="294"/>
      <c r="H24" s="294"/>
      <c r="I24" s="294"/>
      <c r="J24" s="294"/>
      <c r="K24" s="294"/>
      <c r="L24" s="294"/>
      <c r="M24" s="294"/>
      <c r="N24" s="294"/>
      <c r="O24" s="294"/>
      <c r="P24" s="294"/>
      <c r="Q24" s="294"/>
      <c r="R24" s="294"/>
      <c r="S24" s="294"/>
      <c r="T24" s="294"/>
      <c r="U24" s="294"/>
      <c r="V24" s="294"/>
      <c r="W24" s="294"/>
      <c r="X24" s="294"/>
      <c r="Y24" s="294"/>
      <c r="Z24" s="294"/>
      <c r="AA24" s="294"/>
      <c r="AB24" s="294"/>
      <c r="AC24" s="294"/>
      <c r="AD24" s="294"/>
      <c r="AE24" s="294"/>
      <c r="AF24" s="294"/>
      <c r="AG24" s="294"/>
      <c r="AH24" s="294"/>
      <c r="AI24" s="294"/>
      <c r="AJ24" s="294"/>
      <c r="AK24" s="294"/>
      <c r="AL24" s="294"/>
      <c r="AM24" s="294"/>
      <c r="AN24" s="294"/>
      <c r="AO24" s="294"/>
      <c r="AP24" s="294"/>
      <c r="AQ24" s="294"/>
    </row>
    <row r="25" spans="2:45" s="147" customFormat="1"/>
    <row r="26" spans="2:45" s="147" customFormat="1">
      <c r="C26" s="292" t="s">
        <v>110</v>
      </c>
      <c r="D26" s="292"/>
      <c r="E26" s="292"/>
      <c r="F26" s="292"/>
      <c r="G26" s="292"/>
      <c r="H26" s="292"/>
      <c r="I26" s="292"/>
      <c r="J26" s="292"/>
      <c r="K26" s="292"/>
      <c r="L26" s="292"/>
      <c r="M26" s="292"/>
      <c r="N26" s="292"/>
      <c r="O26" s="292"/>
      <c r="P26" s="292"/>
      <c r="Q26" s="292"/>
      <c r="R26" s="292"/>
      <c r="S26" s="292"/>
      <c r="T26" s="292"/>
      <c r="U26" s="292"/>
      <c r="V26" s="292"/>
      <c r="W26" s="292"/>
      <c r="X26" s="292"/>
      <c r="Y26" s="292"/>
      <c r="Z26" s="292"/>
      <c r="AA26" s="292"/>
      <c r="AB26" s="292"/>
      <c r="AC26" s="292"/>
      <c r="AD26" s="292"/>
      <c r="AE26" s="292"/>
      <c r="AF26" s="292"/>
      <c r="AG26" s="292"/>
      <c r="AH26" s="292"/>
      <c r="AI26" s="292"/>
      <c r="AJ26" s="292"/>
      <c r="AK26" s="292"/>
      <c r="AL26" s="292"/>
      <c r="AM26" s="292"/>
      <c r="AN26" s="292"/>
      <c r="AO26" s="292"/>
      <c r="AP26" s="292"/>
      <c r="AQ26" s="292"/>
    </row>
    <row r="27" spans="2:45" s="147" customFormat="1">
      <c r="C27" s="192" t="s">
        <v>367</v>
      </c>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c r="AD27" s="192"/>
      <c r="AE27" s="192"/>
      <c r="AF27" s="192"/>
      <c r="AG27" s="192"/>
      <c r="AH27" s="192"/>
      <c r="AI27" s="192"/>
      <c r="AJ27" s="192"/>
      <c r="AK27" s="192"/>
      <c r="AL27" s="192"/>
      <c r="AM27" s="192"/>
      <c r="AN27" s="192"/>
      <c r="AO27" s="192"/>
      <c r="AP27" s="192"/>
      <c r="AQ27" s="192"/>
    </row>
    <row r="28" spans="2:45" s="147" customFormat="1"/>
    <row r="29" spans="2:45" s="147" customFormat="1">
      <c r="D29" s="193" t="s">
        <v>179</v>
      </c>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row>
    <row r="30" spans="2:45" s="147" customFormat="1">
      <c r="D30" s="192" t="s">
        <v>360</v>
      </c>
      <c r="E30" s="192"/>
      <c r="F30" s="192"/>
      <c r="G30" s="192"/>
      <c r="H30" s="192"/>
      <c r="I30" s="192"/>
      <c r="J30" s="192"/>
      <c r="K30" s="192"/>
      <c r="L30" s="192"/>
      <c r="M30" s="192"/>
      <c r="N30" s="192"/>
      <c r="O30" s="192"/>
      <c r="P30" s="192"/>
      <c r="Q30" s="192"/>
      <c r="R30" s="192"/>
      <c r="S30" s="192"/>
      <c r="T30" s="192"/>
      <c r="U30" s="192"/>
      <c r="V30" s="192"/>
      <c r="W30" s="192"/>
      <c r="X30" s="192"/>
      <c r="Y30" s="192"/>
      <c r="Z30" s="192"/>
      <c r="AA30" s="192"/>
      <c r="AB30" s="192"/>
      <c r="AC30" s="192"/>
      <c r="AD30" s="192"/>
      <c r="AE30" s="192"/>
      <c r="AF30" s="192"/>
      <c r="AG30" s="192"/>
      <c r="AH30" s="192"/>
      <c r="AI30" s="192"/>
      <c r="AJ30" s="192"/>
      <c r="AK30" s="192"/>
      <c r="AL30" s="192"/>
      <c r="AM30" s="192"/>
      <c r="AN30" s="192"/>
      <c r="AO30" s="192"/>
      <c r="AP30" s="192"/>
      <c r="AQ30" s="192"/>
    </row>
    <row r="31" spans="2:45" s="147" customFormat="1">
      <c r="D31" s="192" t="s">
        <v>364</v>
      </c>
      <c r="E31" s="192"/>
      <c r="F31" s="192"/>
      <c r="G31" s="192"/>
      <c r="H31" s="192"/>
      <c r="I31" s="192"/>
      <c r="J31" s="192"/>
      <c r="K31" s="192"/>
      <c r="L31" s="192"/>
      <c r="M31" s="192"/>
      <c r="N31" s="192"/>
      <c r="O31" s="192"/>
      <c r="P31" s="192"/>
      <c r="Q31" s="192"/>
      <c r="R31" s="192"/>
      <c r="S31" s="192"/>
      <c r="T31" s="192"/>
      <c r="U31" s="192"/>
      <c r="V31" s="192"/>
      <c r="W31" s="192"/>
      <c r="X31" s="192"/>
      <c r="Y31" s="192"/>
      <c r="Z31" s="192"/>
      <c r="AA31" s="192"/>
      <c r="AB31" s="192"/>
      <c r="AC31" s="192"/>
      <c r="AD31" s="192"/>
      <c r="AE31" s="192"/>
      <c r="AF31" s="192"/>
      <c r="AG31" s="192"/>
      <c r="AH31" s="192"/>
      <c r="AI31" s="192"/>
      <c r="AJ31" s="192"/>
      <c r="AK31" s="192"/>
      <c r="AL31" s="192"/>
      <c r="AM31" s="192"/>
      <c r="AN31" s="192"/>
      <c r="AO31" s="192"/>
      <c r="AP31" s="192"/>
      <c r="AQ31" s="192"/>
    </row>
    <row r="32" spans="2:45" s="147" customFormat="1"/>
    <row r="33" spans="4:43" s="147" customFormat="1">
      <c r="E33" s="147" t="s">
        <v>358</v>
      </c>
      <c r="G33" s="190" t="s">
        <v>657</v>
      </c>
      <c r="I33" s="141"/>
      <c r="AJ33" s="145">
        <f>IF(AJ$7 &lt; $I$7, AJ22, 0 )</f>
        <v>0</v>
      </c>
      <c r="AK33" s="145">
        <f t="shared" ref="AK33:AP33" si="2">IF(AK$7 &lt; $I$7, AK22, 0 )</f>
        <v>0</v>
      </c>
      <c r="AL33" s="145">
        <f t="shared" si="2"/>
        <v>0</v>
      </c>
      <c r="AM33" s="145">
        <f t="shared" si="2"/>
        <v>0</v>
      </c>
      <c r="AN33" s="145">
        <f t="shared" si="2"/>
        <v>0</v>
      </c>
      <c r="AO33" s="145">
        <f t="shared" si="2"/>
        <v>0</v>
      </c>
      <c r="AP33" s="107">
        <f t="shared" si="2"/>
        <v>0</v>
      </c>
    </row>
    <row r="34" spans="4:43" s="147" customFormat="1">
      <c r="E34" s="147" t="s">
        <v>359</v>
      </c>
      <c r="G34" s="190" t="s">
        <v>657</v>
      </c>
      <c r="I34" s="141"/>
      <c r="AJ34" s="108">
        <f>IF(AJ$7 &lt; $I$7, -LiveResults!F62, 0 )</f>
        <v>0</v>
      </c>
      <c r="AK34" s="108">
        <f>IF(AK$7 &lt; $I$7, -LiveResults!G62, 0 )</f>
        <v>0</v>
      </c>
      <c r="AL34" s="108">
        <f>IF(AL$7 &lt; $I$7, -LiveResults!H62, 0 )</f>
        <v>0</v>
      </c>
      <c r="AM34" s="108">
        <f>IF(AM$7 &lt; $I$7, -LiveResults!I62, 0 )</f>
        <v>0</v>
      </c>
      <c r="AN34" s="108">
        <f>IF(AN$7 &lt; $I$7, -LiveResults!J62, 0 )</f>
        <v>0</v>
      </c>
      <c r="AO34" s="108">
        <f>IF(AO$7 &lt; $I$7, -LiveResults!K62, 0 )</f>
        <v>0</v>
      </c>
      <c r="AP34" s="108">
        <f>IF(AP$7 &lt; $I$7, -LiveResults!L62, 0 )</f>
        <v>0</v>
      </c>
    </row>
    <row r="35" spans="4:43" s="147" customFormat="1">
      <c r="E35" s="147" t="s">
        <v>179</v>
      </c>
      <c r="G35" s="190" t="s">
        <v>657</v>
      </c>
      <c r="AJ35" s="166">
        <f t="shared" ref="AJ35:AP35" si="3">SUM(AJ33:AJ34)</f>
        <v>0</v>
      </c>
      <c r="AK35" s="166">
        <f t="shared" si="3"/>
        <v>0</v>
      </c>
      <c r="AL35" s="166">
        <f t="shared" si="3"/>
        <v>0</v>
      </c>
      <c r="AM35" s="166">
        <f t="shared" si="3"/>
        <v>0</v>
      </c>
      <c r="AN35" s="166">
        <f t="shared" si="3"/>
        <v>0</v>
      </c>
      <c r="AO35" s="166">
        <f t="shared" si="3"/>
        <v>0</v>
      </c>
      <c r="AP35" s="335">
        <f t="shared" si="3"/>
        <v>0</v>
      </c>
    </row>
    <row r="36" spans="4:43" s="147" customFormat="1"/>
    <row r="37" spans="4:43" s="147" customFormat="1">
      <c r="D37" s="193" t="s">
        <v>111</v>
      </c>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row>
    <row r="38" spans="4:43" s="147" customFormat="1">
      <c r="D38" s="192" t="s">
        <v>361</v>
      </c>
      <c r="E38" s="192"/>
      <c r="F38" s="192"/>
      <c r="G38" s="192"/>
      <c r="H38" s="192"/>
      <c r="I38" s="192"/>
      <c r="J38" s="192"/>
      <c r="K38" s="192"/>
      <c r="L38" s="192"/>
      <c r="M38" s="192"/>
      <c r="N38" s="192"/>
      <c r="O38" s="192"/>
      <c r="P38" s="192"/>
      <c r="Q38" s="192"/>
      <c r="R38" s="192"/>
      <c r="S38" s="192"/>
      <c r="T38" s="192"/>
      <c r="U38" s="192"/>
      <c r="V38" s="192"/>
      <c r="W38" s="192"/>
      <c r="X38" s="192"/>
      <c r="Y38" s="192"/>
      <c r="Z38" s="192"/>
      <c r="AA38" s="192"/>
      <c r="AB38" s="192"/>
      <c r="AC38" s="192"/>
      <c r="AD38" s="192"/>
      <c r="AE38" s="192"/>
      <c r="AF38" s="192"/>
      <c r="AG38" s="192"/>
      <c r="AH38" s="192"/>
      <c r="AI38" s="192"/>
      <c r="AJ38" s="192"/>
      <c r="AK38" s="192"/>
      <c r="AL38" s="192"/>
      <c r="AM38" s="192"/>
      <c r="AN38" s="192"/>
      <c r="AO38" s="192"/>
      <c r="AP38" s="192"/>
      <c r="AQ38" s="192"/>
    </row>
    <row r="39" spans="4:43" s="147" customFormat="1">
      <c r="D39" s="192" t="s">
        <v>469</v>
      </c>
      <c r="E39" s="192"/>
      <c r="F39" s="192"/>
      <c r="G39" s="192"/>
      <c r="H39" s="192"/>
      <c r="I39" s="192"/>
      <c r="J39" s="192"/>
      <c r="K39" s="192"/>
      <c r="L39" s="192"/>
      <c r="M39" s="192"/>
      <c r="N39" s="192"/>
      <c r="O39" s="192"/>
      <c r="P39" s="192"/>
      <c r="Q39" s="192"/>
      <c r="R39" s="192"/>
      <c r="S39" s="192"/>
      <c r="T39" s="192"/>
      <c r="U39" s="192"/>
      <c r="V39" s="192"/>
      <c r="W39" s="192"/>
      <c r="X39" s="192"/>
      <c r="Y39" s="192"/>
      <c r="Z39" s="192"/>
      <c r="AA39" s="192"/>
      <c r="AB39" s="192"/>
      <c r="AC39" s="192"/>
      <c r="AD39" s="192"/>
      <c r="AE39" s="192"/>
      <c r="AF39" s="192"/>
      <c r="AG39" s="192"/>
      <c r="AH39" s="192"/>
      <c r="AI39" s="192"/>
      <c r="AJ39" s="192"/>
      <c r="AK39" s="192"/>
      <c r="AL39" s="192"/>
      <c r="AM39" s="192"/>
      <c r="AN39" s="192"/>
      <c r="AO39" s="192"/>
      <c r="AP39" s="192"/>
      <c r="AQ39" s="192"/>
    </row>
    <row r="40" spans="4:43" s="147" customFormat="1">
      <c r="AJ40" s="299"/>
      <c r="AK40" s="299"/>
      <c r="AL40" s="299"/>
      <c r="AM40" s="299"/>
      <c r="AN40" s="299"/>
      <c r="AO40" s="299"/>
      <c r="AP40" s="299"/>
    </row>
    <row r="41" spans="4:43" s="147" customFormat="1">
      <c r="E41" s="147" t="s">
        <v>29</v>
      </c>
      <c r="G41" s="147" t="s">
        <v>64</v>
      </c>
      <c r="I41" s="141"/>
      <c r="AJ41" s="299">
        <f>Input!AJ$53</f>
        <v>3.7574999999999997E-2</v>
      </c>
      <c r="AK41" s="299">
        <f>Input!AK$53</f>
        <v>3.7574999999999997E-2</v>
      </c>
      <c r="AL41" s="299">
        <f>Input!AL$53</f>
        <v>3.7574999999999997E-2</v>
      </c>
      <c r="AM41" s="299">
        <f>Input!AM$53</f>
        <v>3.7574999999999997E-2</v>
      </c>
      <c r="AN41" s="299">
        <f>Input!AN$53</f>
        <v>3.7574999999999997E-2</v>
      </c>
      <c r="AO41" s="299">
        <f>Input!AO$53</f>
        <v>3.7574999999999997E-2</v>
      </c>
      <c r="AP41" s="265">
        <f>Input!AP$53</f>
        <v>3.7574999999999997E-2</v>
      </c>
    </row>
    <row r="42" spans="4:43" s="147" customFormat="1">
      <c r="E42" s="147" t="s">
        <v>60</v>
      </c>
      <c r="G42" s="147" t="s">
        <v>44</v>
      </c>
      <c r="AJ42" s="161">
        <f t="shared" ref="AJ42:AP42" si="4">1 + AJ41</f>
        <v>1.0375749999999999</v>
      </c>
      <c r="AK42" s="161">
        <f t="shared" si="4"/>
        <v>1.0375749999999999</v>
      </c>
      <c r="AL42" s="161">
        <f t="shared" si="4"/>
        <v>1.0375749999999999</v>
      </c>
      <c r="AM42" s="161">
        <f t="shared" si="4"/>
        <v>1.0375749999999999</v>
      </c>
      <c r="AN42" s="161">
        <f t="shared" si="4"/>
        <v>1.0375749999999999</v>
      </c>
      <c r="AO42" s="161">
        <f t="shared" si="4"/>
        <v>1.0375749999999999</v>
      </c>
      <c r="AP42" s="336">
        <f t="shared" si="4"/>
        <v>1.0375749999999999</v>
      </c>
    </row>
    <row r="43" spans="4:43" s="147" customFormat="1">
      <c r="E43" s="147" t="s">
        <v>470</v>
      </c>
      <c r="G43" s="147" t="s">
        <v>44</v>
      </c>
      <c r="AJ43" s="337">
        <f ca="1">IF(AJ$7 &lt; $I$7, PRODUCT(OFFSET(AJ42, 0, 0, 1, YEAR($I$7) - YEAR(AJ$7))), 0)</f>
        <v>0</v>
      </c>
      <c r="AK43" s="337">
        <f t="shared" ref="AK43:AP43" ca="1" si="5">IF(AK$7 &lt; $I$7, PRODUCT(OFFSET(AK42, 0, 0, 1, YEAR($I$7) - YEAR(AK$7))), 0)</f>
        <v>0</v>
      </c>
      <c r="AL43" s="337">
        <f t="shared" ca="1" si="5"/>
        <v>0</v>
      </c>
      <c r="AM43" s="337">
        <f t="shared" ca="1" si="5"/>
        <v>0</v>
      </c>
      <c r="AN43" s="337">
        <f t="shared" ca="1" si="5"/>
        <v>0</v>
      </c>
      <c r="AO43" s="337">
        <f t="shared" ca="1" si="5"/>
        <v>0</v>
      </c>
      <c r="AP43" s="338">
        <f t="shared" ca="1" si="5"/>
        <v>0</v>
      </c>
    </row>
    <row r="44" spans="4:43" s="147" customFormat="1"/>
    <row r="45" spans="4:43" s="147" customFormat="1">
      <c r="E45" s="147" t="s">
        <v>179</v>
      </c>
      <c r="G45" s="147" t="s">
        <v>657</v>
      </c>
      <c r="AJ45" s="145">
        <f t="shared" ref="AJ45:AP45" si="6">AJ35</f>
        <v>0</v>
      </c>
      <c r="AK45" s="145">
        <f t="shared" si="6"/>
        <v>0</v>
      </c>
      <c r="AL45" s="145">
        <f t="shared" si="6"/>
        <v>0</v>
      </c>
      <c r="AM45" s="145">
        <f t="shared" si="6"/>
        <v>0</v>
      </c>
      <c r="AN45" s="145">
        <f t="shared" si="6"/>
        <v>0</v>
      </c>
      <c r="AO45" s="145">
        <f t="shared" si="6"/>
        <v>0</v>
      </c>
      <c r="AP45" s="107">
        <f t="shared" si="6"/>
        <v>0</v>
      </c>
    </row>
    <row r="46" spans="4:43" s="147" customFormat="1"/>
    <row r="47" spans="4:43" s="147" customFormat="1">
      <c r="E47" s="147" t="s">
        <v>111</v>
      </c>
      <c r="G47" s="147" t="s">
        <v>657</v>
      </c>
      <c r="AJ47" s="107"/>
      <c r="AK47" s="32">
        <f>IF(AK$7 = $I$7, SUMPRODUCT($AJ45:AJ45, $AJ43:AJ43), 0)</f>
        <v>0</v>
      </c>
      <c r="AL47" s="32">
        <f>IF(AL$7 = $I$7, SUMPRODUCT($AJ45:AK45, $AJ43:AK43), 0)</f>
        <v>0</v>
      </c>
      <c r="AM47" s="32">
        <f>IF(AM$7 = $I$7, SUMPRODUCT($AJ45:AL45, $AJ43:AL43), 0)</f>
        <v>0</v>
      </c>
      <c r="AN47" s="32">
        <f>IF(AN$7 = $I$7, SUMPRODUCT($AJ45:AM45, $AJ43:AM43), 0)</f>
        <v>0</v>
      </c>
      <c r="AO47" s="32">
        <f>IF(AO$7 = $I$7, SUMPRODUCT($AJ45:AN45, $AJ43:AN43), 0)</f>
        <v>0</v>
      </c>
      <c r="AP47" s="32">
        <f>IF(AP$7 = $I$7, SUMPRODUCT($AJ45:AO45, $AJ43:AO43), 0)</f>
        <v>0</v>
      </c>
      <c r="AQ47" s="32">
        <f>IF(AQ$7 = $I$7, SUMPRODUCT($AJ45:AP45, $AJ43:AP43), 0)</f>
        <v>0</v>
      </c>
    </row>
    <row r="48" spans="4:43" s="147" customFormat="1">
      <c r="AJ48" s="248"/>
      <c r="AK48" s="248"/>
      <c r="AL48" s="248"/>
      <c r="AM48" s="248"/>
      <c r="AN48" s="248"/>
      <c r="AO48" s="248"/>
      <c r="AP48" s="248"/>
      <c r="AQ48" s="248"/>
    </row>
    <row r="49" spans="2:43" s="147" customFormat="1">
      <c r="C49" s="292" t="s">
        <v>35</v>
      </c>
      <c r="D49" s="292"/>
      <c r="E49" s="292"/>
      <c r="F49" s="292"/>
      <c r="G49" s="292"/>
      <c r="H49" s="292"/>
      <c r="I49" s="292"/>
      <c r="J49" s="292"/>
      <c r="K49" s="292"/>
      <c r="L49" s="292"/>
      <c r="M49" s="292"/>
      <c r="N49" s="292"/>
      <c r="O49" s="292"/>
      <c r="P49" s="292"/>
      <c r="Q49" s="292"/>
      <c r="R49" s="292"/>
      <c r="S49" s="292"/>
      <c r="T49" s="292"/>
      <c r="U49" s="292"/>
      <c r="V49" s="292"/>
      <c r="W49" s="292"/>
      <c r="X49" s="292"/>
      <c r="Y49" s="292"/>
      <c r="Z49" s="292"/>
      <c r="AA49" s="292"/>
      <c r="AB49" s="292"/>
      <c r="AC49" s="292"/>
      <c r="AD49" s="292"/>
      <c r="AE49" s="292"/>
      <c r="AF49" s="292"/>
      <c r="AG49" s="292"/>
      <c r="AH49" s="292"/>
      <c r="AI49" s="292"/>
      <c r="AJ49" s="292"/>
      <c r="AK49" s="292"/>
      <c r="AL49" s="292"/>
      <c r="AM49" s="292"/>
      <c r="AN49" s="292"/>
      <c r="AO49" s="292"/>
      <c r="AP49" s="292"/>
      <c r="AQ49" s="292"/>
    </row>
    <row r="50" spans="2:43" s="147" customFormat="1">
      <c r="C50" s="192" t="s">
        <v>363</v>
      </c>
      <c r="D50" s="192"/>
      <c r="E50" s="192"/>
      <c r="F50" s="192"/>
      <c r="G50" s="192"/>
      <c r="H50" s="192"/>
      <c r="I50" s="192"/>
      <c r="J50" s="192"/>
      <c r="K50" s="192"/>
      <c r="L50" s="192"/>
      <c r="M50" s="192"/>
      <c r="N50" s="192"/>
      <c r="O50" s="192"/>
      <c r="P50" s="192"/>
      <c r="Q50" s="192"/>
      <c r="R50" s="192"/>
      <c r="S50" s="192"/>
      <c r="T50" s="192"/>
      <c r="U50" s="192"/>
      <c r="V50" s="192"/>
      <c r="W50" s="192"/>
      <c r="X50" s="192"/>
      <c r="Y50" s="192"/>
      <c r="Z50" s="192"/>
      <c r="AA50" s="192"/>
      <c r="AB50" s="192"/>
      <c r="AC50" s="192"/>
      <c r="AD50" s="192"/>
      <c r="AE50" s="192"/>
      <c r="AF50" s="192"/>
      <c r="AG50" s="192"/>
      <c r="AH50" s="192"/>
      <c r="AI50" s="192"/>
      <c r="AJ50" s="192"/>
      <c r="AK50" s="192"/>
      <c r="AL50" s="192"/>
      <c r="AM50" s="192"/>
      <c r="AN50" s="192"/>
      <c r="AO50" s="192"/>
      <c r="AP50" s="192"/>
      <c r="AQ50" s="192"/>
    </row>
    <row r="51" spans="2:43" s="147" customFormat="1"/>
    <row r="52" spans="2:43" s="147" customFormat="1">
      <c r="E52" s="147" t="s">
        <v>176</v>
      </c>
      <c r="G52" s="147" t="s">
        <v>657</v>
      </c>
      <c r="AJ52" s="147">
        <f t="shared" ref="AJ52:AQ52" si="7">IF(AJ$7 = $I7, AJ22, 0 )</f>
        <v>473.74910068752729</v>
      </c>
      <c r="AK52" s="147">
        <f t="shared" si="7"/>
        <v>0</v>
      </c>
      <c r="AL52" s="147">
        <f>IF(AL$7 = $I7, AL22, 0 )</f>
        <v>0</v>
      </c>
      <c r="AM52" s="147">
        <f>IF(AM$7 = $I7, AM22, 0 )</f>
        <v>0</v>
      </c>
      <c r="AN52" s="147">
        <f t="shared" si="7"/>
        <v>0</v>
      </c>
      <c r="AO52" s="147">
        <f t="shared" si="7"/>
        <v>0</v>
      </c>
      <c r="AP52" s="147">
        <f t="shared" si="7"/>
        <v>0</v>
      </c>
      <c r="AQ52" s="147">
        <f t="shared" si="7"/>
        <v>0</v>
      </c>
    </row>
    <row r="53" spans="2:43" s="147" customFormat="1">
      <c r="E53" s="147" t="s">
        <v>111</v>
      </c>
      <c r="G53" s="147" t="s">
        <v>657</v>
      </c>
      <c r="AJ53" s="107"/>
      <c r="AK53" s="147">
        <f t="shared" ref="AK53:AQ53" si="8">AK47</f>
        <v>0</v>
      </c>
      <c r="AL53" s="147">
        <f t="shared" si="8"/>
        <v>0</v>
      </c>
      <c r="AM53" s="147">
        <f t="shared" si="8"/>
        <v>0</v>
      </c>
      <c r="AN53" s="147">
        <f t="shared" si="8"/>
        <v>0</v>
      </c>
      <c r="AO53" s="147">
        <f t="shared" si="8"/>
        <v>0</v>
      </c>
      <c r="AP53" s="147">
        <f t="shared" si="8"/>
        <v>0</v>
      </c>
      <c r="AQ53" s="147">
        <f t="shared" si="8"/>
        <v>0</v>
      </c>
    </row>
    <row r="54" spans="2:43" s="147" customFormat="1">
      <c r="E54" s="147" t="s">
        <v>362</v>
      </c>
      <c r="G54" s="147" t="s">
        <v>657</v>
      </c>
      <c r="I54" s="141"/>
      <c r="AJ54" s="165">
        <f t="shared" ref="AJ54:AQ54" si="9">SUM(AJ52:AJ53)</f>
        <v>473.74910068752729</v>
      </c>
      <c r="AK54" s="165">
        <f t="shared" si="9"/>
        <v>0</v>
      </c>
      <c r="AL54" s="165">
        <f t="shared" si="9"/>
        <v>0</v>
      </c>
      <c r="AM54" s="165">
        <f t="shared" si="9"/>
        <v>0</v>
      </c>
      <c r="AN54" s="165">
        <f t="shared" si="9"/>
        <v>0</v>
      </c>
      <c r="AO54" s="165">
        <f t="shared" si="9"/>
        <v>0</v>
      </c>
      <c r="AP54" s="165">
        <f t="shared" si="9"/>
        <v>0</v>
      </c>
      <c r="AQ54" s="165">
        <f t="shared" si="9"/>
        <v>0</v>
      </c>
    </row>
    <row r="55" spans="2:43" s="147" customFormat="1">
      <c r="AJ55" s="150"/>
      <c r="AK55" s="150"/>
      <c r="AL55" s="150"/>
      <c r="AM55" s="150"/>
      <c r="AN55" s="150"/>
      <c r="AO55" s="150"/>
      <c r="AP55" s="150"/>
      <c r="AQ55" s="150"/>
    </row>
    <row r="56" spans="2:43" s="147" customFormat="1">
      <c r="C56" s="292" t="s">
        <v>58</v>
      </c>
      <c r="D56" s="292"/>
      <c r="E56" s="292"/>
      <c r="F56" s="292"/>
      <c r="G56" s="292"/>
      <c r="H56" s="292"/>
      <c r="I56" s="292"/>
      <c r="J56" s="292"/>
      <c r="K56" s="292"/>
      <c r="L56" s="292"/>
      <c r="M56" s="292"/>
      <c r="N56" s="292"/>
      <c r="O56" s="292"/>
      <c r="P56" s="292"/>
      <c r="Q56" s="292"/>
      <c r="R56" s="292"/>
      <c r="S56" s="292"/>
      <c r="T56" s="292"/>
      <c r="U56" s="292"/>
      <c r="V56" s="292"/>
      <c r="W56" s="292"/>
      <c r="X56" s="292"/>
      <c r="Y56" s="292"/>
      <c r="Z56" s="292"/>
      <c r="AA56" s="292"/>
      <c r="AB56" s="292"/>
      <c r="AC56" s="292"/>
      <c r="AD56" s="292"/>
      <c r="AE56" s="292"/>
      <c r="AF56" s="292"/>
      <c r="AG56" s="292"/>
      <c r="AH56" s="292"/>
      <c r="AI56" s="292"/>
      <c r="AJ56" s="339"/>
      <c r="AK56" s="339"/>
      <c r="AL56" s="339"/>
      <c r="AM56" s="339"/>
      <c r="AN56" s="339"/>
      <c r="AO56" s="339"/>
      <c r="AP56" s="339"/>
      <c r="AQ56" s="339"/>
    </row>
    <row r="57" spans="2:43" s="147" customFormat="1">
      <c r="C57" s="192" t="s">
        <v>365</v>
      </c>
      <c r="D57" s="192"/>
      <c r="E57" s="192"/>
      <c r="F57" s="192"/>
      <c r="G57" s="192"/>
      <c r="H57" s="192"/>
      <c r="I57" s="192"/>
      <c r="J57" s="192"/>
      <c r="K57" s="192"/>
      <c r="L57" s="192"/>
      <c r="M57" s="192"/>
      <c r="N57" s="192"/>
      <c r="O57" s="192"/>
      <c r="P57" s="192"/>
      <c r="Q57" s="192"/>
      <c r="R57" s="192"/>
      <c r="S57" s="192"/>
      <c r="T57" s="192"/>
      <c r="U57" s="192"/>
      <c r="V57" s="192"/>
      <c r="W57" s="192"/>
      <c r="X57" s="192"/>
      <c r="Y57" s="192"/>
      <c r="Z57" s="192"/>
      <c r="AA57" s="192"/>
      <c r="AB57" s="192"/>
      <c r="AC57" s="192"/>
      <c r="AD57" s="192"/>
      <c r="AE57" s="192"/>
      <c r="AF57" s="192"/>
      <c r="AG57" s="192"/>
      <c r="AH57" s="192"/>
      <c r="AI57" s="192"/>
      <c r="AJ57" s="192"/>
      <c r="AK57" s="192"/>
      <c r="AL57" s="192"/>
      <c r="AM57" s="192"/>
      <c r="AN57" s="192"/>
      <c r="AO57" s="192"/>
      <c r="AP57" s="192"/>
      <c r="AQ57" s="192"/>
    </row>
    <row r="58" spans="2:43" s="147" customFormat="1">
      <c r="AJ58" s="150"/>
      <c r="AK58" s="150"/>
      <c r="AL58" s="150"/>
      <c r="AM58" s="150"/>
      <c r="AN58" s="150"/>
      <c r="AO58" s="150"/>
      <c r="AP58" s="150"/>
      <c r="AQ58" s="150"/>
    </row>
    <row r="59" spans="2:43" s="147" customFormat="1">
      <c r="E59" s="147" t="s">
        <v>177</v>
      </c>
      <c r="G59" s="147" t="s">
        <v>657</v>
      </c>
      <c r="AJ59" s="107"/>
      <c r="AK59" s="150">
        <f t="shared" ref="AK59:AQ59" si="10">AK54</f>
        <v>0</v>
      </c>
      <c r="AL59" s="150">
        <f>AL54</f>
        <v>0</v>
      </c>
      <c r="AM59" s="150">
        <f t="shared" si="10"/>
        <v>0</v>
      </c>
      <c r="AN59" s="150">
        <f t="shared" si="10"/>
        <v>0</v>
      </c>
      <c r="AO59" s="150">
        <f t="shared" si="10"/>
        <v>0</v>
      </c>
      <c r="AP59" s="150">
        <f t="shared" si="10"/>
        <v>0</v>
      </c>
      <c r="AQ59" s="150">
        <f t="shared" si="10"/>
        <v>0</v>
      </c>
    </row>
    <row r="60" spans="2:43" s="147" customFormat="1">
      <c r="E60" s="147" t="s">
        <v>503</v>
      </c>
      <c r="G60" s="147" t="s">
        <v>657</v>
      </c>
      <c r="I60" s="141"/>
      <c r="AJ60" s="107"/>
      <c r="AK60" s="150">
        <f>IF(AK$7 = $I$7, -AK67, 0 )</f>
        <v>0</v>
      </c>
      <c r="AL60" s="150">
        <f t="shared" ref="AL60:AQ60" si="11">IF(AL$7 = $I$7, -AL67, 0 )</f>
        <v>0</v>
      </c>
      <c r="AM60" s="150">
        <f t="shared" si="11"/>
        <v>0</v>
      </c>
      <c r="AN60" s="150">
        <f t="shared" si="11"/>
        <v>0</v>
      </c>
      <c r="AO60" s="150">
        <f t="shared" si="11"/>
        <v>0</v>
      </c>
      <c r="AP60" s="150">
        <f t="shared" si="11"/>
        <v>0</v>
      </c>
      <c r="AQ60" s="150">
        <f t="shared" si="11"/>
        <v>0</v>
      </c>
    </row>
    <row r="61" spans="2:43" s="147" customFormat="1">
      <c r="E61" s="147" t="s">
        <v>58</v>
      </c>
      <c r="G61" s="147" t="s">
        <v>657</v>
      </c>
      <c r="I61" s="141"/>
      <c r="AK61" s="165">
        <f t="shared" ref="AK61:AQ61" si="12">SUM(AK59:AK60)</f>
        <v>0</v>
      </c>
      <c r="AL61" s="165">
        <f t="shared" si="12"/>
        <v>0</v>
      </c>
      <c r="AM61" s="165">
        <f t="shared" si="12"/>
        <v>0</v>
      </c>
      <c r="AN61" s="165">
        <f t="shared" si="12"/>
        <v>0</v>
      </c>
      <c r="AO61" s="165">
        <f t="shared" si="12"/>
        <v>0</v>
      </c>
      <c r="AP61" s="165">
        <f t="shared" si="12"/>
        <v>0</v>
      </c>
      <c r="AQ61" s="165">
        <f t="shared" si="12"/>
        <v>0</v>
      </c>
    </row>
    <row r="62" spans="2:43" s="147" customFormat="1">
      <c r="AJ62" s="150"/>
      <c r="AK62" s="150"/>
      <c r="AL62" s="150"/>
      <c r="AM62" s="150"/>
      <c r="AN62" s="150"/>
      <c r="AO62" s="150"/>
      <c r="AP62" s="150"/>
      <c r="AQ62" s="150"/>
    </row>
    <row r="63" spans="2:43" s="155" customFormat="1">
      <c r="B63" s="440" t="s">
        <v>9</v>
      </c>
      <c r="C63" s="302"/>
      <c r="D63" s="302"/>
      <c r="E63" s="302"/>
      <c r="F63" s="302"/>
      <c r="G63" s="302"/>
      <c r="H63" s="302"/>
      <c r="I63" s="302"/>
      <c r="J63" s="302"/>
      <c r="K63" s="302"/>
      <c r="L63" s="302"/>
      <c r="M63" s="302"/>
      <c r="N63" s="302"/>
      <c r="O63" s="302"/>
      <c r="P63" s="302"/>
      <c r="Q63" s="302"/>
      <c r="R63" s="302"/>
      <c r="S63" s="302"/>
      <c r="T63" s="302"/>
      <c r="U63" s="302"/>
      <c r="V63" s="302"/>
      <c r="W63" s="302"/>
      <c r="X63" s="302"/>
      <c r="Y63" s="302"/>
      <c r="Z63" s="302"/>
      <c r="AA63" s="302"/>
      <c r="AB63" s="302"/>
      <c r="AC63" s="302"/>
      <c r="AD63" s="302"/>
      <c r="AE63" s="302"/>
      <c r="AF63" s="302"/>
      <c r="AG63" s="302"/>
      <c r="AH63" s="302"/>
      <c r="AI63" s="302"/>
      <c r="AJ63" s="340"/>
      <c r="AK63" s="340"/>
      <c r="AL63" s="340"/>
      <c r="AM63" s="340"/>
      <c r="AN63" s="340"/>
      <c r="AO63" s="340"/>
      <c r="AP63" s="340"/>
      <c r="AQ63" s="340"/>
    </row>
    <row r="64" spans="2:43" s="155" customFormat="1">
      <c r="B64" s="192" t="s">
        <v>366</v>
      </c>
      <c r="C64" s="192"/>
      <c r="D64" s="192"/>
      <c r="E64" s="192"/>
      <c r="F64" s="192"/>
      <c r="G64" s="192"/>
      <c r="H64" s="192"/>
      <c r="I64" s="192"/>
      <c r="J64" s="192"/>
      <c r="K64" s="192"/>
      <c r="L64" s="192"/>
      <c r="M64" s="192"/>
      <c r="N64" s="192"/>
      <c r="O64" s="192"/>
      <c r="P64" s="192"/>
      <c r="Q64" s="192"/>
      <c r="R64" s="192"/>
      <c r="S64" s="192"/>
      <c r="T64" s="192"/>
      <c r="U64" s="192"/>
      <c r="V64" s="192"/>
      <c r="W64" s="192"/>
      <c r="X64" s="192"/>
      <c r="Y64" s="192"/>
      <c r="Z64" s="192"/>
      <c r="AA64" s="192"/>
      <c r="AB64" s="192"/>
      <c r="AC64" s="192"/>
      <c r="AD64" s="192"/>
      <c r="AE64" s="192"/>
      <c r="AF64" s="192"/>
      <c r="AG64" s="192"/>
      <c r="AH64" s="192"/>
      <c r="AI64" s="192"/>
      <c r="AJ64" s="192"/>
      <c r="AK64" s="192"/>
      <c r="AL64" s="192"/>
      <c r="AM64" s="192"/>
      <c r="AN64" s="192"/>
      <c r="AO64" s="192"/>
      <c r="AP64" s="192"/>
      <c r="AQ64" s="192"/>
    </row>
    <row r="65" spans="2:43" s="147" customFormat="1">
      <c r="B65" s="192" t="s">
        <v>483</v>
      </c>
      <c r="C65" s="192"/>
      <c r="D65" s="192"/>
      <c r="E65" s="192"/>
      <c r="F65" s="192"/>
      <c r="G65" s="192"/>
      <c r="H65" s="192"/>
      <c r="I65" s="192"/>
      <c r="J65" s="192"/>
      <c r="K65" s="192"/>
      <c r="L65" s="192"/>
      <c r="M65" s="192"/>
      <c r="N65" s="192"/>
      <c r="O65" s="192"/>
      <c r="P65" s="192"/>
      <c r="Q65" s="192"/>
      <c r="R65" s="192"/>
      <c r="S65" s="192"/>
      <c r="T65" s="192"/>
      <c r="U65" s="192"/>
      <c r="V65" s="192"/>
      <c r="W65" s="192"/>
      <c r="X65" s="192"/>
      <c r="Y65" s="192"/>
      <c r="Z65" s="192"/>
      <c r="AA65" s="192"/>
      <c r="AB65" s="192"/>
      <c r="AC65" s="192"/>
      <c r="AD65" s="192"/>
      <c r="AE65" s="192"/>
      <c r="AF65" s="192"/>
      <c r="AG65" s="192"/>
      <c r="AH65" s="192"/>
      <c r="AI65" s="192"/>
      <c r="AJ65" s="192"/>
      <c r="AK65" s="192"/>
      <c r="AL65" s="192"/>
      <c r="AM65" s="192"/>
      <c r="AN65" s="192"/>
      <c r="AO65" s="192"/>
      <c r="AP65" s="192"/>
      <c r="AQ65" s="192"/>
    </row>
    <row r="66" spans="2:43" s="155" customFormat="1"/>
    <row r="67" spans="2:43" s="155" customFormat="1">
      <c r="E67" s="155" t="s">
        <v>484</v>
      </c>
      <c r="G67" s="190" t="s">
        <v>657</v>
      </c>
      <c r="I67" s="190"/>
      <c r="AJ67" s="155">
        <f ca="1">LiveResults!F53</f>
        <v>473.74910068752729</v>
      </c>
      <c r="AK67" s="155">
        <f ca="1">LiveResults!G53</f>
        <v>473.72857212416716</v>
      </c>
      <c r="AL67" s="155">
        <f ca="1">LiveResults!H53</f>
        <v>473.71106979381284</v>
      </c>
      <c r="AM67" s="155">
        <f ca="1">LiveResults!I53</f>
        <v>473.70216055354757</v>
      </c>
      <c r="AN67" s="155">
        <f ca="1">LiveResults!J53</f>
        <v>473.69561593160125</v>
      </c>
      <c r="AO67" s="155">
        <f ca="1">LiveResults!K53</f>
        <v>473.6980856895749</v>
      </c>
      <c r="AP67" s="155">
        <f ca="1">LiveResults!L53</f>
        <v>473.69693360654423</v>
      </c>
      <c r="AQ67" s="155">
        <f ca="1">LiveResults!M53</f>
        <v>473.70539564400872</v>
      </c>
    </row>
    <row r="68" spans="2:43" s="155" customFormat="1">
      <c r="E68" s="155" t="s">
        <v>58</v>
      </c>
      <c r="G68" s="190" t="s">
        <v>657</v>
      </c>
      <c r="I68" s="190"/>
      <c r="AJ68" s="42"/>
      <c r="AK68" s="155">
        <f ca="1">IF(AK$7 = $I$7, AK61, LiveResults!G54)</f>
        <v>0</v>
      </c>
      <c r="AL68" s="155">
        <f ca="1">IF(AL$7 = $I$7, AL61, LiveResults!H54)</f>
        <v>0</v>
      </c>
      <c r="AM68" s="155">
        <f ca="1">IF(AM$7 = $I$7, AM61, LiveResults!I54)</f>
        <v>0</v>
      </c>
      <c r="AN68" s="155">
        <f ca="1">IF(AN$7 = $I$7, AN61, LiveResults!J54)</f>
        <v>0</v>
      </c>
      <c r="AO68" s="155">
        <f ca="1">IF(AO$7 = $I$7, AO61, LiveResults!K54)</f>
        <v>0</v>
      </c>
      <c r="AP68" s="155">
        <f ca="1">IF(AP$7 = $I$7, AP61, LiveResults!L54)</f>
        <v>0</v>
      </c>
      <c r="AQ68" s="155">
        <f ca="1">IF(AQ$7 = $I$7, AQ61, LiveResults!M54)</f>
        <v>0</v>
      </c>
    </row>
    <row r="69" spans="2:43" s="155" customFormat="1">
      <c r="E69" s="155" t="s">
        <v>43</v>
      </c>
      <c r="G69" s="190" t="s">
        <v>657</v>
      </c>
      <c r="I69" s="190"/>
      <c r="AJ69" s="165">
        <f t="shared" ref="AJ69:AQ69" ca="1" si="13">SUM(AJ67:AJ68)</f>
        <v>473.74910068752729</v>
      </c>
      <c r="AK69" s="165">
        <f t="shared" ca="1" si="13"/>
        <v>473.72857212416716</v>
      </c>
      <c r="AL69" s="165">
        <f t="shared" ca="1" si="13"/>
        <v>473.71106979381284</v>
      </c>
      <c r="AM69" s="165">
        <f t="shared" ca="1" si="13"/>
        <v>473.70216055354757</v>
      </c>
      <c r="AN69" s="165">
        <f t="shared" ca="1" si="13"/>
        <v>473.69561593160125</v>
      </c>
      <c r="AO69" s="165">
        <f t="shared" ca="1" si="13"/>
        <v>473.6980856895749</v>
      </c>
      <c r="AP69" s="165">
        <f t="shared" ca="1" si="13"/>
        <v>473.69693360654423</v>
      </c>
      <c r="AQ69" s="165">
        <f t="shared" ca="1" si="13"/>
        <v>473.70539564400872</v>
      </c>
    </row>
    <row r="70" spans="2:43" s="155" customFormat="1">
      <c r="E70" s="155" t="s">
        <v>216</v>
      </c>
      <c r="G70" s="190" t="s">
        <v>657</v>
      </c>
      <c r="I70" s="190"/>
      <c r="AJ70" s="155">
        <f>DARTs!AJ60</f>
        <v>26.481906678186554</v>
      </c>
      <c r="AK70" s="155">
        <f>DARTs!AK60</f>
        <v>24.991765888186542</v>
      </c>
      <c r="AL70" s="155">
        <f>DARTs!AL60</f>
        <v>15.394616657754627</v>
      </c>
      <c r="AM70" s="155">
        <f>DARTs!AM60</f>
        <v>6.6787259883864802</v>
      </c>
      <c r="AN70" s="155">
        <f>DARTs!AN60</f>
        <v>6.4532329679902851</v>
      </c>
      <c r="AO70" s="155">
        <f>DARTs!AO60</f>
        <v>6.4656248777980316</v>
      </c>
      <c r="AP70" s="155">
        <f>DARTs!AP60</f>
        <v>6.4109028685077014</v>
      </c>
      <c r="AQ70" s="155">
        <f>DARTs!AQ60</f>
        <v>6.4420680793102871</v>
      </c>
    </row>
    <row r="71" spans="2:43" s="155" customFormat="1">
      <c r="E71" s="155" t="s">
        <v>504</v>
      </c>
      <c r="G71" s="190" t="s">
        <v>657</v>
      </c>
      <c r="I71" s="190"/>
      <c r="AJ71" s="34">
        <f ca="1">SUM(AJ69:AJ70)</f>
        <v>500.23100736571382</v>
      </c>
      <c r="AK71" s="34">
        <f t="shared" ref="AK71:AQ71" ca="1" si="14">SUM(AK69:AK70)</f>
        <v>498.72033801235369</v>
      </c>
      <c r="AL71" s="34">
        <f t="shared" ca="1" si="14"/>
        <v>489.10568645156746</v>
      </c>
      <c r="AM71" s="34">
        <f t="shared" ca="1" si="14"/>
        <v>480.38088654193405</v>
      </c>
      <c r="AN71" s="34">
        <f t="shared" ca="1" si="14"/>
        <v>480.14884889959154</v>
      </c>
      <c r="AO71" s="34">
        <f t="shared" ca="1" si="14"/>
        <v>480.1637105673729</v>
      </c>
      <c r="AP71" s="34">
        <f t="shared" ca="1" si="14"/>
        <v>480.10783647505195</v>
      </c>
      <c r="AQ71" s="34">
        <f t="shared" ca="1" si="14"/>
        <v>480.14746372331899</v>
      </c>
    </row>
    <row r="72" spans="2:43" s="155" customFormat="1"/>
    <row r="73" spans="2:43" s="156" customFormat="1" ht="15" customHeight="1">
      <c r="B73" s="84" t="s">
        <v>51</v>
      </c>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row>
    <row r="74" spans="2:43"/>
    <row r="75" spans="2:43" hidden="1"/>
    <row r="76" spans="2:43" hidden="1"/>
    <row r="77" spans="2:43" hidden="1"/>
    <row r="78" spans="2:43" hidden="1"/>
    <row r="79" spans="2:43" hidden="1"/>
    <row r="80" spans="2:43" hidden="1"/>
    <row r="81" hidden="1"/>
    <row r="82" hidden="1"/>
    <row r="83" hidden="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cellWatches>
    <cellWatch r="AJ13"/>
    <cellWatch r="AK13"/>
    <cellWatch r="AL13"/>
    <cellWatch r="AM13"/>
    <cellWatch r="AN13"/>
    <cellWatch r="AO13"/>
    <cellWatch r="AP13"/>
    <cellWatch r="AQ13"/>
    <cellWatch r="AJ14"/>
    <cellWatch r="AK14"/>
    <cellWatch r="AL14"/>
    <cellWatch r="AM14"/>
    <cellWatch r="AN14"/>
    <cellWatch r="AO14"/>
    <cellWatch r="AP14"/>
    <cellWatch r="AQ14"/>
    <cellWatch r="AJ15"/>
    <cellWatch r="AK15"/>
    <cellWatch r="AL15"/>
    <cellWatch r="AM15"/>
    <cellWatch r="AN15"/>
    <cellWatch r="AO15"/>
    <cellWatch r="AP15"/>
    <cellWatch r="AQ15"/>
    <cellWatch r="AJ16"/>
    <cellWatch r="AK16"/>
    <cellWatch r="AL16"/>
    <cellWatch r="AM16"/>
    <cellWatch r="AN16"/>
    <cellWatch r="AO16"/>
    <cellWatch r="AP16"/>
    <cellWatch r="AQ16"/>
    <cellWatch r="AJ17"/>
    <cellWatch r="AK17"/>
    <cellWatch r="AL17"/>
    <cellWatch r="AM17"/>
    <cellWatch r="AN17"/>
    <cellWatch r="AO17"/>
    <cellWatch r="AP17"/>
    <cellWatch r="AQ17"/>
    <cellWatch r="AJ18"/>
    <cellWatch r="AK18"/>
    <cellWatch r="AL18"/>
    <cellWatch r="AM18"/>
    <cellWatch r="AN18"/>
    <cellWatch r="AO18"/>
    <cellWatch r="AP18"/>
    <cellWatch r="AQ18"/>
    <cellWatch r="AJ19"/>
    <cellWatch r="AK19"/>
    <cellWatch r="AL19"/>
    <cellWatch r="AM19"/>
    <cellWatch r="AN19"/>
    <cellWatch r="AO19"/>
    <cellWatch r="AP19"/>
    <cellWatch r="AQ19"/>
    <cellWatch r="AJ20"/>
    <cellWatch r="AK20"/>
    <cellWatch r="AL20"/>
    <cellWatch r="AM20"/>
    <cellWatch r="AN20"/>
    <cellWatch r="AO20"/>
    <cellWatch r="AP20"/>
    <cellWatch r="AQ20"/>
  </cellWatches>
  <ignoredErrors>
    <ignoredError sqref="AK70:AQ7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Drop Down 1">
              <controlPr defaultSize="0" autoLine="0" autoPict="0">
                <anchor moveWithCells="1">
                  <from>
                    <xdr:col>4</xdr:col>
                    <xdr:colOff>581025</xdr:colOff>
                    <xdr:row>1</xdr:row>
                    <xdr:rowOff>0</xdr:rowOff>
                  </from>
                  <to>
                    <xdr:col>4</xdr:col>
                    <xdr:colOff>3019425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6"/>
    <pageSetUpPr autoPageBreaks="0" fitToPage="1"/>
  </sheetPr>
  <dimension ref="A1:AQ207"/>
  <sheetViews>
    <sheetView zoomScale="70" zoomScaleNormal="70" workbookViewId="0">
      <pane ySplit="1" topLeftCell="A2" activePane="bottomLeft" state="frozen"/>
      <selection activeCell="N881" sqref="N881"/>
      <selection pane="bottomLeft" activeCell="J20" sqref="J20"/>
    </sheetView>
  </sheetViews>
  <sheetFormatPr defaultColWidth="0" defaultRowHeight="0" customHeight="1" zeroHeight="1"/>
  <cols>
    <col min="1" max="3" width="2" style="147" customWidth="1"/>
    <col min="4" max="4" width="3.125" style="147" customWidth="1"/>
    <col min="5" max="5" width="46.75" style="147" customWidth="1"/>
    <col min="6" max="15" width="12.625" style="147" customWidth="1"/>
    <col min="16" max="16" width="12.625" customWidth="1"/>
    <col min="17" max="17" width="13.75" hidden="1" customWidth="1"/>
    <col min="18" max="19" width="12.625" hidden="1" customWidth="1"/>
    <col min="20" max="20" width="12.875" style="147" hidden="1" customWidth="1"/>
    <col min="21" max="34" width="9" style="147" hidden="1" customWidth="1"/>
    <col min="35" max="43" width="0" style="147" hidden="1" customWidth="1"/>
    <col min="44" max="16384" width="9" style="147" hidden="1"/>
  </cols>
  <sheetData>
    <row r="1" spans="1:19" s="7" customFormat="1" ht="30" customHeight="1">
      <c r="A1" s="341" t="s">
        <v>241</v>
      </c>
      <c r="B1" s="341"/>
      <c r="C1" s="341"/>
    </row>
    <row r="2" spans="1:19" s="145" customFormat="1" ht="15" customHeight="1">
      <c r="P2"/>
      <c r="Q2"/>
      <c r="R2"/>
      <c r="S2"/>
    </row>
    <row r="3" spans="1:19" ht="15" customHeight="1">
      <c r="B3" s="294" t="s">
        <v>303</v>
      </c>
      <c r="C3" s="294"/>
      <c r="D3" s="294"/>
      <c r="E3" s="294"/>
      <c r="F3" s="294"/>
      <c r="G3" s="294"/>
      <c r="H3" s="294"/>
      <c r="I3" s="294"/>
      <c r="J3" s="294"/>
      <c r="K3" s="294"/>
      <c r="L3" s="294"/>
      <c r="M3" s="294"/>
      <c r="N3" s="294"/>
      <c r="O3" s="294"/>
    </row>
    <row r="4" spans="1:19" ht="15" customHeight="1">
      <c r="B4" s="192" t="s">
        <v>304</v>
      </c>
      <c r="C4" s="192"/>
      <c r="D4" s="192"/>
      <c r="E4" s="192"/>
      <c r="F4" s="192"/>
      <c r="G4" s="192"/>
      <c r="H4" s="192"/>
      <c r="I4" s="192"/>
      <c r="J4" s="192"/>
      <c r="K4" s="192"/>
      <c r="L4" s="192"/>
      <c r="M4" s="192"/>
      <c r="N4" s="192"/>
      <c r="O4" s="192"/>
    </row>
    <row r="5" spans="1:19" ht="15" customHeight="1">
      <c r="B5" s="192" t="s">
        <v>305</v>
      </c>
      <c r="C5" s="192"/>
      <c r="D5" s="192"/>
      <c r="E5" s="192"/>
      <c r="F5" s="192"/>
      <c r="G5" s="192"/>
      <c r="H5" s="192"/>
      <c r="I5" s="192"/>
      <c r="J5" s="192"/>
      <c r="K5" s="192"/>
      <c r="L5" s="192"/>
      <c r="M5" s="192"/>
      <c r="N5" s="192"/>
      <c r="O5" s="192"/>
    </row>
    <row r="6" spans="1:19" ht="15" customHeight="1">
      <c r="F6" s="342"/>
    </row>
    <row r="7" spans="1:19" s="204" customFormat="1" ht="15" customHeight="1">
      <c r="C7" s="291" t="s">
        <v>306</v>
      </c>
      <c r="D7" s="291"/>
      <c r="E7" s="291"/>
      <c r="F7" s="291"/>
      <c r="G7" s="291"/>
      <c r="H7" s="291"/>
      <c r="I7" s="291"/>
      <c r="J7" s="291"/>
      <c r="K7" s="291"/>
      <c r="L7" s="291"/>
      <c r="M7" s="291"/>
      <c r="N7" s="291"/>
      <c r="O7" s="291"/>
      <c r="P7" s="399"/>
      <c r="Q7"/>
      <c r="R7"/>
      <c r="S7"/>
    </row>
    <row r="8" spans="1:19" s="204" customFormat="1" ht="15" customHeight="1">
      <c r="C8" s="192" t="s">
        <v>308</v>
      </c>
      <c r="D8" s="192"/>
      <c r="E8" s="192"/>
      <c r="F8" s="192"/>
      <c r="G8" s="192"/>
      <c r="H8" s="192"/>
      <c r="I8" s="192"/>
      <c r="J8" s="192"/>
      <c r="K8" s="192"/>
      <c r="L8" s="192"/>
      <c r="M8" s="192"/>
      <c r="N8" s="192"/>
      <c r="O8" s="192"/>
      <c r="P8" s="399"/>
      <c r="Q8"/>
      <c r="R8"/>
      <c r="S8"/>
    </row>
    <row r="9" spans="1:19" s="204" customFormat="1" ht="15" customHeight="1">
      <c r="P9" s="399"/>
      <c r="Q9"/>
      <c r="R9"/>
      <c r="S9"/>
    </row>
    <row r="10" spans="1:19" ht="15" customHeight="1">
      <c r="E10" s="147" t="s">
        <v>244</v>
      </c>
      <c r="F10" s="342">
        <f>m_identity</f>
        <v>14</v>
      </c>
      <c r="P10" s="399"/>
    </row>
    <row r="11" spans="1:19" ht="15" customHeight="1">
      <c r="E11" s="147" t="s">
        <v>307</v>
      </c>
      <c r="F11" s="342">
        <f>ROW(m_live_results_end) - ROW(m_live_results)</f>
        <v>77</v>
      </c>
      <c r="K11" s="378"/>
      <c r="P11" s="399"/>
    </row>
    <row r="12" spans="1:19" ht="15" customHeight="1">
      <c r="E12" s="147" t="s">
        <v>245</v>
      </c>
      <c r="F12" s="342">
        <f>UserInterface!E69</f>
        <v>1</v>
      </c>
      <c r="K12" s="378"/>
      <c r="P12" s="399"/>
    </row>
    <row r="13" spans="1:19" ht="15" customHeight="1">
      <c r="F13" s="342"/>
      <c r="P13" s="399"/>
    </row>
    <row r="14" spans="1:19" s="204" customFormat="1" ht="15" customHeight="1">
      <c r="C14" s="343" t="s">
        <v>387</v>
      </c>
      <c r="P14" s="399"/>
      <c r="Q14"/>
      <c r="R14"/>
      <c r="S14"/>
    </row>
    <row r="15" spans="1:19" s="204" customFormat="1" ht="15" customHeight="1">
      <c r="C15" s="291" t="str">
        <f>"Values for "&amp;E19</f>
        <v>Values for SSES</v>
      </c>
      <c r="D15" s="291"/>
      <c r="E15" s="291"/>
      <c r="F15" s="291"/>
      <c r="G15" s="291"/>
      <c r="H15" s="291"/>
      <c r="I15" s="291"/>
      <c r="J15" s="291"/>
      <c r="K15" s="291"/>
      <c r="L15" s="291"/>
      <c r="M15" s="291"/>
      <c r="N15" s="291"/>
      <c r="O15" s="291"/>
      <c r="P15"/>
      <c r="Q15"/>
      <c r="R15"/>
      <c r="S15"/>
    </row>
    <row r="16" spans="1:19" s="204" customFormat="1" ht="15" customHeight="1">
      <c r="P16"/>
      <c r="Q16"/>
      <c r="R16"/>
      <c r="S16"/>
    </row>
    <row r="17" spans="4:19" s="204" customFormat="1" ht="15" customHeight="1">
      <c r="D17" s="116"/>
      <c r="E17" s="116"/>
      <c r="F17" s="117"/>
      <c r="G17" s="117"/>
      <c r="H17" s="117"/>
      <c r="I17" s="117"/>
      <c r="J17" s="117"/>
      <c r="K17" s="117"/>
      <c r="L17" s="117"/>
      <c r="M17" s="117"/>
      <c r="N17" s="116"/>
      <c r="O17" s="116"/>
      <c r="P17"/>
      <c r="Q17"/>
      <c r="R17"/>
      <c r="S17"/>
    </row>
    <row r="18" spans="4:19" s="204" customFormat="1" ht="15" customHeight="1">
      <c r="D18" s="116"/>
      <c r="E18" s="344" t="s">
        <v>56</v>
      </c>
      <c r="F18" s="344" t="s">
        <v>234</v>
      </c>
      <c r="G18" s="117"/>
      <c r="H18" s="344" t="s">
        <v>37</v>
      </c>
      <c r="I18" s="117"/>
      <c r="J18" s="117"/>
      <c r="K18" s="117"/>
      <c r="L18" s="117"/>
      <c r="M18" s="117"/>
      <c r="N18" s="116"/>
      <c r="O18" s="116"/>
      <c r="P18"/>
      <c r="Q18"/>
      <c r="R18"/>
      <c r="S18"/>
    </row>
    <row r="19" spans="4:19" s="204" customFormat="1" ht="15" customHeight="1">
      <c r="D19" s="118"/>
      <c r="E19" s="118" t="str">
        <f>UserInterface!G17</f>
        <v>SSES</v>
      </c>
      <c r="F19" s="345">
        <f>UserInterface!G10</f>
        <v>42460</v>
      </c>
      <c r="G19" s="119"/>
      <c r="H19" s="118" t="str">
        <f ca="1">MID(CELL("filename"),SEARCH("[",CELL("filename"))+1,SEARCH("]",CELL("filename"))-SEARCH("[",CELL("filename"))-1)</f>
        <v>Annex to Order of the CMA - CMA substitute ED1 Price Control Financial Model.xlsm</v>
      </c>
      <c r="I19" s="119"/>
      <c r="J19" s="119"/>
      <c r="K19" s="119"/>
      <c r="L19" s="119"/>
      <c r="M19" s="119"/>
      <c r="N19" s="118"/>
      <c r="O19" s="118"/>
      <c r="P19"/>
      <c r="Q19"/>
      <c r="R19"/>
      <c r="S19"/>
    </row>
    <row r="20" spans="4:19" s="204" customFormat="1" ht="40.5" customHeight="1" thickBot="1">
      <c r="F20" s="430"/>
      <c r="G20" s="430"/>
      <c r="H20" s="430"/>
      <c r="I20" s="430"/>
      <c r="J20" s="430"/>
      <c r="K20" s="430"/>
      <c r="L20" s="430"/>
      <c r="M20" s="430"/>
      <c r="P20"/>
      <c r="Q20"/>
      <c r="R20"/>
      <c r="S20"/>
    </row>
    <row r="21" spans="4:19" s="204" customFormat="1" ht="15" customHeight="1">
      <c r="D21" s="120"/>
      <c r="E21" s="189" t="s">
        <v>231</v>
      </c>
      <c r="F21" s="181">
        <v>42460</v>
      </c>
      <c r="G21" s="182">
        <v>42825</v>
      </c>
      <c r="H21" s="182">
        <v>43190</v>
      </c>
      <c r="I21" s="182">
        <v>43555</v>
      </c>
      <c r="J21" s="182">
        <v>43921</v>
      </c>
      <c r="K21" s="182">
        <v>44286</v>
      </c>
      <c r="L21" s="182">
        <v>44651</v>
      </c>
      <c r="M21" s="183">
        <v>45016</v>
      </c>
      <c r="N21" s="243" t="s">
        <v>83</v>
      </c>
      <c r="O21" s="184" t="s">
        <v>84</v>
      </c>
      <c r="P21"/>
      <c r="Q21"/>
      <c r="R21"/>
      <c r="S21"/>
    </row>
    <row r="22" spans="4:19" s="204" customFormat="1" ht="15" customHeight="1">
      <c r="D22" s="121"/>
      <c r="E22" s="406" t="s">
        <v>235</v>
      </c>
      <c r="F22" s="185" t="s">
        <v>728</v>
      </c>
      <c r="G22" s="186" t="s">
        <v>728</v>
      </c>
      <c r="H22" s="186" t="s">
        <v>728</v>
      </c>
      <c r="I22" s="186" t="s">
        <v>728</v>
      </c>
      <c r="J22" s="186" t="s">
        <v>728</v>
      </c>
      <c r="K22" s="186" t="s">
        <v>728</v>
      </c>
      <c r="L22" s="186" t="s">
        <v>728</v>
      </c>
      <c r="M22" s="187" t="s">
        <v>728</v>
      </c>
      <c r="N22" s="188" t="s">
        <v>728</v>
      </c>
      <c r="O22" s="188" t="s">
        <v>728</v>
      </c>
      <c r="P22"/>
      <c r="Q22"/>
      <c r="R22"/>
      <c r="S22"/>
    </row>
    <row r="23" spans="4:19" s="204" customFormat="1" ht="15" customHeight="1">
      <c r="D23" s="122"/>
      <c r="E23" s="407" t="s">
        <v>67</v>
      </c>
      <c r="F23" s="123"/>
      <c r="G23" s="124"/>
      <c r="H23" s="124"/>
      <c r="I23" s="124"/>
      <c r="J23" s="124"/>
      <c r="K23" s="124"/>
      <c r="L23" s="124"/>
      <c r="M23" s="125"/>
      <c r="N23" s="126"/>
      <c r="O23" s="126"/>
      <c r="P23"/>
      <c r="Q23"/>
      <c r="R23"/>
      <c r="S23"/>
    </row>
    <row r="24" spans="4:19" s="204" customFormat="1" ht="15" customHeight="1">
      <c r="D24" s="127">
        <v>1</v>
      </c>
      <c r="E24" s="406" t="s">
        <v>209</v>
      </c>
      <c r="F24" s="133">
        <f>TIM!AJ74</f>
        <v>214.30283536876493</v>
      </c>
      <c r="G24" s="134">
        <f>TIM!AK74</f>
        <v>218.74958717835483</v>
      </c>
      <c r="H24" s="134">
        <f>TIM!AL74</f>
        <v>213.07955677040144</v>
      </c>
      <c r="I24" s="134">
        <f>TIM!AM74</f>
        <v>212.77598368354523</v>
      </c>
      <c r="J24" s="134">
        <f>TIM!AN74</f>
        <v>191.35412942848416</v>
      </c>
      <c r="K24" s="134">
        <f>TIM!AO74</f>
        <v>191.61771831702322</v>
      </c>
      <c r="L24" s="134">
        <f>TIM!AP74</f>
        <v>197.19301522840377</v>
      </c>
      <c r="M24" s="135">
        <f>TIM!AQ74</f>
        <v>192.13875531318419</v>
      </c>
      <c r="N24" s="128">
        <f>SUM(F24:M24)</f>
        <v>1631.2115812881618</v>
      </c>
      <c r="O24" s="128">
        <f>IFERROR(AVERAGE(F24:M24), 0 )</f>
        <v>203.90144766102023</v>
      </c>
      <c r="P24" s="400"/>
      <c r="Q24" s="401"/>
      <c r="R24"/>
      <c r="S24"/>
    </row>
    <row r="25" spans="4:19" s="204" customFormat="1" ht="15" customHeight="1">
      <c r="D25" s="127">
        <f>+D24+1</f>
        <v>2</v>
      </c>
      <c r="E25" s="406" t="s">
        <v>679</v>
      </c>
      <c r="F25" s="133">
        <f>TIM!AJ72</f>
        <v>91.844072300899256</v>
      </c>
      <c r="G25" s="134">
        <f>TIM!AK72</f>
        <v>93.749823076437792</v>
      </c>
      <c r="H25" s="134">
        <f>TIM!AL72</f>
        <v>91.319810044457768</v>
      </c>
      <c r="I25" s="134">
        <f>TIM!AM72</f>
        <v>91.189707292947958</v>
      </c>
      <c r="J25" s="134">
        <f>TIM!AN72</f>
        <v>82.008912612207496</v>
      </c>
      <c r="K25" s="134">
        <f>TIM!AO72</f>
        <v>82.121879278724236</v>
      </c>
      <c r="L25" s="134">
        <f>TIM!AP72</f>
        <v>84.511292240744496</v>
      </c>
      <c r="M25" s="135">
        <f>TIM!AQ72</f>
        <v>82.345180848507511</v>
      </c>
      <c r="N25" s="128">
        <f>SUM(F25:M25)</f>
        <v>699.09067769492651</v>
      </c>
      <c r="O25" s="128">
        <f>IFERROR(AVERAGE(F25:M25), 0 )</f>
        <v>87.386334711865814</v>
      </c>
      <c r="P25" s="400"/>
      <c r="Q25" s="401"/>
      <c r="R25"/>
      <c r="S25"/>
    </row>
    <row r="26" spans="4:19" s="204" customFormat="1" ht="15" customHeight="1">
      <c r="D26" s="127">
        <f>+D25+1</f>
        <v>3</v>
      </c>
      <c r="E26" s="406" t="s">
        <v>210</v>
      </c>
      <c r="F26" s="133">
        <f>TIM!AJ54</f>
        <v>306.14690766966419</v>
      </c>
      <c r="G26" s="134">
        <f>TIM!AK54</f>
        <v>312.49941025479262</v>
      </c>
      <c r="H26" s="134">
        <f>TIM!AL54</f>
        <v>304.39936681485921</v>
      </c>
      <c r="I26" s="134">
        <f>TIM!AM54</f>
        <v>303.96569097649319</v>
      </c>
      <c r="J26" s="134">
        <f>TIM!AN54</f>
        <v>273.36304204069165</v>
      </c>
      <c r="K26" s="134">
        <f>TIM!AO54</f>
        <v>273.73959759574745</v>
      </c>
      <c r="L26" s="134">
        <f>TIM!AP54</f>
        <v>281.70430746914826</v>
      </c>
      <c r="M26" s="135">
        <f>TIM!AQ54</f>
        <v>274.4839361616917</v>
      </c>
      <c r="N26" s="128">
        <f>SUM(F26:M26)</f>
        <v>2330.3022589830884</v>
      </c>
      <c r="O26" s="128">
        <f>IFERROR(AVERAGE(F26:M26), 0 )</f>
        <v>291.28778237288606</v>
      </c>
      <c r="P26" s="400"/>
      <c r="Q26" s="401"/>
      <c r="R26"/>
      <c r="S26"/>
    </row>
    <row r="27" spans="4:19" s="204" customFormat="1" ht="15" customHeight="1">
      <c r="D27" s="122"/>
      <c r="E27" s="407" t="s">
        <v>15</v>
      </c>
      <c r="F27" s="123"/>
      <c r="G27" s="124"/>
      <c r="H27" s="124"/>
      <c r="I27" s="124"/>
      <c r="J27" s="124"/>
      <c r="K27" s="124"/>
      <c r="L27" s="124"/>
      <c r="M27" s="125"/>
      <c r="N27" s="126"/>
      <c r="O27" s="126"/>
      <c r="P27" s="400"/>
      <c r="Q27" s="401"/>
      <c r="R27"/>
      <c r="S27"/>
    </row>
    <row r="28" spans="4:19" s="204" customFormat="1" ht="15" customHeight="1">
      <c r="D28" s="127">
        <f>D26+1</f>
        <v>4</v>
      </c>
      <c r="E28" s="406" t="s">
        <v>448</v>
      </c>
      <c r="F28" s="133">
        <f>'Return&amp;RAV'!AJ42</f>
        <v>2052.8757796854438</v>
      </c>
      <c r="G28" s="134">
        <f>'Return&amp;RAV'!AK42</f>
        <v>2068.4376775502119</v>
      </c>
      <c r="H28" s="134">
        <f>'Return&amp;RAV'!AL42</f>
        <v>2089.1089485373086</v>
      </c>
      <c r="I28" s="134">
        <f>'Return&amp;RAV'!AM42</f>
        <v>2106.3383268803873</v>
      </c>
      <c r="J28" s="134">
        <f>'Return&amp;RAV'!AN42</f>
        <v>2125.7475442279979</v>
      </c>
      <c r="K28" s="134">
        <f>'Return&amp;RAV'!AO42</f>
        <v>2125.9816272584339</v>
      </c>
      <c r="L28" s="134">
        <f>'Return&amp;RAV'!AP42</f>
        <v>2128.4621782171962</v>
      </c>
      <c r="M28" s="135">
        <f>'Return&amp;RAV'!AQ42</f>
        <v>2162.6048007139193</v>
      </c>
      <c r="N28" s="128"/>
      <c r="O28" s="128">
        <f t="shared" ref="O28:O33" si="0">IFERROR(AVERAGE(F28:M28), 0 )</f>
        <v>2107.4446103838623</v>
      </c>
      <c r="P28" s="400"/>
      <c r="Q28" s="401"/>
      <c r="R28"/>
      <c r="S28"/>
    </row>
    <row r="29" spans="4:19" s="204" customFormat="1" ht="15" customHeight="1">
      <c r="D29" s="127">
        <f>+D28+1</f>
        <v>5</v>
      </c>
      <c r="E29" s="406" t="s">
        <v>119</v>
      </c>
      <c r="F29" s="133">
        <f>'Return&amp;RAV'!AJ43</f>
        <v>0</v>
      </c>
      <c r="G29" s="134">
        <f>'Return&amp;RAV'!AK43</f>
        <v>0</v>
      </c>
      <c r="H29" s="134">
        <f>'Return&amp;RAV'!AL43</f>
        <v>0</v>
      </c>
      <c r="I29" s="134">
        <f>'Return&amp;RAV'!AM43</f>
        <v>0</v>
      </c>
      <c r="J29" s="134">
        <f>'Return&amp;RAV'!AN43</f>
        <v>0</v>
      </c>
      <c r="K29" s="134">
        <f>'Return&amp;RAV'!AO43</f>
        <v>0</v>
      </c>
      <c r="L29" s="134">
        <f>'Return&amp;RAV'!AP43</f>
        <v>0</v>
      </c>
      <c r="M29" s="135">
        <f>'Return&amp;RAV'!AQ43</f>
        <v>0</v>
      </c>
      <c r="N29" s="128">
        <f>SUM(F29:M29)</f>
        <v>0</v>
      </c>
      <c r="O29" s="128">
        <f t="shared" si="0"/>
        <v>0</v>
      </c>
      <c r="P29" s="400"/>
      <c r="Q29" s="401"/>
      <c r="R29"/>
      <c r="S29"/>
    </row>
    <row r="30" spans="4:19" s="204" customFormat="1" ht="15" customHeight="1">
      <c r="D30" s="127">
        <f>+D29+1</f>
        <v>6</v>
      </c>
      <c r="E30" s="406" t="s">
        <v>449</v>
      </c>
      <c r="F30" s="133">
        <f>'Return&amp;RAV'!AJ44</f>
        <v>2052.8757796854438</v>
      </c>
      <c r="G30" s="134">
        <f>'Return&amp;RAV'!AK44</f>
        <v>2068.4376775502119</v>
      </c>
      <c r="H30" s="134">
        <f>'Return&amp;RAV'!AL44</f>
        <v>2089.1089485373086</v>
      </c>
      <c r="I30" s="134">
        <f>'Return&amp;RAV'!AM44</f>
        <v>2106.3383268803873</v>
      </c>
      <c r="J30" s="134">
        <f>'Return&amp;RAV'!AN44</f>
        <v>2125.7475442279979</v>
      </c>
      <c r="K30" s="134">
        <f>'Return&amp;RAV'!AO44</f>
        <v>2125.9816272584339</v>
      </c>
      <c r="L30" s="134">
        <f>'Return&amp;RAV'!AP44</f>
        <v>2128.4621782171962</v>
      </c>
      <c r="M30" s="135">
        <f>'Return&amp;RAV'!AQ44</f>
        <v>2162.6048007139193</v>
      </c>
      <c r="N30" s="128"/>
      <c r="O30" s="128">
        <f t="shared" si="0"/>
        <v>2107.4446103838623</v>
      </c>
      <c r="P30" s="400"/>
      <c r="Q30" s="401"/>
      <c r="R30"/>
      <c r="S30"/>
    </row>
    <row r="31" spans="4:19" s="204" customFormat="1" ht="15" customHeight="1">
      <c r="D31" s="127">
        <f>+D30+1</f>
        <v>7</v>
      </c>
      <c r="E31" s="406" t="s">
        <v>211</v>
      </c>
      <c r="F31" s="133">
        <f>'Return&amp;RAV'!AJ45</f>
        <v>214.30283536876493</v>
      </c>
      <c r="G31" s="134">
        <f>'Return&amp;RAV'!AK45</f>
        <v>218.74958717835483</v>
      </c>
      <c r="H31" s="134">
        <f>'Return&amp;RAV'!AL45</f>
        <v>213.07955677040144</v>
      </c>
      <c r="I31" s="134">
        <f>'Return&amp;RAV'!AM45</f>
        <v>212.77598368354523</v>
      </c>
      <c r="J31" s="134">
        <f>'Return&amp;RAV'!AN45</f>
        <v>191.35412942848416</v>
      </c>
      <c r="K31" s="134">
        <f>'Return&amp;RAV'!AO45</f>
        <v>191.61771831702322</v>
      </c>
      <c r="L31" s="134">
        <f>'Return&amp;RAV'!AP45</f>
        <v>197.19301522840377</v>
      </c>
      <c r="M31" s="135">
        <f>'Return&amp;RAV'!AQ45</f>
        <v>192.13875531318419</v>
      </c>
      <c r="N31" s="128">
        <f>SUM(F31:M31)</f>
        <v>1631.2115812881618</v>
      </c>
      <c r="O31" s="128">
        <f t="shared" si="0"/>
        <v>203.90144766102023</v>
      </c>
      <c r="P31" s="400"/>
      <c r="Q31" s="401"/>
      <c r="R31"/>
      <c r="S31"/>
    </row>
    <row r="32" spans="4:19" s="204" customFormat="1" ht="15" customHeight="1">
      <c r="D32" s="127">
        <f>+D31+1</f>
        <v>8</v>
      </c>
      <c r="E32" s="406" t="s">
        <v>0</v>
      </c>
      <c r="F32" s="133">
        <f>'Return&amp;RAV'!AJ46</f>
        <v>-198.74093750399697</v>
      </c>
      <c r="G32" s="134">
        <f>'Return&amp;RAV'!AK46</f>
        <v>-198.07831619125824</v>
      </c>
      <c r="H32" s="134">
        <f>'Return&amp;RAV'!AL46</f>
        <v>-195.85017842732279</v>
      </c>
      <c r="I32" s="134">
        <f>'Return&amp;RAV'!AM46</f>
        <v>-193.36676633593478</v>
      </c>
      <c r="J32" s="134">
        <f>'Return&amp;RAV'!AN46</f>
        <v>-191.12004639804832</v>
      </c>
      <c r="K32" s="134">
        <f>'Return&amp;RAV'!AO46</f>
        <v>-189.13716735826065</v>
      </c>
      <c r="L32" s="134">
        <f>'Return&amp;RAV'!AP46</f>
        <v>-163.05039273168077</v>
      </c>
      <c r="M32" s="135">
        <f>'Return&amp;RAV'!AQ46</f>
        <v>-161.21935744886116</v>
      </c>
      <c r="N32" s="128">
        <f>SUM(F32:M32)</f>
        <v>-1490.5631623953636</v>
      </c>
      <c r="O32" s="128">
        <f t="shared" si="0"/>
        <v>-186.32039529942045</v>
      </c>
      <c r="P32" s="400"/>
      <c r="Q32" s="401"/>
      <c r="R32"/>
      <c r="S32"/>
    </row>
    <row r="33" spans="4:19" s="204" customFormat="1" ht="15" customHeight="1">
      <c r="D33" s="127">
        <f>+D32+1</f>
        <v>9</v>
      </c>
      <c r="E33" s="406" t="s">
        <v>16</v>
      </c>
      <c r="F33" s="133">
        <f>+F30+F31+F32</f>
        <v>2068.4376775502119</v>
      </c>
      <c r="G33" s="134">
        <f t="shared" ref="G33:M33" si="1">+G30+G31+G32</f>
        <v>2089.1089485373086</v>
      </c>
      <c r="H33" s="134">
        <f t="shared" si="1"/>
        <v>2106.3383268803873</v>
      </c>
      <c r="I33" s="134">
        <f t="shared" si="1"/>
        <v>2125.7475442279979</v>
      </c>
      <c r="J33" s="134">
        <f t="shared" si="1"/>
        <v>2125.9816272584339</v>
      </c>
      <c r="K33" s="134">
        <f t="shared" si="1"/>
        <v>2128.4621782171962</v>
      </c>
      <c r="L33" s="134">
        <f t="shared" si="1"/>
        <v>2162.6048007139193</v>
      </c>
      <c r="M33" s="135">
        <f t="shared" si="1"/>
        <v>2193.5241985782422</v>
      </c>
      <c r="N33" s="128"/>
      <c r="O33" s="128">
        <f t="shared" si="0"/>
        <v>2125.0256627454623</v>
      </c>
      <c r="P33" s="400"/>
      <c r="Q33" s="401"/>
      <c r="R33"/>
      <c r="S33"/>
    </row>
    <row r="34" spans="4:19" s="204" customFormat="1" ht="15" customHeight="1">
      <c r="D34" s="122"/>
      <c r="E34" s="407" t="s">
        <v>296</v>
      </c>
      <c r="F34" s="129"/>
      <c r="G34" s="130"/>
      <c r="H34" s="130"/>
      <c r="I34" s="130"/>
      <c r="J34" s="130"/>
      <c r="K34" s="130"/>
      <c r="L34" s="130"/>
      <c r="M34" s="131"/>
      <c r="N34" s="132"/>
      <c r="O34" s="132"/>
      <c r="P34" s="400"/>
      <c r="Q34" s="401"/>
      <c r="R34"/>
      <c r="S34"/>
    </row>
    <row r="35" spans="4:19" s="204" customFormat="1" ht="15" customHeight="1">
      <c r="D35" s="127">
        <f>D33+1</f>
        <v>10</v>
      </c>
      <c r="E35" s="406" t="str">
        <f>E44</f>
        <v>Fast pot expenditure</v>
      </c>
      <c r="F35" s="133">
        <f t="shared" ref="F35:M42" ca="1" si="2">IF($F$19 = $F$21, F44, OFFSET(m_results_01, ($F$11 * ($F$10 - 1)) + ROW($D35) - ROW(m_live_results), COLUMN(F$21) - COLUMN(m_live_results)))</f>
        <v>91.844072300899256</v>
      </c>
      <c r="G35" s="134">
        <f t="shared" ca="1" si="2"/>
        <v>93.749823076437792</v>
      </c>
      <c r="H35" s="134">
        <f t="shared" ca="1" si="2"/>
        <v>91.319810044457768</v>
      </c>
      <c r="I35" s="134">
        <f t="shared" ca="1" si="2"/>
        <v>91.189707292947958</v>
      </c>
      <c r="J35" s="134">
        <f t="shared" ca="1" si="2"/>
        <v>82.008912612207496</v>
      </c>
      <c r="K35" s="134">
        <f t="shared" ca="1" si="2"/>
        <v>82.121879278724236</v>
      </c>
      <c r="L35" s="134">
        <f t="shared" ca="1" si="2"/>
        <v>84.511292240744496</v>
      </c>
      <c r="M35" s="135">
        <f t="shared" ca="1" si="2"/>
        <v>82.345180848507511</v>
      </c>
      <c r="N35" s="128">
        <f t="shared" ref="N35:N42" ca="1" si="3">SUM(F35:M35)</f>
        <v>699.09067769492651</v>
      </c>
      <c r="O35" s="128">
        <f t="shared" ref="O35:O42" ca="1" si="4">IFERROR(AVERAGE(F35:M35), 0 )</f>
        <v>87.386334711865814</v>
      </c>
      <c r="P35" s="400"/>
      <c r="Q35" s="401"/>
      <c r="R35"/>
      <c r="S35"/>
    </row>
    <row r="36" spans="4:19" s="204" customFormat="1" ht="15" customHeight="1">
      <c r="D36" s="127">
        <f t="shared" ref="D36:D42" si="5">+D35+1</f>
        <v>11</v>
      </c>
      <c r="E36" s="406" t="str">
        <f t="shared" ref="E36:E42" si="6">E45</f>
        <v xml:space="preserve">Non-controllable opex </v>
      </c>
      <c r="F36" s="133">
        <f t="shared" ca="1" si="2"/>
        <v>59.126857142857141</v>
      </c>
      <c r="G36" s="134">
        <f t="shared" ca="1" si="2"/>
        <v>54.741999999999997</v>
      </c>
      <c r="H36" s="134">
        <f t="shared" ca="1" si="2"/>
        <v>55.996000000000002</v>
      </c>
      <c r="I36" s="134">
        <f t="shared" ca="1" si="2"/>
        <v>55.999000000000002</v>
      </c>
      <c r="J36" s="134">
        <f t="shared" ca="1" si="2"/>
        <v>57.051142857142864</v>
      </c>
      <c r="K36" s="134">
        <f t="shared" ca="1" si="2"/>
        <v>56.005000000000003</v>
      </c>
      <c r="L36" s="134">
        <f t="shared" ca="1" si="2"/>
        <v>55.344000000000001</v>
      </c>
      <c r="M36" s="135">
        <f t="shared" ca="1" si="2"/>
        <v>55.695999999999998</v>
      </c>
      <c r="N36" s="128">
        <f t="shared" ca="1" si="3"/>
        <v>449.96000000000004</v>
      </c>
      <c r="O36" s="128">
        <f t="shared" ca="1" si="4"/>
        <v>56.245000000000005</v>
      </c>
      <c r="P36" s="400"/>
      <c r="Q36" s="401"/>
      <c r="R36"/>
      <c r="S36"/>
    </row>
    <row r="37" spans="4:19" s="204" customFormat="1" ht="15" customHeight="1">
      <c r="D37" s="127">
        <f t="shared" si="5"/>
        <v>12</v>
      </c>
      <c r="E37" s="406" t="str">
        <f t="shared" si="6"/>
        <v>RAV depreciation</v>
      </c>
      <c r="F37" s="133">
        <f t="shared" ca="1" si="2"/>
        <v>198.74093750399697</v>
      </c>
      <c r="G37" s="134">
        <f t="shared" ca="1" si="2"/>
        <v>198.07831619125824</v>
      </c>
      <c r="H37" s="134">
        <f t="shared" ca="1" si="2"/>
        <v>195.85017842732279</v>
      </c>
      <c r="I37" s="134">
        <f t="shared" ca="1" si="2"/>
        <v>193.36676633593478</v>
      </c>
      <c r="J37" s="134">
        <f t="shared" ca="1" si="2"/>
        <v>191.12004639804832</v>
      </c>
      <c r="K37" s="134">
        <f t="shared" ca="1" si="2"/>
        <v>189.13716735826065</v>
      </c>
      <c r="L37" s="134">
        <f t="shared" ca="1" si="2"/>
        <v>163.05039273168077</v>
      </c>
      <c r="M37" s="135">
        <f t="shared" ca="1" si="2"/>
        <v>161.21935744886116</v>
      </c>
      <c r="N37" s="128">
        <f t="shared" ca="1" si="3"/>
        <v>1490.5631623953636</v>
      </c>
      <c r="O37" s="128">
        <f t="shared" ca="1" si="4"/>
        <v>186.32039529942045</v>
      </c>
      <c r="P37" s="400"/>
      <c r="Q37" s="401"/>
      <c r="R37"/>
      <c r="S37"/>
    </row>
    <row r="38" spans="4:19" s="204" customFormat="1" ht="15" customHeight="1">
      <c r="D38" s="127">
        <f t="shared" si="5"/>
        <v>13</v>
      </c>
      <c r="E38" s="406" t="str">
        <f t="shared" si="6"/>
        <v>Return</v>
      </c>
      <c r="F38" s="133">
        <f t="shared" ca="1" si="2"/>
        <v>76.021862850637021</v>
      </c>
      <c r="G38" s="134">
        <f t="shared" ca="1" si="2"/>
        <v>76.68852929002324</v>
      </c>
      <c r="H38" s="134">
        <f t="shared" ca="1" si="2"/>
        <v>77.388865297339407</v>
      </c>
      <c r="I38" s="134">
        <f t="shared" ca="1" si="2"/>
        <v>78.064007363474886</v>
      </c>
      <c r="J38" s="134">
        <f t="shared" ca="1" si="2"/>
        <v>78.432896605035552</v>
      </c>
      <c r="K38" s="134">
        <f t="shared" ca="1" si="2"/>
        <v>78.482210085718606</v>
      </c>
      <c r="L38" s="134">
        <f t="shared" ca="1" si="2"/>
        <v>79.147038162931267</v>
      </c>
      <c r="M38" s="135">
        <f t="shared" ca="1" si="2"/>
        <v>80.348354078530676</v>
      </c>
      <c r="N38" s="128">
        <f t="shared" ca="1" si="3"/>
        <v>624.57376373369061</v>
      </c>
      <c r="O38" s="128">
        <f t="shared" ca="1" si="4"/>
        <v>78.071720466711326</v>
      </c>
      <c r="P38" s="400"/>
      <c r="Q38" s="401"/>
      <c r="R38"/>
      <c r="S38"/>
    </row>
    <row r="39" spans="4:19" s="204" customFormat="1" ht="15" customHeight="1">
      <c r="D39" s="127">
        <f t="shared" si="5"/>
        <v>14</v>
      </c>
      <c r="E39" s="406" t="str">
        <f t="shared" si="6"/>
        <v>Equity issuance cost</v>
      </c>
      <c r="F39" s="133">
        <f t="shared" ca="1" si="2"/>
        <v>0</v>
      </c>
      <c r="G39" s="134">
        <f t="shared" ca="1" si="2"/>
        <v>0</v>
      </c>
      <c r="H39" s="134">
        <f t="shared" ca="1" si="2"/>
        <v>0</v>
      </c>
      <c r="I39" s="134">
        <f t="shared" ca="1" si="2"/>
        <v>0</v>
      </c>
      <c r="J39" s="134">
        <f t="shared" ca="1" si="2"/>
        <v>0</v>
      </c>
      <c r="K39" s="134">
        <f t="shared" ca="1" si="2"/>
        <v>0</v>
      </c>
      <c r="L39" s="134">
        <f t="shared" ca="1" si="2"/>
        <v>0</v>
      </c>
      <c r="M39" s="135">
        <f t="shared" ca="1" si="2"/>
        <v>0</v>
      </c>
      <c r="N39" s="128">
        <f t="shared" ca="1" si="3"/>
        <v>0</v>
      </c>
      <c r="O39" s="128">
        <f t="shared" ca="1" si="4"/>
        <v>0</v>
      </c>
      <c r="P39" s="400"/>
      <c r="Q39" s="401"/>
      <c r="R39"/>
      <c r="S39"/>
    </row>
    <row r="40" spans="4:19" s="204" customFormat="1" ht="15" customHeight="1">
      <c r="D40" s="127">
        <f t="shared" si="5"/>
        <v>15</v>
      </c>
      <c r="E40" s="406" t="str">
        <f t="shared" si="6"/>
        <v>Additional income</v>
      </c>
      <c r="F40" s="133">
        <f t="shared" ca="1" si="2"/>
        <v>0.3648271976377423</v>
      </c>
      <c r="G40" s="134">
        <f t="shared" ca="1" si="2"/>
        <v>0.37109083837102003</v>
      </c>
      <c r="H40" s="134">
        <f t="shared" ca="1" si="2"/>
        <v>0.36071859106606846</v>
      </c>
      <c r="I40" s="134">
        <f t="shared" ca="1" si="2"/>
        <v>0.35927814835295946</v>
      </c>
      <c r="J40" s="134">
        <f t="shared" ca="1" si="2"/>
        <v>0.3227419487574148</v>
      </c>
      <c r="K40" s="134">
        <f t="shared" ca="1" si="2"/>
        <v>0.32139075529498529</v>
      </c>
      <c r="L40" s="134">
        <f t="shared" ca="1" si="2"/>
        <v>0.32876178406363676</v>
      </c>
      <c r="M40" s="135">
        <f t="shared" ca="1" si="2"/>
        <v>0.31920430794598703</v>
      </c>
      <c r="N40" s="128">
        <f t="shared" ca="1" si="3"/>
        <v>2.748013571489814</v>
      </c>
      <c r="O40" s="128">
        <f t="shared" ca="1" si="4"/>
        <v>0.34350169643622674</v>
      </c>
      <c r="P40" s="400"/>
      <c r="Q40" s="401"/>
      <c r="R40"/>
      <c r="S40"/>
    </row>
    <row r="41" spans="4:19" s="204" customFormat="1" ht="15" customHeight="1">
      <c r="D41" s="127">
        <f t="shared" si="5"/>
        <v>16</v>
      </c>
      <c r="E41" s="406" t="str">
        <f t="shared" si="6"/>
        <v>Core DARTs</v>
      </c>
      <c r="F41" s="133">
        <f t="shared" ca="1" si="2"/>
        <v>20.341420031076023</v>
      </c>
      <c r="G41" s="134">
        <f t="shared" ca="1" si="2"/>
        <v>22.913831241511371</v>
      </c>
      <c r="H41" s="134">
        <f t="shared" ca="1" si="2"/>
        <v>26.743846270480336</v>
      </c>
      <c r="I41" s="134">
        <f t="shared" ca="1" si="2"/>
        <v>29.340890634640587</v>
      </c>
      <c r="J41" s="134">
        <f t="shared" ca="1" si="2"/>
        <v>39.463753150084557</v>
      </c>
      <c r="K41" s="134">
        <f t="shared" ca="1" si="2"/>
        <v>41.845252235022564</v>
      </c>
      <c r="L41" s="134">
        <f t="shared" ca="1" si="2"/>
        <v>65.52572132787013</v>
      </c>
      <c r="M41" s="135">
        <f t="shared" ca="1" si="2"/>
        <v>67.768435737214361</v>
      </c>
      <c r="N41" s="128">
        <f t="shared" ca="1" si="3"/>
        <v>313.94315062789991</v>
      </c>
      <c r="O41" s="128">
        <f t="shared" ca="1" si="4"/>
        <v>39.242893828487489</v>
      </c>
      <c r="P41" s="400"/>
      <c r="Q41" s="401"/>
      <c r="R41"/>
      <c r="S41"/>
    </row>
    <row r="42" spans="4:19" s="204" customFormat="1" ht="15" customHeight="1">
      <c r="D42" s="127">
        <f t="shared" si="5"/>
        <v>17</v>
      </c>
      <c r="E42" s="406" t="str">
        <f t="shared" si="6"/>
        <v>Tax allowance</v>
      </c>
      <c r="F42" s="133">
        <f t="shared" ca="1" si="2"/>
        <v>27.309123660423086</v>
      </c>
      <c r="G42" s="134">
        <f t="shared" ca="1" si="2"/>
        <v>27.184981486565491</v>
      </c>
      <c r="H42" s="134">
        <f t="shared" ca="1" si="2"/>
        <v>26.051651163146474</v>
      </c>
      <c r="I42" s="134">
        <f t="shared" ca="1" si="2"/>
        <v>25.382510778196359</v>
      </c>
      <c r="J42" s="134">
        <f t="shared" ca="1" si="2"/>
        <v>25.296122360325025</v>
      </c>
      <c r="K42" s="134">
        <f t="shared" ca="1" si="2"/>
        <v>25.785185976553858</v>
      </c>
      <c r="L42" s="134">
        <f t="shared" ca="1" si="2"/>
        <v>25.789727359253916</v>
      </c>
      <c r="M42" s="135">
        <f t="shared" ca="1" si="2"/>
        <v>26.008863222948985</v>
      </c>
      <c r="N42" s="128">
        <f t="shared" ca="1" si="3"/>
        <v>208.80816600741318</v>
      </c>
      <c r="O42" s="128">
        <f t="shared" ca="1" si="4"/>
        <v>26.101020750926647</v>
      </c>
      <c r="P42" s="400"/>
      <c r="Q42" s="401"/>
      <c r="R42"/>
      <c r="S42"/>
    </row>
    <row r="43" spans="4:19" s="204" customFormat="1" ht="15" customHeight="1">
      <c r="D43" s="122"/>
      <c r="E43" s="407" t="s">
        <v>164</v>
      </c>
      <c r="F43" s="129"/>
      <c r="G43" s="130"/>
      <c r="H43" s="130"/>
      <c r="I43" s="130"/>
      <c r="J43" s="130"/>
      <c r="K43" s="130"/>
      <c r="L43" s="130"/>
      <c r="M43" s="131"/>
      <c r="N43" s="132"/>
      <c r="O43" s="132"/>
      <c r="P43" s="400"/>
      <c r="Q43" s="401"/>
      <c r="R43"/>
      <c r="S43"/>
    </row>
    <row r="44" spans="4:19" s="204" customFormat="1" ht="15" customHeight="1">
      <c r="D44" s="127">
        <f>D42+1</f>
        <v>18</v>
      </c>
      <c r="E44" s="406" t="str">
        <f>Revenue!E13</f>
        <v>Fast pot expenditure</v>
      </c>
      <c r="F44" s="133">
        <f>Revenue!AJ13</f>
        <v>91.844072300899256</v>
      </c>
      <c r="G44" s="134">
        <f>Revenue!AK13</f>
        <v>93.749823076437792</v>
      </c>
      <c r="H44" s="134">
        <f>Revenue!AL13</f>
        <v>91.319810044457768</v>
      </c>
      <c r="I44" s="134">
        <f>Revenue!AM13</f>
        <v>91.189707292947958</v>
      </c>
      <c r="J44" s="134">
        <f>Revenue!AN13</f>
        <v>82.008912612207496</v>
      </c>
      <c r="K44" s="134">
        <f>Revenue!AO13</f>
        <v>82.121879278724236</v>
      </c>
      <c r="L44" s="134">
        <f>Revenue!AP13</f>
        <v>84.511292240744496</v>
      </c>
      <c r="M44" s="135">
        <f>Revenue!AQ13</f>
        <v>82.345180848507511</v>
      </c>
      <c r="N44" s="128">
        <f t="shared" ref="N44:N50" si="7">SUM(F44:M44)</f>
        <v>699.09067769492651</v>
      </c>
      <c r="O44" s="128">
        <f t="shared" ref="O44:O50" si="8">IFERROR(AVERAGE(F44:M44), 0 )</f>
        <v>87.386334711865814</v>
      </c>
      <c r="P44" s="400"/>
      <c r="Q44" s="401"/>
      <c r="R44"/>
      <c r="S44"/>
    </row>
    <row r="45" spans="4:19" s="204" customFormat="1" ht="15" customHeight="1">
      <c r="D45" s="127">
        <f t="shared" ref="D45:D51" si="9">+D44+1</f>
        <v>19</v>
      </c>
      <c r="E45" s="406" t="str">
        <f>Revenue!E14</f>
        <v xml:space="preserve">Non-controllable opex </v>
      </c>
      <c r="F45" s="133">
        <f>Revenue!AJ14</f>
        <v>59.126857142857141</v>
      </c>
      <c r="G45" s="134">
        <f>Revenue!AK14</f>
        <v>54.741999999999997</v>
      </c>
      <c r="H45" s="134">
        <f>Revenue!AL14</f>
        <v>55.996000000000002</v>
      </c>
      <c r="I45" s="134">
        <f>Revenue!AM14</f>
        <v>55.999000000000002</v>
      </c>
      <c r="J45" s="134">
        <f>Revenue!AN14</f>
        <v>57.051142857142864</v>
      </c>
      <c r="K45" s="134">
        <f>Revenue!AO14</f>
        <v>56.005000000000003</v>
      </c>
      <c r="L45" s="134">
        <f>Revenue!AP14</f>
        <v>55.344000000000001</v>
      </c>
      <c r="M45" s="135">
        <f>Revenue!AQ14</f>
        <v>55.695999999999998</v>
      </c>
      <c r="N45" s="128">
        <f t="shared" si="7"/>
        <v>449.96000000000004</v>
      </c>
      <c r="O45" s="128">
        <f t="shared" si="8"/>
        <v>56.245000000000005</v>
      </c>
      <c r="P45" s="400"/>
      <c r="Q45" s="401"/>
      <c r="R45"/>
      <c r="S45"/>
    </row>
    <row r="46" spans="4:19" s="204" customFormat="1" ht="15" customHeight="1">
      <c r="D46" s="127">
        <f t="shared" si="9"/>
        <v>20</v>
      </c>
      <c r="E46" s="406" t="str">
        <f>Revenue!E15</f>
        <v>RAV depreciation</v>
      </c>
      <c r="F46" s="133">
        <f>Revenue!AJ15</f>
        <v>198.74093750399697</v>
      </c>
      <c r="G46" s="134">
        <f>Revenue!AK15</f>
        <v>198.07831619125824</v>
      </c>
      <c r="H46" s="134">
        <f>Revenue!AL15</f>
        <v>195.85017842732279</v>
      </c>
      <c r="I46" s="134">
        <f>Revenue!AM15</f>
        <v>193.36676633593478</v>
      </c>
      <c r="J46" s="134">
        <f>Revenue!AN15</f>
        <v>191.12004639804832</v>
      </c>
      <c r="K46" s="134">
        <f>Revenue!AO15</f>
        <v>189.13716735826065</v>
      </c>
      <c r="L46" s="134">
        <f>Revenue!AP15</f>
        <v>163.05039273168077</v>
      </c>
      <c r="M46" s="135">
        <f>Revenue!AQ15</f>
        <v>161.21935744886116</v>
      </c>
      <c r="N46" s="128">
        <f t="shared" si="7"/>
        <v>1490.5631623953636</v>
      </c>
      <c r="O46" s="128">
        <f t="shared" si="8"/>
        <v>186.32039529942045</v>
      </c>
      <c r="P46" s="400"/>
      <c r="Q46" s="401"/>
      <c r="R46"/>
      <c r="S46"/>
    </row>
    <row r="47" spans="4:19" s="204" customFormat="1" ht="15" customHeight="1">
      <c r="D47" s="127">
        <f t="shared" si="9"/>
        <v>21</v>
      </c>
      <c r="E47" s="406" t="str">
        <f>Revenue!E16</f>
        <v>Return</v>
      </c>
      <c r="F47" s="133">
        <f>Revenue!AJ16</f>
        <v>76.021862850637021</v>
      </c>
      <c r="G47" s="134">
        <f>Revenue!AK16</f>
        <v>76.68852929002324</v>
      </c>
      <c r="H47" s="134">
        <f>Revenue!AL16</f>
        <v>77.388865297339407</v>
      </c>
      <c r="I47" s="134">
        <f>Revenue!AM16</f>
        <v>78.064007363474886</v>
      </c>
      <c r="J47" s="134">
        <f>Revenue!AN16</f>
        <v>78.432896605035552</v>
      </c>
      <c r="K47" s="134">
        <f>Revenue!AO16</f>
        <v>78.482210085718606</v>
      </c>
      <c r="L47" s="134">
        <f>Revenue!AP16</f>
        <v>79.147038162931267</v>
      </c>
      <c r="M47" s="135">
        <f>Revenue!AQ16</f>
        <v>80.348354078530676</v>
      </c>
      <c r="N47" s="128">
        <f t="shared" si="7"/>
        <v>624.57376373369061</v>
      </c>
      <c r="O47" s="128">
        <f t="shared" si="8"/>
        <v>78.071720466711326</v>
      </c>
      <c r="P47" s="400"/>
      <c r="Q47" s="401"/>
      <c r="R47"/>
      <c r="S47"/>
    </row>
    <row r="48" spans="4:19" s="204" customFormat="1" ht="15" customHeight="1">
      <c r="D48" s="127">
        <f t="shared" si="9"/>
        <v>22</v>
      </c>
      <c r="E48" s="406" t="str">
        <f>Revenue!E17</f>
        <v>Equity issuance cost</v>
      </c>
      <c r="F48" s="133">
        <f>Revenue!AJ17</f>
        <v>0</v>
      </c>
      <c r="G48" s="134">
        <f>Revenue!AK17</f>
        <v>0</v>
      </c>
      <c r="H48" s="134">
        <f>Revenue!AL17</f>
        <v>0</v>
      </c>
      <c r="I48" s="134">
        <f>Revenue!AM17</f>
        <v>0</v>
      </c>
      <c r="J48" s="134">
        <f>Revenue!AN17</f>
        <v>0</v>
      </c>
      <c r="K48" s="134">
        <f>Revenue!AO17</f>
        <v>0</v>
      </c>
      <c r="L48" s="134">
        <f>Revenue!AP17</f>
        <v>0</v>
      </c>
      <c r="M48" s="135">
        <f>Revenue!AQ17</f>
        <v>0</v>
      </c>
      <c r="N48" s="128">
        <f>SUM(F48:M48)</f>
        <v>0</v>
      </c>
      <c r="O48" s="128">
        <f>IFERROR(AVERAGE(F48:M48), 0 )</f>
        <v>0</v>
      </c>
      <c r="P48" s="400"/>
      <c r="Q48" s="401"/>
      <c r="R48"/>
      <c r="S48"/>
    </row>
    <row r="49" spans="3:20" s="204" customFormat="1" ht="15" customHeight="1">
      <c r="D49" s="127">
        <f t="shared" si="9"/>
        <v>23</v>
      </c>
      <c r="E49" s="406" t="str">
        <f>Revenue!E18</f>
        <v>Additional income</v>
      </c>
      <c r="F49" s="133">
        <f>Revenue!AJ18</f>
        <v>0.3648271976377423</v>
      </c>
      <c r="G49" s="134">
        <f>Revenue!AK18</f>
        <v>0.37109083837102003</v>
      </c>
      <c r="H49" s="134">
        <f>Revenue!AL18</f>
        <v>0.36071859106606846</v>
      </c>
      <c r="I49" s="134">
        <f>Revenue!AM18</f>
        <v>0.35927814835295946</v>
      </c>
      <c r="J49" s="134">
        <f>Revenue!AN18</f>
        <v>0.3227419487574148</v>
      </c>
      <c r="K49" s="134">
        <f>Revenue!AO18</f>
        <v>0.32139075529498529</v>
      </c>
      <c r="L49" s="134">
        <f>Revenue!AP18</f>
        <v>0.32876178406363676</v>
      </c>
      <c r="M49" s="135">
        <f>Revenue!AQ18</f>
        <v>0.31920430794598703</v>
      </c>
      <c r="N49" s="128">
        <f t="shared" si="7"/>
        <v>2.748013571489814</v>
      </c>
      <c r="O49" s="128">
        <f t="shared" si="8"/>
        <v>0.34350169643622674</v>
      </c>
      <c r="P49" s="259"/>
      <c r="Q49" s="401"/>
      <c r="R49"/>
      <c r="S49"/>
    </row>
    <row r="50" spans="3:20" s="204" customFormat="1" ht="15" customHeight="1">
      <c r="D50" s="127">
        <f t="shared" si="9"/>
        <v>24</v>
      </c>
      <c r="E50" s="406" t="str">
        <f>Revenue!E19</f>
        <v>Core DARTs</v>
      </c>
      <c r="F50" s="133">
        <f>Revenue!AJ19</f>
        <v>20.341420031076023</v>
      </c>
      <c r="G50" s="134">
        <f>Revenue!AK19</f>
        <v>22.913831241511371</v>
      </c>
      <c r="H50" s="134">
        <f>Revenue!AL19</f>
        <v>26.743846270480336</v>
      </c>
      <c r="I50" s="134">
        <f>Revenue!AM19</f>
        <v>29.340890634640587</v>
      </c>
      <c r="J50" s="134">
        <f>Revenue!AN19</f>
        <v>39.463753150084557</v>
      </c>
      <c r="K50" s="134">
        <f>Revenue!AO19</f>
        <v>41.845252235022564</v>
      </c>
      <c r="L50" s="134">
        <f>Revenue!AP19</f>
        <v>65.52572132787013</v>
      </c>
      <c r="M50" s="135">
        <f>Revenue!AQ19</f>
        <v>67.768435737214361</v>
      </c>
      <c r="N50" s="128">
        <f t="shared" si="7"/>
        <v>313.94315062789991</v>
      </c>
      <c r="O50" s="128">
        <f t="shared" si="8"/>
        <v>39.242893828487489</v>
      </c>
      <c r="P50" s="400"/>
      <c r="Q50" s="401"/>
      <c r="R50"/>
      <c r="S50"/>
    </row>
    <row r="51" spans="3:20" s="204" customFormat="1" ht="15" customHeight="1">
      <c r="D51" s="127">
        <f t="shared" si="9"/>
        <v>25</v>
      </c>
      <c r="E51" s="406" t="str">
        <f>Revenue!E21</f>
        <v>Tax allowance</v>
      </c>
      <c r="F51" s="133">
        <f>Revenue!AJ21</f>
        <v>27.309123660423086</v>
      </c>
      <c r="G51" s="134">
        <f>Revenue!AK21</f>
        <v>27.184981486565491</v>
      </c>
      <c r="H51" s="134">
        <f>Revenue!AL21</f>
        <v>26.051651163146474</v>
      </c>
      <c r="I51" s="134">
        <f>Revenue!AM21</f>
        <v>25.382510778196359</v>
      </c>
      <c r="J51" s="134">
        <f>Revenue!AN21</f>
        <v>25.296122360325025</v>
      </c>
      <c r="K51" s="134">
        <f>Revenue!AO21</f>
        <v>25.785185976553858</v>
      </c>
      <c r="L51" s="134">
        <f>Revenue!AP21</f>
        <v>25.789727359253916</v>
      </c>
      <c r="M51" s="135">
        <f>Revenue!AQ21</f>
        <v>26.008863222948985</v>
      </c>
      <c r="N51" s="128">
        <f>SUM(F51:M51)</f>
        <v>208.80816600741318</v>
      </c>
      <c r="O51" s="128">
        <f>IFERROR(AVERAGE(F51:M51), 0 )</f>
        <v>26.101020750926647</v>
      </c>
      <c r="P51" s="400"/>
      <c r="Q51" s="401"/>
      <c r="R51"/>
      <c r="S51"/>
    </row>
    <row r="52" spans="3:20" s="204" customFormat="1" ht="15" customHeight="1">
      <c r="D52" s="122"/>
      <c r="E52" s="407" t="s">
        <v>19</v>
      </c>
      <c r="F52" s="129"/>
      <c r="G52" s="130"/>
      <c r="H52" s="130"/>
      <c r="I52" s="130"/>
      <c r="J52" s="130"/>
      <c r="K52" s="130"/>
      <c r="L52" s="130"/>
      <c r="M52" s="131"/>
      <c r="N52" s="408"/>
      <c r="O52" s="136"/>
      <c r="P52" s="400"/>
      <c r="Q52" s="401"/>
      <c r="R52"/>
      <c r="S52"/>
      <c r="T52" s="379"/>
    </row>
    <row r="53" spans="3:20" s="204" customFormat="1" ht="15" customHeight="1">
      <c r="D53" s="127">
        <f>D51+1</f>
        <v>26</v>
      </c>
      <c r="E53" s="406" t="s">
        <v>460</v>
      </c>
      <c r="F53" s="133">
        <f t="shared" ref="F53:M53" ca="1" si="10">F64</f>
        <v>473.74910068752729</v>
      </c>
      <c r="G53" s="134">
        <f t="shared" ca="1" si="10"/>
        <v>473.72857212416716</v>
      </c>
      <c r="H53" s="134">
        <f t="shared" ca="1" si="10"/>
        <v>473.71106979381284</v>
      </c>
      <c r="I53" s="134">
        <f t="shared" ca="1" si="10"/>
        <v>473.70216055354757</v>
      </c>
      <c r="J53" s="134">
        <f t="shared" ca="1" si="10"/>
        <v>473.69561593160125</v>
      </c>
      <c r="K53" s="134">
        <f t="shared" ca="1" si="10"/>
        <v>473.6980856895749</v>
      </c>
      <c r="L53" s="134">
        <f t="shared" ca="1" si="10"/>
        <v>473.69693360654423</v>
      </c>
      <c r="M53" s="135">
        <f t="shared" ca="1" si="10"/>
        <v>473.70539564400872</v>
      </c>
      <c r="N53" s="128">
        <f ca="1">SUM(F53:M53)</f>
        <v>3789.686934030784</v>
      </c>
      <c r="O53" s="128">
        <f ca="1">IFERROR(AVERAGE(F53:M53), 0 )</f>
        <v>473.71086675384799</v>
      </c>
      <c r="P53" s="400"/>
      <c r="Q53" s="401"/>
      <c r="R53"/>
      <c r="S53"/>
      <c r="T53" s="439"/>
    </row>
    <row r="54" spans="3:20" s="204" customFormat="1" ht="15" customHeight="1">
      <c r="D54" s="127">
        <f t="shared" ref="D54:D59" si="11">+D53+1</f>
        <v>27</v>
      </c>
      <c r="E54" s="406" t="s">
        <v>58</v>
      </c>
      <c r="F54" s="133">
        <f ca="1">IF(F$21=$F$19,Revenue!AJ61,IF(F$21 &lt; $F$19,OFFSET(m_results_01, ($F$11 * ($F$10 - 1)) + ROW($D73) + ((F$21 - $F$21)/365) - ROW(m_live_results), COLUMN(F$21) - COLUMN(m_live_results)), 0))</f>
        <v>0</v>
      </c>
      <c r="G54" s="134">
        <f ca="1">IF(G$21=$F$19,Revenue!AK61,IF(G$21 &lt; $F$19,OFFSET(m_results_01, ($F$11 * ($F$10 - 1)) + ROW($D73) + ((G$21 - $F$21)/365) - ROW(m_live_results), COLUMN(G$21) - COLUMN(m_live_results)), 0))</f>
        <v>0</v>
      </c>
      <c r="H54" s="134">
        <f ca="1">IF(H$21=$F$19,Revenue!AL61,IF(H$21 &lt; $F$19,OFFSET(m_results_01, ($F$11 * ($F$10 - 1)) + ROW($D73) + ((H$21 - $F$21)/365) - ROW(m_live_results), COLUMN(H$21) - COLUMN(m_live_results)), 0))</f>
        <v>0</v>
      </c>
      <c r="I54" s="134">
        <f ca="1">IF(I$21=$F$19,Revenue!AM61,IF(I$21 &lt; $F$19,OFFSET(m_results_01, ($F$11 * ($F$10 - 1)) + ROW($D73) + ((I$21 - $F$21)/365) - ROW(m_live_results), COLUMN(I$21) - COLUMN(m_live_results)), 0))</f>
        <v>0</v>
      </c>
      <c r="J54" s="134">
        <f ca="1">IF(J$21=$F$19,Revenue!AN61,IF(J$21 &lt; $F$19,OFFSET(m_results_01, ($F$11 * ($F$10 - 1)) + ROW($D73) + ((J$21 - $F$21)/365) - ROW(m_live_results), COLUMN(J$21) - COLUMN(m_live_results)), 0))</f>
        <v>0</v>
      </c>
      <c r="K54" s="134">
        <f ca="1">IF(K$21=$F$19,Revenue!AO61,IF(K$21 &lt; $F$19,OFFSET(m_results_01, ($F$11 * ($F$10 - 1)) + ROW($D73) + ((K$21 - $F$21)/365) - ROW(m_live_results), COLUMN(K$21) - COLUMN(m_live_results)), 0))</f>
        <v>0</v>
      </c>
      <c r="L54" s="134">
        <f ca="1">IF(L$21=$F$19,Revenue!AP61,IF(L$21 &lt; $F$19,OFFSET(m_results_01, ($F$11 * ($F$10 - 1)) + ROW($D73) + ((L$21 - $F$21)/365) - ROW(m_live_results), COLUMN(L$21) - COLUMN(m_live_results)), 0))</f>
        <v>0</v>
      </c>
      <c r="M54" s="135">
        <f ca="1">IF(M$21=$F$19,Revenue!AQ61,IF(M$21 &lt; $F$19,OFFSET(m_results_01, ($F$11 * ($F$10 - 1)) + ROW($D73) + ((M$21 - $F$21)/365) - ROW(m_live_results), COLUMN(M$21) - COLUMN(m_live_results)), 0))</f>
        <v>0</v>
      </c>
      <c r="N54" s="128">
        <f ca="1">SUM(F54:M54)</f>
        <v>0</v>
      </c>
      <c r="O54" s="128">
        <f ca="1">IFERROR(AVERAGE(F54:M54), 0 )</f>
        <v>0</v>
      </c>
      <c r="P54" s="400"/>
      <c r="Q54" s="401"/>
      <c r="R54"/>
      <c r="S54"/>
      <c r="T54" s="439"/>
    </row>
    <row r="55" spans="3:20" s="204" customFormat="1" ht="15" customHeight="1">
      <c r="D55" s="127">
        <f t="shared" si="11"/>
        <v>28</v>
      </c>
      <c r="E55" s="406" t="s">
        <v>43</v>
      </c>
      <c r="F55" s="137">
        <f ca="1">IF(F$21 = $F$19, Revenue!AJ54, IF(F$21 &lt; $F$19, OFFSET(m_results_01, ($F$11 * ($F$10 - 1)) + ROW($D55) - ROW(m_live_results), COLUMN(F$21) - COLUMN(m_live_results)), F53))</f>
        <v>473.74910068752729</v>
      </c>
      <c r="G55" s="134">
        <f ca="1">IF(G$21 = $F$19, Revenue!AK54, IF(G$21 &lt; $F$19, OFFSET(m_results_01, ($F$11 * ($F$10 - 1)) + ROW($D55) - ROW(m_live_results), COLUMN(G$21) - COLUMN(m_live_results)), G53))</f>
        <v>473.72857212416716</v>
      </c>
      <c r="H55" s="134">
        <f ca="1">IF(H$21 = $F$19, Revenue!AL54, IF(H$21 &lt; $F$19, OFFSET(m_results_01, ($F$11 * ($F$10 - 1)) + ROW($D55) - ROW(m_live_results), COLUMN(H$21) - COLUMN(m_live_results)), H53))</f>
        <v>473.71106979381284</v>
      </c>
      <c r="I55" s="134">
        <f ca="1">IF(I$21 = $F$19, Revenue!AM54, IF(I$21 &lt; $F$19, OFFSET(m_results_01, ($F$11 * ($F$10 - 1)) + ROW($D55) - ROW(m_live_results), COLUMN(I$21) - COLUMN(m_live_results)), I53))</f>
        <v>473.70216055354757</v>
      </c>
      <c r="J55" s="134">
        <f ca="1">IF(J$21 = $F$19, Revenue!AN54, IF(J$21 &lt; $F$19, OFFSET(m_results_01, ($F$11 * ($F$10 - 1)) + ROW($D55) - ROW(m_live_results), COLUMN(J$21) - COLUMN(m_live_results)), J53))</f>
        <v>473.69561593160125</v>
      </c>
      <c r="K55" s="134">
        <f ca="1">IF(K$21 = $F$19, Revenue!AO54, IF(K$21 &lt; $F$19, OFFSET(m_results_01, ($F$11 * ($F$10 - 1)) + ROW($D55) - ROW(m_live_results), COLUMN(K$21) - COLUMN(m_live_results)), K53))</f>
        <v>473.6980856895749</v>
      </c>
      <c r="L55" s="134">
        <f ca="1">IF(L$21 = $F$19, Revenue!AP54, IF(L$21 &lt; $F$19, OFFSET(m_results_01, ($F$11 * ($F$10 - 1)) + ROW($D55) - ROW(m_live_results), COLUMN(L$21) - COLUMN(m_live_results)), L53))</f>
        <v>473.69693360654423</v>
      </c>
      <c r="M55" s="135">
        <f ca="1">IF(M$21 = $F$19, Revenue!AQ54, IF(M$21 &lt; $F$19, OFFSET(m_results_01, ($F$11 * ($F$10 - 1)) + ROW($D55) - ROW(m_live_results), COLUMN(M$21) - COLUMN(m_live_results)), M53))</f>
        <v>473.70539564400872</v>
      </c>
      <c r="N55" s="128">
        <f ca="1">SUM(F55:M55)</f>
        <v>3789.686934030784</v>
      </c>
      <c r="O55" s="128">
        <f ca="1">IFERROR(AVERAGE(F55:M55), 0 )</f>
        <v>473.71086675384799</v>
      </c>
      <c r="P55" s="400"/>
      <c r="Q55" s="401"/>
      <c r="R55"/>
      <c r="S55"/>
      <c r="T55" s="439"/>
    </row>
    <row r="56" spans="3:20" s="204" customFormat="1" ht="15" customHeight="1">
      <c r="D56" s="127">
        <f t="shared" si="11"/>
        <v>29</v>
      </c>
      <c r="E56" s="406" t="s">
        <v>739</v>
      </c>
      <c r="F56" s="137">
        <f>Input!AJ$345</f>
        <v>11.034502948765491</v>
      </c>
      <c r="G56" s="134">
        <f>Input!AK$345</f>
        <v>9.5443621587654839</v>
      </c>
      <c r="H56" s="134">
        <f>Input!AL$345</f>
        <v>7.9291027766654825</v>
      </c>
      <c r="I56" s="134">
        <f>Input!AM$345</f>
        <v>6.6787259883864802</v>
      </c>
      <c r="J56" s="134">
        <f>Input!AN$345</f>
        <v>6.4532329679902851</v>
      </c>
      <c r="K56" s="134">
        <f>Input!AO$345</f>
        <v>6.4656248777980316</v>
      </c>
      <c r="L56" s="134">
        <f>Input!AP$345</f>
        <v>6.4109028685077014</v>
      </c>
      <c r="M56" s="135">
        <f>Input!AQ$345</f>
        <v>6.4420680793102871</v>
      </c>
      <c r="N56" s="128">
        <f>SUM(F56:M56)</f>
        <v>60.958522666189253</v>
      </c>
      <c r="O56" s="128">
        <f>IFERROR(AVERAGE(F56:M56), 0 )</f>
        <v>7.6198153332736567</v>
      </c>
      <c r="P56" s="400"/>
      <c r="Q56" s="401"/>
      <c r="R56"/>
      <c r="S56"/>
      <c r="T56" s="439"/>
    </row>
    <row r="57" spans="3:20" s="204" customFormat="1" ht="15" customHeight="1">
      <c r="D57" s="127">
        <f>+D56+1</f>
        <v>30</v>
      </c>
      <c r="E57" s="406" t="s">
        <v>770</v>
      </c>
      <c r="F57" s="431">
        <f>Input!AJ$280+Input!AJ$281</f>
        <v>15.447403729421062</v>
      </c>
      <c r="G57" s="137">
        <f>Input!AK$280+Input!AK$281</f>
        <v>15.44740372942106</v>
      </c>
      <c r="H57" s="137">
        <f>Input!AL$280+Input!AL$281</f>
        <v>7.4655138810891444</v>
      </c>
      <c r="I57" s="137">
        <f>Input!AM$280+Input!AM$281</f>
        <v>0</v>
      </c>
      <c r="J57" s="137">
        <f>Input!AN$280+Input!AN$281</f>
        <v>0</v>
      </c>
      <c r="K57" s="137">
        <f>Input!AO$280+Input!AO$281</f>
        <v>0</v>
      </c>
      <c r="L57" s="137">
        <f>Input!AP$280+Input!AP$281</f>
        <v>0</v>
      </c>
      <c r="M57" s="137">
        <f>Input!AQ$280+Input!AQ$281</f>
        <v>0</v>
      </c>
      <c r="N57" s="128">
        <f t="shared" ref="N57" si="12">SUM(F57:M57)</f>
        <v>38.360321339931268</v>
      </c>
      <c r="O57" s="128">
        <f t="shared" ref="O57" si="13">IFERROR(AVERAGE(F57:M57), 0 )</f>
        <v>4.7950401674914085</v>
      </c>
      <c r="P57" s="400"/>
      <c r="Q57" s="401"/>
      <c r="R57"/>
      <c r="S57"/>
    </row>
    <row r="58" spans="3:20" s="204" customFormat="1" ht="15" customHeight="1">
      <c r="D58" s="127">
        <f>+D57+1</f>
        <v>31</v>
      </c>
      <c r="E58" s="406" t="s">
        <v>764</v>
      </c>
      <c r="F58" s="137">
        <f>Input!AJ287</f>
        <v>0</v>
      </c>
      <c r="G58" s="134">
        <f>Input!AK287</f>
        <v>0</v>
      </c>
      <c r="H58" s="134">
        <f>Input!AL287</f>
        <v>0</v>
      </c>
      <c r="I58" s="134">
        <f>Input!AM287</f>
        <v>0</v>
      </c>
      <c r="J58" s="134">
        <f>Input!AN287</f>
        <v>0</v>
      </c>
      <c r="K58" s="134">
        <f>Input!AO287</f>
        <v>0</v>
      </c>
      <c r="L58" s="134">
        <f>Input!AP287</f>
        <v>0</v>
      </c>
      <c r="M58" s="135">
        <f>Input!AQ287</f>
        <v>0</v>
      </c>
      <c r="N58" s="128">
        <f t="shared" ref="N58" si="14">SUM(F58:M58)</f>
        <v>0</v>
      </c>
      <c r="O58" s="128">
        <f t="shared" ref="O58" si="15">IFERROR(AVERAGE(F58:M58), 0 )</f>
        <v>0</v>
      </c>
      <c r="P58" s="400"/>
      <c r="Q58" s="401"/>
      <c r="R58"/>
      <c r="S58"/>
    </row>
    <row r="59" spans="3:20" s="204" customFormat="1" ht="15" customHeight="1">
      <c r="D59" s="127">
        <f t="shared" si="11"/>
        <v>32</v>
      </c>
      <c r="E59" s="406" t="s">
        <v>9</v>
      </c>
      <c r="F59" s="137">
        <f t="shared" ref="F59:M59" ca="1" si="16">SUM(F55:F58)</f>
        <v>500.23100736571382</v>
      </c>
      <c r="G59" s="134">
        <f t="shared" ca="1" si="16"/>
        <v>498.72033801235369</v>
      </c>
      <c r="H59" s="134">
        <f t="shared" ca="1" si="16"/>
        <v>489.10568645156746</v>
      </c>
      <c r="I59" s="134">
        <f t="shared" ca="1" si="16"/>
        <v>480.38088654193405</v>
      </c>
      <c r="J59" s="134">
        <f t="shared" ca="1" si="16"/>
        <v>480.14884889959154</v>
      </c>
      <c r="K59" s="134">
        <f t="shared" ca="1" si="16"/>
        <v>480.1637105673729</v>
      </c>
      <c r="L59" s="134">
        <f t="shared" ca="1" si="16"/>
        <v>480.10783647505195</v>
      </c>
      <c r="M59" s="367">
        <f t="shared" ca="1" si="16"/>
        <v>480.14746372331899</v>
      </c>
      <c r="N59" s="128">
        <f ca="1">SUM(F59:M59)</f>
        <v>3889.0057780369048</v>
      </c>
      <c r="O59" s="128">
        <f ca="1">IFERROR(AVERAGE(F59:M59), 0 )</f>
        <v>486.12572225461309</v>
      </c>
      <c r="P59" s="400"/>
      <c r="Q59" s="401"/>
      <c r="R59"/>
      <c r="S59"/>
    </row>
    <row r="60" spans="3:20" ht="15" customHeight="1">
      <c r="C60" s="204"/>
      <c r="D60" s="122"/>
      <c r="E60" s="407" t="s">
        <v>173</v>
      </c>
      <c r="F60" s="129"/>
      <c r="G60" s="130"/>
      <c r="H60" s="130"/>
      <c r="I60" s="130"/>
      <c r="J60" s="130"/>
      <c r="K60" s="198"/>
      <c r="L60" s="130"/>
      <c r="M60" s="131"/>
      <c r="N60" s="408"/>
      <c r="O60" s="136"/>
      <c r="P60" s="400"/>
      <c r="Q60" s="401"/>
    </row>
    <row r="61" spans="3:20" s="204" customFormat="1" ht="15" customHeight="1">
      <c r="D61" s="127">
        <f>D59+1</f>
        <v>33</v>
      </c>
      <c r="E61" s="406" t="s">
        <v>173</v>
      </c>
      <c r="F61" s="133">
        <f>Revenue!AJ22</f>
        <v>473.74910068752729</v>
      </c>
      <c r="G61" s="134">
        <f>Revenue!AK22</f>
        <v>473.72857212416716</v>
      </c>
      <c r="H61" s="134">
        <f>Revenue!AL22</f>
        <v>473.71106979381284</v>
      </c>
      <c r="I61" s="134">
        <f>Revenue!AM22</f>
        <v>473.70216055354757</v>
      </c>
      <c r="J61" s="134">
        <f>Revenue!AN22</f>
        <v>473.69561593160125</v>
      </c>
      <c r="K61" s="134">
        <f>Revenue!AO22</f>
        <v>473.6980856895749</v>
      </c>
      <c r="L61" s="134">
        <f>Revenue!AP22</f>
        <v>473.69693360654423</v>
      </c>
      <c r="M61" s="135">
        <f>Revenue!AQ22</f>
        <v>473.70539564400872</v>
      </c>
      <c r="N61" s="128">
        <f>SUM(F61:M61)</f>
        <v>3789.686934030784</v>
      </c>
      <c r="O61" s="128">
        <f>IFERROR(AVERAGE(F61:M61), 0 )</f>
        <v>473.71086675384799</v>
      </c>
      <c r="P61" s="400"/>
      <c r="Q61" s="401"/>
      <c r="R61"/>
      <c r="S61"/>
    </row>
    <row r="62" spans="3:20" s="204" customFormat="1" ht="15" customHeight="1">
      <c r="D62" s="127">
        <f>+D61+1</f>
        <v>34</v>
      </c>
      <c r="E62" s="406" t="s">
        <v>187</v>
      </c>
      <c r="F62" s="133">
        <f t="shared" ref="F62:M62" ca="1" si="17">IF($F$12=1, 0,  OFFSET(F64, $F$12 - 2, 0))</f>
        <v>0</v>
      </c>
      <c r="G62" s="134">
        <f t="shared" ca="1" si="17"/>
        <v>0</v>
      </c>
      <c r="H62" s="134">
        <f t="shared" ca="1" si="17"/>
        <v>0</v>
      </c>
      <c r="I62" s="134">
        <f t="shared" ca="1" si="17"/>
        <v>0</v>
      </c>
      <c r="J62" s="134">
        <f t="shared" ca="1" si="17"/>
        <v>0</v>
      </c>
      <c r="K62" s="134">
        <f t="shared" ca="1" si="17"/>
        <v>0</v>
      </c>
      <c r="L62" s="134">
        <f t="shared" ca="1" si="17"/>
        <v>0</v>
      </c>
      <c r="M62" s="135">
        <f t="shared" ca="1" si="17"/>
        <v>0</v>
      </c>
      <c r="N62" s="128">
        <f ca="1">SUM(F62:M62)</f>
        <v>0</v>
      </c>
      <c r="O62" s="128">
        <f ca="1">IFERROR(AVERAGE(F62:M62), 0 )</f>
        <v>0</v>
      </c>
      <c r="P62" s="400"/>
      <c r="Q62" s="401"/>
      <c r="R62"/>
      <c r="S62"/>
    </row>
    <row r="63" spans="3:20" ht="15" customHeight="1">
      <c r="D63" s="122"/>
      <c r="E63" s="407" t="s">
        <v>297</v>
      </c>
      <c r="F63" s="129"/>
      <c r="G63" s="130"/>
      <c r="H63" s="130"/>
      <c r="I63" s="130"/>
      <c r="J63" s="130"/>
      <c r="K63" s="198"/>
      <c r="L63" s="130"/>
      <c r="M63" s="131"/>
      <c r="N63" s="408"/>
      <c r="O63" s="136"/>
      <c r="Q63" s="401"/>
    </row>
    <row r="64" spans="3:20" ht="15" customHeight="1">
      <c r="D64" s="127">
        <f>D62+1</f>
        <v>35</v>
      </c>
      <c r="E64" s="409">
        <v>42460</v>
      </c>
      <c r="F64" s="137">
        <f t="shared" ref="F64:M71" ca="1" si="18">IF($E64 = $F$19, F$61, IF($E64 &lt; $F$19,OFFSET(m_results_01, ($F$11 * ($F$10 - 1)) + ROW($D64) - ROW(m_live_results), COLUMN(F$21) - COLUMN(m_live_results)), ""))</f>
        <v>473.74910068752729</v>
      </c>
      <c r="G64" s="134">
        <f t="shared" ca="1" si="18"/>
        <v>473.72857212416716</v>
      </c>
      <c r="H64" s="134">
        <f t="shared" ca="1" si="18"/>
        <v>473.71106979381284</v>
      </c>
      <c r="I64" s="134">
        <f t="shared" ca="1" si="18"/>
        <v>473.70216055354757</v>
      </c>
      <c r="J64" s="134">
        <f t="shared" ca="1" si="18"/>
        <v>473.69561593160125</v>
      </c>
      <c r="K64" s="134">
        <f t="shared" ca="1" si="18"/>
        <v>473.6980856895749</v>
      </c>
      <c r="L64" s="134">
        <f t="shared" ca="1" si="18"/>
        <v>473.69693360654423</v>
      </c>
      <c r="M64" s="135">
        <f t="shared" ca="1" si="18"/>
        <v>473.70539564400872</v>
      </c>
      <c r="N64" s="128">
        <f t="shared" ref="N64:N71" ca="1" si="19">SUM(F64:M64)</f>
        <v>3789.686934030784</v>
      </c>
      <c r="O64" s="128">
        <f t="shared" ref="O64:O71" ca="1" si="20">IFERROR(AVERAGE(F64:M64), 0 )</f>
        <v>473.71086675384799</v>
      </c>
      <c r="Q64" s="401"/>
    </row>
    <row r="65" spans="4:17" ht="15" customHeight="1">
      <c r="D65" s="127">
        <f>+D64+1</f>
        <v>36</v>
      </c>
      <c r="E65" s="409">
        <v>42825</v>
      </c>
      <c r="F65" s="137" t="str">
        <f t="shared" ca="1" si="18"/>
        <v/>
      </c>
      <c r="G65" s="134" t="str">
        <f t="shared" ca="1" si="18"/>
        <v/>
      </c>
      <c r="H65" s="134" t="str">
        <f t="shared" ca="1" si="18"/>
        <v/>
      </c>
      <c r="I65" s="134" t="str">
        <f t="shared" ca="1" si="18"/>
        <v/>
      </c>
      <c r="J65" s="134" t="str">
        <f t="shared" ca="1" si="18"/>
        <v/>
      </c>
      <c r="K65" s="134" t="str">
        <f t="shared" ca="1" si="18"/>
        <v/>
      </c>
      <c r="L65" s="134" t="str">
        <f t="shared" ca="1" si="18"/>
        <v/>
      </c>
      <c r="M65" s="135" t="str">
        <f t="shared" ca="1" si="18"/>
        <v/>
      </c>
      <c r="N65" s="128">
        <f t="shared" ca="1" si="19"/>
        <v>0</v>
      </c>
      <c r="O65" s="128">
        <f t="shared" ca="1" si="20"/>
        <v>0</v>
      </c>
      <c r="Q65" s="401"/>
    </row>
    <row r="66" spans="4:17" ht="15" customHeight="1">
      <c r="D66" s="127">
        <f>+D65+1</f>
        <v>37</v>
      </c>
      <c r="E66" s="409">
        <v>43190</v>
      </c>
      <c r="F66" s="137" t="str">
        <f t="shared" ca="1" si="18"/>
        <v/>
      </c>
      <c r="G66" s="134" t="str">
        <f t="shared" ca="1" si="18"/>
        <v/>
      </c>
      <c r="H66" s="134" t="str">
        <f t="shared" ca="1" si="18"/>
        <v/>
      </c>
      <c r="I66" s="134" t="str">
        <f t="shared" ca="1" si="18"/>
        <v/>
      </c>
      <c r="J66" s="134" t="str">
        <f t="shared" ca="1" si="18"/>
        <v/>
      </c>
      <c r="K66" s="134" t="str">
        <f t="shared" ca="1" si="18"/>
        <v/>
      </c>
      <c r="L66" s="134" t="str">
        <f t="shared" ca="1" si="18"/>
        <v/>
      </c>
      <c r="M66" s="135" t="str">
        <f t="shared" ca="1" si="18"/>
        <v/>
      </c>
      <c r="N66" s="128">
        <f t="shared" ca="1" si="19"/>
        <v>0</v>
      </c>
      <c r="O66" s="128">
        <f t="shared" ca="1" si="20"/>
        <v>0</v>
      </c>
      <c r="Q66" s="401"/>
    </row>
    <row r="67" spans="4:17" ht="15" customHeight="1">
      <c r="D67" s="127">
        <f>D66+1</f>
        <v>38</v>
      </c>
      <c r="E67" s="409">
        <v>43555</v>
      </c>
      <c r="F67" s="137" t="str">
        <f t="shared" ca="1" si="18"/>
        <v/>
      </c>
      <c r="G67" s="134" t="str">
        <f t="shared" ca="1" si="18"/>
        <v/>
      </c>
      <c r="H67" s="134" t="str">
        <f t="shared" ca="1" si="18"/>
        <v/>
      </c>
      <c r="I67" s="134" t="str">
        <f t="shared" ca="1" si="18"/>
        <v/>
      </c>
      <c r="J67" s="134" t="str">
        <f t="shared" ca="1" si="18"/>
        <v/>
      </c>
      <c r="K67" s="134" t="str">
        <f t="shared" ca="1" si="18"/>
        <v/>
      </c>
      <c r="L67" s="134" t="str">
        <f t="shared" ca="1" si="18"/>
        <v/>
      </c>
      <c r="M67" s="135" t="str">
        <f t="shared" ca="1" si="18"/>
        <v/>
      </c>
      <c r="N67" s="128">
        <f t="shared" ca="1" si="19"/>
        <v>0</v>
      </c>
      <c r="O67" s="128">
        <f t="shared" ca="1" si="20"/>
        <v>0</v>
      </c>
      <c r="Q67" s="401"/>
    </row>
    <row r="68" spans="4:17" ht="15" customHeight="1">
      <c r="D68" s="127">
        <f>D67+1</f>
        <v>39</v>
      </c>
      <c r="E68" s="409">
        <v>43921</v>
      </c>
      <c r="F68" s="137" t="str">
        <f t="shared" ca="1" si="18"/>
        <v/>
      </c>
      <c r="G68" s="134" t="str">
        <f t="shared" ca="1" si="18"/>
        <v/>
      </c>
      <c r="H68" s="134" t="str">
        <f t="shared" ca="1" si="18"/>
        <v/>
      </c>
      <c r="I68" s="134" t="str">
        <f t="shared" ca="1" si="18"/>
        <v/>
      </c>
      <c r="J68" s="134" t="str">
        <f t="shared" ca="1" si="18"/>
        <v/>
      </c>
      <c r="K68" s="134" t="str">
        <f t="shared" ca="1" si="18"/>
        <v/>
      </c>
      <c r="L68" s="134" t="str">
        <f t="shared" ca="1" si="18"/>
        <v/>
      </c>
      <c r="M68" s="135" t="str">
        <f t="shared" ca="1" si="18"/>
        <v/>
      </c>
      <c r="N68" s="128">
        <f t="shared" ca="1" si="19"/>
        <v>0</v>
      </c>
      <c r="O68" s="128">
        <f t="shared" ca="1" si="20"/>
        <v>0</v>
      </c>
      <c r="Q68" s="401"/>
    </row>
    <row r="69" spans="4:17" ht="15" customHeight="1">
      <c r="D69" s="127">
        <f>D68+1</f>
        <v>40</v>
      </c>
      <c r="E69" s="409">
        <v>44286</v>
      </c>
      <c r="F69" s="137" t="str">
        <f t="shared" ca="1" si="18"/>
        <v/>
      </c>
      <c r="G69" s="134" t="str">
        <f t="shared" ca="1" si="18"/>
        <v/>
      </c>
      <c r="H69" s="134" t="str">
        <f t="shared" ca="1" si="18"/>
        <v/>
      </c>
      <c r="I69" s="134" t="str">
        <f t="shared" ca="1" si="18"/>
        <v/>
      </c>
      <c r="J69" s="134" t="str">
        <f t="shared" ca="1" si="18"/>
        <v/>
      </c>
      <c r="K69" s="134" t="str">
        <f t="shared" ca="1" si="18"/>
        <v/>
      </c>
      <c r="L69" s="134" t="str">
        <f t="shared" ca="1" si="18"/>
        <v/>
      </c>
      <c r="M69" s="135" t="str">
        <f t="shared" ca="1" si="18"/>
        <v/>
      </c>
      <c r="N69" s="128">
        <f t="shared" ca="1" si="19"/>
        <v>0</v>
      </c>
      <c r="O69" s="128">
        <f t="shared" ca="1" si="20"/>
        <v>0</v>
      </c>
      <c r="Q69" s="401"/>
    </row>
    <row r="70" spans="4:17" ht="15" customHeight="1">
      <c r="D70" s="127">
        <f>D69+1</f>
        <v>41</v>
      </c>
      <c r="E70" s="409">
        <v>44651</v>
      </c>
      <c r="F70" s="137" t="str">
        <f t="shared" ca="1" si="18"/>
        <v/>
      </c>
      <c r="G70" s="134" t="str">
        <f t="shared" ca="1" si="18"/>
        <v/>
      </c>
      <c r="H70" s="134" t="str">
        <f t="shared" ca="1" si="18"/>
        <v/>
      </c>
      <c r="I70" s="134" t="str">
        <f t="shared" ca="1" si="18"/>
        <v/>
      </c>
      <c r="J70" s="134" t="str">
        <f t="shared" ca="1" si="18"/>
        <v/>
      </c>
      <c r="K70" s="134" t="str">
        <f t="shared" ca="1" si="18"/>
        <v/>
      </c>
      <c r="L70" s="134" t="str">
        <f t="shared" ca="1" si="18"/>
        <v/>
      </c>
      <c r="M70" s="135" t="str">
        <f t="shared" ca="1" si="18"/>
        <v/>
      </c>
      <c r="N70" s="128">
        <f t="shared" ca="1" si="19"/>
        <v>0</v>
      </c>
      <c r="O70" s="128">
        <f t="shared" ca="1" si="20"/>
        <v>0</v>
      </c>
      <c r="Q70" s="401"/>
    </row>
    <row r="71" spans="4:17" ht="15" customHeight="1">
      <c r="D71" s="127">
        <f>D70+1</f>
        <v>42</v>
      </c>
      <c r="E71" s="409">
        <v>45016</v>
      </c>
      <c r="F71" s="137" t="str">
        <f t="shared" ca="1" si="18"/>
        <v/>
      </c>
      <c r="G71" s="134" t="str">
        <f t="shared" ca="1" si="18"/>
        <v/>
      </c>
      <c r="H71" s="134" t="str">
        <f t="shared" ca="1" si="18"/>
        <v/>
      </c>
      <c r="I71" s="134" t="str">
        <f t="shared" ca="1" si="18"/>
        <v/>
      </c>
      <c r="J71" s="134" t="str">
        <f t="shared" ca="1" si="18"/>
        <v/>
      </c>
      <c r="K71" s="134" t="str">
        <f t="shared" ca="1" si="18"/>
        <v/>
      </c>
      <c r="L71" s="134" t="str">
        <f t="shared" ca="1" si="18"/>
        <v/>
      </c>
      <c r="M71" s="135" t="str">
        <f t="shared" ca="1" si="18"/>
        <v/>
      </c>
      <c r="N71" s="128">
        <f t="shared" ca="1" si="19"/>
        <v>0</v>
      </c>
      <c r="O71" s="128">
        <f t="shared" ca="1" si="20"/>
        <v>0</v>
      </c>
      <c r="Q71" s="401"/>
    </row>
    <row r="72" spans="4:17" ht="15" customHeight="1">
      <c r="D72" s="122"/>
      <c r="E72" s="407" t="s">
        <v>461</v>
      </c>
      <c r="F72" s="129"/>
      <c r="G72" s="130"/>
      <c r="H72" s="130"/>
      <c r="I72" s="130"/>
      <c r="J72" s="130"/>
      <c r="K72" s="198"/>
      <c r="L72" s="130"/>
      <c r="M72" s="131"/>
      <c r="N72" s="408"/>
      <c r="O72" s="136"/>
      <c r="Q72" s="401"/>
    </row>
    <row r="73" spans="4:17" ht="15" customHeight="1">
      <c r="D73" s="127">
        <f>D71+1</f>
        <v>43</v>
      </c>
      <c r="E73" s="409">
        <v>42460</v>
      </c>
      <c r="F73" s="137">
        <f t="shared" ref="F73:M80" ca="1" si="21">IF($E73 = $F$19, F$54, IF($E73 &lt; $F$19,OFFSET(m_results_01, ($F$11 * ($F$10 - 1)) + ROW($D73) - ROW(m_live_results), COLUMN(F$21) - COLUMN(m_live_results)), ""))</f>
        <v>0</v>
      </c>
      <c r="G73" s="134">
        <f t="shared" ca="1" si="21"/>
        <v>0</v>
      </c>
      <c r="H73" s="134">
        <f t="shared" ca="1" si="21"/>
        <v>0</v>
      </c>
      <c r="I73" s="134">
        <f t="shared" ca="1" si="21"/>
        <v>0</v>
      </c>
      <c r="J73" s="134">
        <f t="shared" ca="1" si="21"/>
        <v>0</v>
      </c>
      <c r="K73" s="134">
        <f t="shared" ca="1" si="21"/>
        <v>0</v>
      </c>
      <c r="L73" s="134">
        <f t="shared" ca="1" si="21"/>
        <v>0</v>
      </c>
      <c r="M73" s="135">
        <f t="shared" ca="1" si="21"/>
        <v>0</v>
      </c>
      <c r="N73" s="128">
        <f t="shared" ref="N73:N80" ca="1" si="22">SUM(F73:M73)</f>
        <v>0</v>
      </c>
      <c r="O73" s="128"/>
      <c r="Q73" s="401"/>
    </row>
    <row r="74" spans="4:17" ht="15" customHeight="1">
      <c r="D74" s="127">
        <f>+D73+1</f>
        <v>44</v>
      </c>
      <c r="E74" s="409">
        <v>42825</v>
      </c>
      <c r="F74" s="137" t="str">
        <f t="shared" ca="1" si="21"/>
        <v/>
      </c>
      <c r="G74" s="134" t="str">
        <f t="shared" ca="1" si="21"/>
        <v/>
      </c>
      <c r="H74" s="134" t="str">
        <f t="shared" ca="1" si="21"/>
        <v/>
      </c>
      <c r="I74" s="134" t="str">
        <f t="shared" ca="1" si="21"/>
        <v/>
      </c>
      <c r="J74" s="134" t="str">
        <f t="shared" ca="1" si="21"/>
        <v/>
      </c>
      <c r="K74" s="134" t="str">
        <f t="shared" ca="1" si="21"/>
        <v/>
      </c>
      <c r="L74" s="134" t="str">
        <f t="shared" ca="1" si="21"/>
        <v/>
      </c>
      <c r="M74" s="135" t="str">
        <f t="shared" ca="1" si="21"/>
        <v/>
      </c>
      <c r="N74" s="128">
        <f t="shared" ca="1" si="22"/>
        <v>0</v>
      </c>
      <c r="O74" s="128"/>
      <c r="Q74" s="401"/>
    </row>
    <row r="75" spans="4:17" ht="15" customHeight="1">
      <c r="D75" s="127">
        <f>+D74+1</f>
        <v>45</v>
      </c>
      <c r="E75" s="409">
        <v>43190</v>
      </c>
      <c r="F75" s="137" t="str">
        <f t="shared" ca="1" si="21"/>
        <v/>
      </c>
      <c r="G75" s="134" t="str">
        <f t="shared" ca="1" si="21"/>
        <v/>
      </c>
      <c r="H75" s="134" t="str">
        <f t="shared" ca="1" si="21"/>
        <v/>
      </c>
      <c r="I75" s="134" t="str">
        <f t="shared" ca="1" si="21"/>
        <v/>
      </c>
      <c r="J75" s="134" t="str">
        <f t="shared" ca="1" si="21"/>
        <v/>
      </c>
      <c r="K75" s="134" t="str">
        <f t="shared" ca="1" si="21"/>
        <v/>
      </c>
      <c r="L75" s="134" t="str">
        <f t="shared" ca="1" si="21"/>
        <v/>
      </c>
      <c r="M75" s="135" t="str">
        <f t="shared" ca="1" si="21"/>
        <v/>
      </c>
      <c r="N75" s="128">
        <f t="shared" ca="1" si="22"/>
        <v>0</v>
      </c>
      <c r="O75" s="128"/>
      <c r="Q75" s="401"/>
    </row>
    <row r="76" spans="4:17" ht="15" customHeight="1">
      <c r="D76" s="127">
        <f>D75+1</f>
        <v>46</v>
      </c>
      <c r="E76" s="409">
        <v>43555</v>
      </c>
      <c r="F76" s="137" t="str">
        <f t="shared" ca="1" si="21"/>
        <v/>
      </c>
      <c r="G76" s="134" t="str">
        <f t="shared" ca="1" si="21"/>
        <v/>
      </c>
      <c r="H76" s="134" t="str">
        <f t="shared" ca="1" si="21"/>
        <v/>
      </c>
      <c r="I76" s="134" t="str">
        <f t="shared" ca="1" si="21"/>
        <v/>
      </c>
      <c r="J76" s="134" t="str">
        <f t="shared" ca="1" si="21"/>
        <v/>
      </c>
      <c r="K76" s="134" t="str">
        <f t="shared" ca="1" si="21"/>
        <v/>
      </c>
      <c r="L76" s="134" t="str">
        <f t="shared" ca="1" si="21"/>
        <v/>
      </c>
      <c r="M76" s="135" t="str">
        <f t="shared" ca="1" si="21"/>
        <v/>
      </c>
      <c r="N76" s="128">
        <f t="shared" ca="1" si="22"/>
        <v>0</v>
      </c>
      <c r="O76" s="128"/>
      <c r="Q76" s="401"/>
    </row>
    <row r="77" spans="4:17" ht="15" customHeight="1">
      <c r="D77" s="127">
        <f>D76+1</f>
        <v>47</v>
      </c>
      <c r="E77" s="409">
        <v>43921</v>
      </c>
      <c r="F77" s="137" t="str">
        <f t="shared" ca="1" si="21"/>
        <v/>
      </c>
      <c r="G77" s="134" t="str">
        <f t="shared" ca="1" si="21"/>
        <v/>
      </c>
      <c r="H77" s="134" t="str">
        <f t="shared" ca="1" si="21"/>
        <v/>
      </c>
      <c r="I77" s="134" t="str">
        <f t="shared" ca="1" si="21"/>
        <v/>
      </c>
      <c r="J77" s="134" t="str">
        <f t="shared" ca="1" si="21"/>
        <v/>
      </c>
      <c r="K77" s="134" t="str">
        <f t="shared" ca="1" si="21"/>
        <v/>
      </c>
      <c r="L77" s="134" t="str">
        <f t="shared" ca="1" si="21"/>
        <v/>
      </c>
      <c r="M77" s="135" t="str">
        <f t="shared" ca="1" si="21"/>
        <v/>
      </c>
      <c r="N77" s="128">
        <f t="shared" ca="1" si="22"/>
        <v>0</v>
      </c>
      <c r="O77" s="128"/>
      <c r="Q77" s="401"/>
    </row>
    <row r="78" spans="4:17" ht="15" customHeight="1">
      <c r="D78" s="127">
        <f>D77+1</f>
        <v>48</v>
      </c>
      <c r="E78" s="409">
        <v>44286</v>
      </c>
      <c r="F78" s="137" t="str">
        <f t="shared" ca="1" si="21"/>
        <v/>
      </c>
      <c r="G78" s="134" t="str">
        <f t="shared" ca="1" si="21"/>
        <v/>
      </c>
      <c r="H78" s="134" t="str">
        <f t="shared" ca="1" si="21"/>
        <v/>
      </c>
      <c r="I78" s="134" t="str">
        <f t="shared" ca="1" si="21"/>
        <v/>
      </c>
      <c r="J78" s="134" t="str">
        <f t="shared" ca="1" si="21"/>
        <v/>
      </c>
      <c r="K78" s="134" t="str">
        <f t="shared" ca="1" si="21"/>
        <v/>
      </c>
      <c r="L78" s="134" t="str">
        <f t="shared" ca="1" si="21"/>
        <v/>
      </c>
      <c r="M78" s="135" t="str">
        <f t="shared" ca="1" si="21"/>
        <v/>
      </c>
      <c r="N78" s="128">
        <f t="shared" ca="1" si="22"/>
        <v>0</v>
      </c>
      <c r="O78" s="128"/>
      <c r="Q78" s="401"/>
    </row>
    <row r="79" spans="4:17" ht="15" customHeight="1">
      <c r="D79" s="127">
        <f>D78+1</f>
        <v>49</v>
      </c>
      <c r="E79" s="409">
        <v>44651</v>
      </c>
      <c r="F79" s="137" t="str">
        <f t="shared" ca="1" si="21"/>
        <v/>
      </c>
      <c r="G79" s="134" t="str">
        <f t="shared" ca="1" si="21"/>
        <v/>
      </c>
      <c r="H79" s="134" t="str">
        <f t="shared" ca="1" si="21"/>
        <v/>
      </c>
      <c r="I79" s="134" t="str">
        <f t="shared" ca="1" si="21"/>
        <v/>
      </c>
      <c r="J79" s="134" t="str">
        <f t="shared" ca="1" si="21"/>
        <v/>
      </c>
      <c r="K79" s="134" t="str">
        <f t="shared" ca="1" si="21"/>
        <v/>
      </c>
      <c r="L79" s="134" t="str">
        <f t="shared" ca="1" si="21"/>
        <v/>
      </c>
      <c r="M79" s="135" t="str">
        <f t="shared" ca="1" si="21"/>
        <v/>
      </c>
      <c r="N79" s="128">
        <f t="shared" ca="1" si="22"/>
        <v>0</v>
      </c>
      <c r="O79" s="128"/>
      <c r="Q79" s="401"/>
    </row>
    <row r="80" spans="4:17" ht="15" customHeight="1">
      <c r="D80" s="127">
        <f>D79+1</f>
        <v>50</v>
      </c>
      <c r="E80" s="409">
        <v>45016</v>
      </c>
      <c r="F80" s="137" t="str">
        <f t="shared" ca="1" si="21"/>
        <v/>
      </c>
      <c r="G80" s="134" t="str">
        <f t="shared" ca="1" si="21"/>
        <v/>
      </c>
      <c r="H80" s="134" t="str">
        <f t="shared" ca="1" si="21"/>
        <v/>
      </c>
      <c r="I80" s="134" t="str">
        <f t="shared" ca="1" si="21"/>
        <v/>
      </c>
      <c r="J80" s="134" t="str">
        <f t="shared" ca="1" si="21"/>
        <v/>
      </c>
      <c r="K80" s="134" t="str">
        <f t="shared" ca="1" si="21"/>
        <v/>
      </c>
      <c r="L80" s="134" t="str">
        <f t="shared" ca="1" si="21"/>
        <v/>
      </c>
      <c r="M80" s="135" t="str">
        <f t="shared" ca="1" si="21"/>
        <v/>
      </c>
      <c r="N80" s="128">
        <f t="shared" ca="1" si="22"/>
        <v>0</v>
      </c>
      <c r="O80" s="128"/>
      <c r="Q80" s="401"/>
    </row>
    <row r="81" spans="2:43" ht="15" customHeight="1">
      <c r="D81" s="122"/>
      <c r="E81" s="407" t="s">
        <v>468</v>
      </c>
      <c r="F81" s="129"/>
      <c r="G81" s="130"/>
      <c r="H81" s="130"/>
      <c r="I81" s="130"/>
      <c r="J81" s="130"/>
      <c r="K81" s="198"/>
      <c r="L81" s="130"/>
      <c r="M81" s="131"/>
      <c r="N81" s="408"/>
      <c r="O81" s="136"/>
      <c r="Q81" s="401"/>
    </row>
    <row r="82" spans="2:43" ht="15" customHeight="1">
      <c r="D82" s="127">
        <f>D80+1</f>
        <v>51</v>
      </c>
      <c r="E82" s="406" t="s">
        <v>445</v>
      </c>
      <c r="F82" s="133">
        <f>AVERAGE(F28 +F29, (F33*'Return&amp;RAV'!AJ17))</f>
        <v>2023.2032694780312</v>
      </c>
      <c r="G82" s="134">
        <f>AVERAGE(G28 +G29, (G33*'Return&amp;RAV'!AK17))</f>
        <v>2040.9455566207116</v>
      </c>
      <c r="H82" s="134">
        <f>AVERAGE(H28 +H29, (H33*'Return&amp;RAV'!AL17))</f>
        <v>2059.5839067821535</v>
      </c>
      <c r="I82" s="134">
        <f>AVERAGE(I28 +I29, (I33*'Return&amp;RAV'!AM17))</f>
        <v>2077.5517595069832</v>
      </c>
      <c r="J82" s="134">
        <f>AVERAGE(J28 +J29, (J33*'Return&amp;RAV'!AN17))</f>
        <v>2087.3691711253641</v>
      </c>
      <c r="K82" s="134">
        <f>AVERAGE(K28 +K29, (K33*'Return&amp;RAV'!AO17))</f>
        <v>2088.6815724742146</v>
      </c>
      <c r="L82" s="134">
        <f>AVERAGE(L28 +L29, (L33*'Return&amp;RAV'!AP17))</f>
        <v>2106.3749344758821</v>
      </c>
      <c r="M82" s="135">
        <f>AVERAGE(M28 +M29, (M33*'Return&amp;RAV'!AQ17))</f>
        <v>2138.346083260963</v>
      </c>
      <c r="N82" s="128">
        <f>SUM(F82:M82)</f>
        <v>16622.056253724302</v>
      </c>
      <c r="O82" s="128">
        <f>IFERROR(AVERAGE(F82:M82), 0 )</f>
        <v>2077.7570317155378</v>
      </c>
      <c r="Q82" s="401"/>
    </row>
    <row r="83" spans="2:43" ht="15" customHeight="1">
      <c r="D83" s="127">
        <f>D82+1</f>
        <v>52</v>
      </c>
      <c r="E83" s="406" t="s">
        <v>446</v>
      </c>
      <c r="F83" s="222">
        <f>Input!AJ51</f>
        <v>0.65</v>
      </c>
      <c r="G83" s="223">
        <f>Input!AK51</f>
        <v>0.65</v>
      </c>
      <c r="H83" s="223">
        <f>Input!AL51</f>
        <v>0.65</v>
      </c>
      <c r="I83" s="223">
        <f>Input!AM51</f>
        <v>0.65</v>
      </c>
      <c r="J83" s="223">
        <f>Input!AN51</f>
        <v>0.65</v>
      </c>
      <c r="K83" s="223">
        <f>Input!AO51</f>
        <v>0.65</v>
      </c>
      <c r="L83" s="223">
        <f>Input!AP51</f>
        <v>0.65</v>
      </c>
      <c r="M83" s="224">
        <f>Input!AQ51</f>
        <v>0.65</v>
      </c>
      <c r="N83" s="225">
        <f>1- (N84 /N82)</f>
        <v>0.64999999999999991</v>
      </c>
      <c r="O83" s="225">
        <f>IFERROR(AVERAGE(F83:M83), 0 )</f>
        <v>0.65</v>
      </c>
      <c r="Q83" s="401"/>
    </row>
    <row r="84" spans="2:43" s="204" customFormat="1" ht="15" customHeight="1">
      <c r="D84" s="127">
        <f>D83+1</f>
        <v>53</v>
      </c>
      <c r="E84" s="406" t="s">
        <v>431</v>
      </c>
      <c r="F84" s="133">
        <f>F82 * (1 - F83)</f>
        <v>708.12114431731084</v>
      </c>
      <c r="G84" s="134">
        <f t="shared" ref="G84:M84" si="23">G82 * (1 - G83)</f>
        <v>714.33094481724902</v>
      </c>
      <c r="H84" s="134">
        <f t="shared" si="23"/>
        <v>720.85436737375369</v>
      </c>
      <c r="I84" s="134">
        <f t="shared" si="23"/>
        <v>727.14311582744403</v>
      </c>
      <c r="J84" s="134">
        <f t="shared" si="23"/>
        <v>730.57920989387742</v>
      </c>
      <c r="K84" s="134">
        <f t="shared" si="23"/>
        <v>731.03855036597508</v>
      </c>
      <c r="L84" s="134">
        <f t="shared" si="23"/>
        <v>737.23122706655874</v>
      </c>
      <c r="M84" s="135">
        <f t="shared" si="23"/>
        <v>748.42112914133702</v>
      </c>
      <c r="N84" s="128">
        <f>SUM(F84:M84)</f>
        <v>5817.719688803506</v>
      </c>
      <c r="O84" s="128">
        <f>IFERROR(AVERAGE(F84:M84), 0 )</f>
        <v>727.21496110043825</v>
      </c>
      <c r="P84"/>
      <c r="Q84" s="401"/>
      <c r="R84"/>
      <c r="S84"/>
    </row>
    <row r="85" spans="2:43" s="204" customFormat="1" ht="15" customHeight="1">
      <c r="D85" s="127">
        <f>D84+1</f>
        <v>54</v>
      </c>
      <c r="E85" s="406" t="s">
        <v>447</v>
      </c>
      <c r="F85" s="137">
        <f>(F82 * F83) * Input!AJ11</f>
        <v>33.534594191598366</v>
      </c>
      <c r="G85" s="134">
        <f>(G82 * G83) * Input!AK11</f>
        <v>33.828672600988291</v>
      </c>
      <c r="H85" s="134">
        <f>(H82 * H83) * Input!AL11</f>
        <v>34.137603254914197</v>
      </c>
      <c r="I85" s="134">
        <f>(I82 * I83) * Input!AM11</f>
        <v>34.435420413828247</v>
      </c>
      <c r="J85" s="134">
        <f>(J82 * J83) * Input!AN11</f>
        <v>34.598144011402908</v>
      </c>
      <c r="K85" s="134">
        <f>(K82 * K83) * Input!AO11</f>
        <v>34.619897063760106</v>
      </c>
      <c r="L85" s="134">
        <f>(L82 * L83) * Input!AP11</f>
        <v>34.91316453893775</v>
      </c>
      <c r="M85" s="135">
        <f>(M82 * M83) * Input!AQ11</f>
        <v>35.443086330050463</v>
      </c>
      <c r="N85" s="128">
        <f>SUM(F85:M85)</f>
        <v>275.51058240548031</v>
      </c>
      <c r="O85" s="128">
        <f>IFERROR(AVERAGE(F85:M85), 0 )</f>
        <v>34.438822800685038</v>
      </c>
      <c r="P85"/>
      <c r="Q85" s="401"/>
      <c r="R85"/>
      <c r="S85"/>
    </row>
    <row r="86" spans="2:43" s="204" customFormat="1" ht="15" customHeight="1" thickBot="1">
      <c r="D86" s="138">
        <f>D85+1</f>
        <v>55</v>
      </c>
      <c r="E86" s="410" t="s">
        <v>677</v>
      </c>
      <c r="F86" s="254">
        <f>'Return&amp;RAV'!AJ28*(1-F83)</f>
        <v>708.12114431731084</v>
      </c>
      <c r="G86" s="139">
        <f>'Return&amp;RAV'!AK28*(1-G83)</f>
        <v>714.33094481724902</v>
      </c>
      <c r="H86" s="139">
        <f>'Return&amp;RAV'!AL28*(1-H83)</f>
        <v>720.85436737375369</v>
      </c>
      <c r="I86" s="139">
        <f>'Return&amp;RAV'!AM28*(1-I83)</f>
        <v>727.14311582744403</v>
      </c>
      <c r="J86" s="139">
        <f>'Return&amp;RAV'!AN28*(1-J83)</f>
        <v>730.57920989387742</v>
      </c>
      <c r="K86" s="139">
        <f>'Return&amp;RAV'!AO28*(1-K83)</f>
        <v>731.03855036597508</v>
      </c>
      <c r="L86" s="139">
        <f>'Return&amp;RAV'!AP28*(1-L83)</f>
        <v>737.23122706655874</v>
      </c>
      <c r="M86" s="226">
        <f>'Return&amp;RAV'!AQ28*(1-M83)</f>
        <v>748.42112914133702</v>
      </c>
      <c r="N86" s="253"/>
      <c r="O86" s="253">
        <f>IFERROR(AVERAGE(F86:M86), 0 )</f>
        <v>727.21496110043825</v>
      </c>
      <c r="P86"/>
      <c r="Q86" s="401"/>
      <c r="R86"/>
      <c r="S86"/>
    </row>
    <row r="87" spans="2:43" s="379" customFormat="1" ht="15" customHeight="1">
      <c r="D87" s="244"/>
      <c r="E87" s="402"/>
      <c r="F87" s="155"/>
      <c r="G87" s="155"/>
      <c r="H87" s="155"/>
      <c r="I87" s="155"/>
      <c r="J87" s="155"/>
      <c r="K87" s="155"/>
      <c r="L87" s="155"/>
      <c r="M87" s="155"/>
      <c r="N87" s="155"/>
      <c r="O87" s="155"/>
      <c r="P87"/>
      <c r="Q87"/>
      <c r="R87"/>
      <c r="S87"/>
    </row>
    <row r="88" spans="2:43" s="378" customFormat="1" ht="15" customHeight="1">
      <c r="D88" s="244"/>
      <c r="E88" s="190"/>
      <c r="F88" s="155"/>
      <c r="G88" s="155"/>
      <c r="H88" s="155"/>
      <c r="I88" s="155"/>
      <c r="J88" s="155"/>
      <c r="K88" s="155"/>
      <c r="L88" s="155"/>
      <c r="M88" s="383"/>
      <c r="N88" s="155"/>
      <c r="O88" s="155"/>
      <c r="P88"/>
      <c r="Q88"/>
      <c r="R88"/>
      <c r="S88"/>
    </row>
    <row r="89" spans="2:43" s="378" customFormat="1" ht="15" customHeight="1">
      <c r="D89" s="244"/>
      <c r="E89" s="190"/>
      <c r="F89" s="155"/>
      <c r="G89" s="155"/>
      <c r="H89" s="155"/>
      <c r="I89" s="155"/>
      <c r="J89" s="155"/>
      <c r="K89" s="155"/>
      <c r="L89" s="155"/>
      <c r="M89" s="383"/>
      <c r="N89" s="155"/>
      <c r="O89" s="155"/>
      <c r="P89"/>
      <c r="Q89"/>
      <c r="R89"/>
      <c r="S89"/>
    </row>
    <row r="90" spans="2:43" s="378" customFormat="1" ht="15" customHeight="1">
      <c r="D90" s="244"/>
      <c r="E90" s="190"/>
      <c r="F90" s="155"/>
      <c r="G90" s="155"/>
      <c r="H90" s="155"/>
      <c r="I90" s="155"/>
      <c r="J90" s="155"/>
      <c r="K90" s="155"/>
      <c r="L90" s="155"/>
      <c r="M90" s="383"/>
      <c r="N90" s="155"/>
      <c r="O90" s="155"/>
      <c r="P90"/>
      <c r="Q90"/>
      <c r="R90"/>
      <c r="S90"/>
    </row>
    <row r="91" spans="2:43" s="378" customFormat="1" ht="15" customHeight="1">
      <c r="D91" s="244"/>
      <c r="E91" s="190"/>
      <c r="P91"/>
      <c r="Q91" s="155"/>
      <c r="R91" s="155"/>
      <c r="S91" s="155"/>
      <c r="T91" s="155"/>
      <c r="U91" s="155"/>
      <c r="V91" s="155"/>
      <c r="W91" s="155"/>
      <c r="X91" s="383"/>
      <c r="Y91" s="155"/>
      <c r="Z91" s="155"/>
    </row>
    <row r="92" spans="2:43" ht="15" customHeight="1" thickBot="1">
      <c r="C92" s="405"/>
      <c r="Q92" s="155"/>
      <c r="R92" s="155"/>
      <c r="S92" s="155"/>
      <c r="T92" s="155"/>
      <c r="U92" s="155"/>
      <c r="V92" s="155"/>
      <c r="W92" s="155"/>
      <c r="X92" s="383"/>
      <c r="Y92" s="155"/>
      <c r="Z92" s="155"/>
      <c r="AA92" s="378"/>
    </row>
    <row r="93" spans="2:43" ht="15" customHeight="1" thickTop="1">
      <c r="Q93" s="155"/>
      <c r="R93" s="155"/>
      <c r="S93" s="155"/>
      <c r="T93" s="155"/>
      <c r="U93" s="155"/>
      <c r="V93" s="155"/>
      <c r="W93" s="155"/>
      <c r="X93" s="383"/>
      <c r="Y93" s="155"/>
      <c r="Z93" s="155"/>
      <c r="AA93" s="378"/>
    </row>
    <row r="94" spans="2:43" s="156" customFormat="1" ht="15" customHeight="1">
      <c r="B94" s="84" t="s">
        <v>51</v>
      </c>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row>
    <row r="95" spans="2:43" ht="15" customHeight="1">
      <c r="Q95" s="155"/>
      <c r="R95" s="155"/>
      <c r="S95" s="155"/>
      <c r="T95" s="155"/>
      <c r="U95" s="155"/>
      <c r="V95" s="155"/>
      <c r="W95" s="155"/>
      <c r="X95" s="383"/>
      <c r="Y95" s="155"/>
      <c r="Z95" s="155"/>
      <c r="AA95" s="378"/>
    </row>
    <row r="96" spans="2:43" ht="15" hidden="1" customHeight="1">
      <c r="Q96" s="155"/>
      <c r="R96" s="155"/>
      <c r="S96" s="155"/>
      <c r="T96" s="155"/>
      <c r="U96" s="155"/>
      <c r="V96" s="155"/>
      <c r="W96" s="155"/>
      <c r="X96" s="383"/>
      <c r="Y96" s="155"/>
      <c r="Z96" s="155"/>
      <c r="AA96" s="378"/>
    </row>
    <row r="97" spans="16:27" ht="15" hidden="1" customHeight="1">
      <c r="Q97" s="155"/>
      <c r="R97" s="155"/>
      <c r="S97" s="155"/>
      <c r="T97" s="155"/>
      <c r="U97" s="155"/>
      <c r="V97" s="155"/>
      <c r="W97" s="155"/>
      <c r="X97" s="383"/>
      <c r="Y97" s="155"/>
      <c r="Z97" s="155"/>
      <c r="AA97" s="378"/>
    </row>
    <row r="98" spans="16:27" ht="15" hidden="1" customHeight="1">
      <c r="Q98" s="155"/>
      <c r="R98" s="155"/>
      <c r="S98" s="155"/>
      <c r="T98" s="155"/>
      <c r="U98" s="155"/>
      <c r="V98" s="155"/>
      <c r="W98" s="155"/>
      <c r="X98" s="383"/>
      <c r="Y98" s="155"/>
      <c r="Z98" s="155"/>
      <c r="AA98" s="378"/>
    </row>
    <row r="99" spans="16:27" ht="15" hidden="1" customHeight="1">
      <c r="Q99" s="155"/>
      <c r="R99" s="155"/>
      <c r="S99" s="155"/>
      <c r="T99" s="155"/>
      <c r="U99" s="155"/>
      <c r="V99" s="155"/>
      <c r="W99" s="155"/>
      <c r="X99" s="383"/>
      <c r="Y99" s="155"/>
      <c r="Z99" s="155"/>
      <c r="AA99" s="378"/>
    </row>
    <row r="100" spans="16:27" ht="15" hidden="1" customHeight="1">
      <c r="Q100" s="155"/>
      <c r="R100" s="155"/>
      <c r="S100" s="155"/>
      <c r="T100" s="155"/>
      <c r="U100" s="155"/>
      <c r="V100" s="155"/>
      <c r="W100" s="155"/>
      <c r="X100" s="383"/>
      <c r="Y100" s="155"/>
      <c r="Z100" s="155"/>
      <c r="AA100" s="378"/>
    </row>
    <row r="101" spans="16:27" ht="15" hidden="1" customHeight="1">
      <c r="Q101" s="155"/>
      <c r="R101" s="155"/>
      <c r="S101" s="155"/>
      <c r="T101" s="155"/>
      <c r="U101" s="155"/>
      <c r="V101" s="155"/>
      <c r="W101" s="155"/>
      <c r="X101" s="383"/>
      <c r="Y101" s="155"/>
      <c r="Z101" s="155"/>
      <c r="AA101" s="378"/>
    </row>
    <row r="102" spans="16:27" s="378" customFormat="1" ht="15" hidden="1" customHeight="1">
      <c r="P102"/>
      <c r="Q102" s="155"/>
      <c r="R102" s="155"/>
      <c r="S102" s="155"/>
      <c r="T102" s="155"/>
      <c r="U102" s="155"/>
      <c r="V102" s="155"/>
      <c r="W102" s="155"/>
      <c r="X102" s="383"/>
      <c r="Y102" s="155"/>
      <c r="Z102" s="155"/>
    </row>
    <row r="103" spans="16:27" s="378" customFormat="1" ht="15" hidden="1" customHeight="1">
      <c r="P103"/>
      <c r="Q103" s="155"/>
      <c r="R103" s="155"/>
      <c r="S103" s="155"/>
      <c r="T103" s="155"/>
      <c r="U103" s="155"/>
      <c r="V103" s="155"/>
      <c r="W103" s="155"/>
      <c r="X103" s="383"/>
      <c r="Y103" s="155"/>
      <c r="Z103" s="155"/>
    </row>
    <row r="104" spans="16:27" s="378" customFormat="1" ht="15" hidden="1" customHeight="1">
      <c r="P104"/>
      <c r="Q104" s="155"/>
      <c r="R104" s="155"/>
      <c r="S104" s="155"/>
      <c r="T104" s="155"/>
      <c r="U104" s="155"/>
      <c r="V104" s="155"/>
      <c r="W104" s="155"/>
      <c r="X104" s="383"/>
      <c r="Y104" s="155"/>
      <c r="Z104" s="155"/>
    </row>
    <row r="105" spans="16:27" s="378" customFormat="1" ht="15" hidden="1" customHeight="1">
      <c r="P105"/>
      <c r="Q105" s="155"/>
      <c r="R105" s="155"/>
      <c r="S105" s="155"/>
      <c r="T105" s="155"/>
      <c r="U105" s="155"/>
      <c r="V105" s="155"/>
      <c r="W105" s="155"/>
      <c r="X105" s="383"/>
      <c r="Y105" s="155"/>
      <c r="Z105" s="155"/>
    </row>
    <row r="106" spans="16:27" s="378" customFormat="1" ht="15" hidden="1" customHeight="1">
      <c r="P106"/>
      <c r="Q106" s="155"/>
      <c r="R106" s="155"/>
      <c r="S106" s="155"/>
      <c r="T106" s="155"/>
      <c r="U106" s="155"/>
      <c r="V106" s="155"/>
      <c r="W106" s="155"/>
      <c r="X106" s="383"/>
      <c r="Y106" s="155"/>
      <c r="Z106" s="155"/>
    </row>
    <row r="107" spans="16:27" s="378" customFormat="1" ht="15" hidden="1" customHeight="1">
      <c r="P107"/>
      <c r="Q107"/>
      <c r="R107"/>
      <c r="S107"/>
    </row>
    <row r="108" spans="16:27" s="378" customFormat="1" ht="15" hidden="1" customHeight="1">
      <c r="P108"/>
      <c r="Q108"/>
      <c r="R108"/>
      <c r="S108"/>
    </row>
    <row r="109" spans="16:27" s="378" customFormat="1" ht="15" hidden="1" customHeight="1">
      <c r="P109"/>
      <c r="Q109"/>
      <c r="R109"/>
      <c r="S109"/>
    </row>
    <row r="110" spans="16:27" s="378" customFormat="1" ht="15" hidden="1" customHeight="1">
      <c r="P110"/>
      <c r="Q110"/>
      <c r="R110"/>
      <c r="S110"/>
    </row>
    <row r="111" spans="16:27" s="378" customFormat="1" ht="15" hidden="1" customHeight="1">
      <c r="P111"/>
      <c r="Q111"/>
      <c r="R111"/>
      <c r="S111"/>
    </row>
    <row r="112" spans="16:27" s="378" customFormat="1" ht="15" hidden="1" customHeight="1">
      <c r="P112"/>
      <c r="Q112"/>
      <c r="R112"/>
      <c r="S112"/>
    </row>
    <row r="113" spans="16:19" s="378" customFormat="1" ht="15" hidden="1" customHeight="1">
      <c r="P113"/>
      <c r="Q113"/>
      <c r="R113"/>
      <c r="S113"/>
    </row>
    <row r="114" spans="16:19" s="378" customFormat="1" ht="15" hidden="1" customHeight="1">
      <c r="P114"/>
      <c r="Q114"/>
      <c r="R114"/>
      <c r="S114"/>
    </row>
    <row r="115" spans="16:19" s="378" customFormat="1" ht="15" hidden="1" customHeight="1">
      <c r="P115"/>
      <c r="Q115"/>
      <c r="R115"/>
      <c r="S115"/>
    </row>
    <row r="116" spans="16:19" s="378" customFormat="1" ht="15" hidden="1" customHeight="1">
      <c r="P116"/>
      <c r="Q116"/>
      <c r="R116"/>
      <c r="S116"/>
    </row>
    <row r="117" spans="16:19" s="378" customFormat="1" ht="15" hidden="1" customHeight="1">
      <c r="P117"/>
      <c r="Q117"/>
      <c r="R117"/>
      <c r="S117"/>
    </row>
    <row r="118" spans="16:19" s="378" customFormat="1" ht="15" hidden="1" customHeight="1">
      <c r="P118"/>
      <c r="Q118"/>
      <c r="R118"/>
      <c r="S118"/>
    </row>
    <row r="119" spans="16:19" s="378" customFormat="1" ht="15" hidden="1" customHeight="1">
      <c r="P119"/>
      <c r="Q119"/>
      <c r="R119"/>
      <c r="S119"/>
    </row>
    <row r="120" spans="16:19" s="378" customFormat="1" ht="15" hidden="1" customHeight="1">
      <c r="P120"/>
      <c r="Q120"/>
      <c r="R120"/>
      <c r="S120"/>
    </row>
    <row r="121" spans="16:19" s="378" customFormat="1" ht="15" hidden="1" customHeight="1">
      <c r="P121"/>
      <c r="Q121"/>
      <c r="R121"/>
      <c r="S121"/>
    </row>
    <row r="122" spans="16:19" s="378" customFormat="1" ht="15" hidden="1" customHeight="1">
      <c r="P122"/>
      <c r="Q122"/>
      <c r="R122"/>
      <c r="S122"/>
    </row>
    <row r="123" spans="16:19" s="378" customFormat="1" ht="15" hidden="1" customHeight="1">
      <c r="P123"/>
      <c r="Q123"/>
      <c r="R123"/>
      <c r="S123"/>
    </row>
    <row r="124" spans="16:19" s="378" customFormat="1" ht="15" hidden="1" customHeight="1">
      <c r="P124"/>
      <c r="Q124"/>
      <c r="R124"/>
      <c r="S124"/>
    </row>
    <row r="125" spans="16:19" s="378" customFormat="1" ht="15" hidden="1" customHeight="1">
      <c r="P125"/>
      <c r="Q125"/>
      <c r="R125"/>
      <c r="S125"/>
    </row>
    <row r="126" spans="16:19" s="378" customFormat="1" ht="15" hidden="1" customHeight="1">
      <c r="P126"/>
      <c r="Q126"/>
      <c r="R126"/>
      <c r="S126"/>
    </row>
    <row r="127" spans="16:19" s="378" customFormat="1" ht="15" hidden="1" customHeight="1">
      <c r="P127"/>
      <c r="Q127"/>
      <c r="R127"/>
      <c r="S127"/>
    </row>
    <row r="128" spans="16:19" s="378" customFormat="1" ht="15" hidden="1" customHeight="1">
      <c r="P128"/>
      <c r="Q128"/>
      <c r="R128"/>
      <c r="S128"/>
    </row>
    <row r="129" spans="5:19" s="378" customFormat="1" ht="15" hidden="1" customHeight="1">
      <c r="P129"/>
      <c r="Q129"/>
      <c r="R129"/>
      <c r="S129"/>
    </row>
    <row r="130" spans="5:19" s="378" customFormat="1" ht="15" hidden="1" customHeight="1">
      <c r="P130"/>
      <c r="Q130"/>
      <c r="R130"/>
      <c r="S130"/>
    </row>
    <row r="131" spans="5:19" s="378" customFormat="1" ht="15" hidden="1" customHeight="1">
      <c r="P131"/>
      <c r="Q131"/>
      <c r="R131"/>
      <c r="S131"/>
    </row>
    <row r="132" spans="5:19" s="378" customFormat="1" ht="15" hidden="1" customHeight="1">
      <c r="P132"/>
      <c r="Q132"/>
      <c r="R132"/>
      <c r="S132"/>
    </row>
    <row r="133" spans="5:19" s="378" customFormat="1" ht="15" hidden="1" customHeight="1">
      <c r="P133"/>
      <c r="Q133"/>
      <c r="R133"/>
      <c r="S133"/>
    </row>
    <row r="134" spans="5:19" s="378" customFormat="1" ht="15" hidden="1" customHeight="1">
      <c r="P134"/>
      <c r="Q134"/>
      <c r="R134"/>
      <c r="S134"/>
    </row>
    <row r="135" spans="5:19" s="378" customFormat="1" ht="15" hidden="1" customHeight="1">
      <c r="P135"/>
      <c r="Q135"/>
      <c r="R135"/>
      <c r="S135"/>
    </row>
    <row r="136" spans="5:19" s="378" customFormat="1" ht="15" hidden="1" customHeight="1">
      <c r="P136"/>
      <c r="Q136"/>
      <c r="R136"/>
      <c r="S136"/>
    </row>
    <row r="137" spans="5:19" s="378" customFormat="1" ht="15" hidden="1" customHeight="1">
      <c r="P137"/>
      <c r="Q137"/>
      <c r="R137"/>
      <c r="S137"/>
    </row>
    <row r="138" spans="5:19" s="378" customFormat="1" ht="15" hidden="1" customHeight="1">
      <c r="P138"/>
      <c r="Q138"/>
      <c r="R138"/>
      <c r="S138"/>
    </row>
    <row r="139" spans="5:19" s="378" customFormat="1" ht="15" hidden="1" customHeight="1">
      <c r="P139"/>
      <c r="Q139"/>
      <c r="R139"/>
      <c r="S139"/>
    </row>
    <row r="140" spans="5:19" s="378" customFormat="1" ht="15" hidden="1" customHeight="1">
      <c r="P140"/>
      <c r="Q140"/>
      <c r="R140"/>
      <c r="S140"/>
    </row>
    <row r="141" spans="5:19" s="378" customFormat="1" ht="15" hidden="1" customHeight="1">
      <c r="P141"/>
      <c r="Q141"/>
      <c r="R141"/>
      <c r="S141"/>
    </row>
    <row r="142" spans="5:19" ht="15" hidden="1" customHeight="1">
      <c r="E142" s="378"/>
      <c r="F142" s="378"/>
      <c r="G142" s="378"/>
      <c r="H142" s="378"/>
      <c r="I142" s="378"/>
      <c r="J142" s="378"/>
      <c r="K142" s="378"/>
      <c r="L142" s="378"/>
      <c r="M142" s="378"/>
      <c r="N142" s="378"/>
      <c r="O142" s="378"/>
    </row>
    <row r="143" spans="5:19" ht="15" hidden="1" customHeight="1">
      <c r="E143" s="378"/>
      <c r="F143" s="378"/>
      <c r="G143" s="378"/>
      <c r="H143" s="378"/>
      <c r="I143" s="378"/>
      <c r="J143" s="378"/>
      <c r="K143" s="378"/>
      <c r="L143" s="378"/>
      <c r="M143" s="378"/>
      <c r="N143" s="378"/>
      <c r="O143" s="378"/>
    </row>
    <row r="144" spans="5:19" ht="15" hidden="1" customHeight="1">
      <c r="E144" s="378"/>
      <c r="F144" s="378"/>
      <c r="G144" s="378"/>
      <c r="H144" s="378"/>
      <c r="I144" s="378"/>
      <c r="J144" s="378"/>
      <c r="K144" s="378"/>
      <c r="L144" s="378"/>
      <c r="M144" s="378"/>
      <c r="N144" s="378"/>
      <c r="O144" s="378"/>
    </row>
    <row r="145" spans="5:19" ht="15" hidden="1" customHeight="1">
      <c r="E145" s="378"/>
      <c r="F145" s="378"/>
      <c r="G145" s="378"/>
      <c r="H145" s="378"/>
      <c r="I145" s="378"/>
      <c r="J145" s="378"/>
      <c r="K145" s="378"/>
      <c r="L145" s="378"/>
      <c r="M145" s="378"/>
      <c r="N145" s="378"/>
      <c r="O145" s="378"/>
    </row>
    <row r="146" spans="5:19" ht="15" hidden="1" customHeight="1">
      <c r="E146" s="378"/>
      <c r="F146" s="378"/>
      <c r="G146" s="378"/>
      <c r="H146" s="378"/>
      <c r="I146" s="378"/>
      <c r="J146" s="378"/>
      <c r="K146" s="378"/>
      <c r="L146" s="378"/>
      <c r="M146" s="378"/>
      <c r="N146" s="378"/>
      <c r="O146" s="378"/>
    </row>
    <row r="147" spans="5:19" ht="15" hidden="1" customHeight="1">
      <c r="E147" s="378"/>
      <c r="F147" s="378"/>
      <c r="G147" s="378"/>
      <c r="H147" s="378"/>
      <c r="I147" s="378"/>
      <c r="J147" s="378"/>
      <c r="K147" s="378"/>
      <c r="L147" s="378"/>
      <c r="M147" s="378"/>
      <c r="N147" s="378"/>
      <c r="O147" s="378"/>
    </row>
    <row r="148" spans="5:19" ht="15" hidden="1" customHeight="1">
      <c r="E148" s="378"/>
      <c r="F148" s="378"/>
      <c r="G148" s="378"/>
      <c r="H148" s="378"/>
      <c r="I148" s="378"/>
      <c r="J148" s="378"/>
      <c r="K148" s="378"/>
      <c r="L148" s="378"/>
      <c r="M148" s="378"/>
      <c r="N148" s="378"/>
      <c r="O148" s="378"/>
    </row>
    <row r="149" spans="5:19" s="378" customFormat="1" ht="15" hidden="1" customHeight="1">
      <c r="P149"/>
      <c r="Q149"/>
      <c r="R149"/>
      <c r="S149"/>
    </row>
    <row r="150" spans="5:19" ht="15" hidden="1" customHeight="1">
      <c r="E150" s="378"/>
      <c r="F150" s="378"/>
      <c r="G150" s="378"/>
      <c r="H150" s="378"/>
      <c r="I150" s="378"/>
      <c r="J150" s="378"/>
      <c r="K150" s="378"/>
      <c r="L150" s="378"/>
      <c r="M150" s="378"/>
      <c r="N150" s="378"/>
      <c r="O150" s="378"/>
    </row>
    <row r="151" spans="5:19" ht="15" hidden="1" customHeight="1">
      <c r="E151" s="378"/>
      <c r="F151" s="378"/>
      <c r="G151" s="378"/>
      <c r="H151" s="378"/>
      <c r="I151" s="378"/>
      <c r="J151" s="378"/>
      <c r="K151" s="378"/>
      <c r="L151" s="378"/>
      <c r="M151" s="378"/>
      <c r="N151" s="378"/>
      <c r="O151" s="378"/>
    </row>
    <row r="152" spans="5:19" ht="15" hidden="1" customHeight="1">
      <c r="E152" s="378"/>
      <c r="F152" s="378"/>
      <c r="G152" s="378"/>
      <c r="H152" s="378"/>
      <c r="I152" s="378"/>
      <c r="J152" s="378"/>
      <c r="K152" s="378"/>
      <c r="L152" s="378"/>
      <c r="M152" s="378"/>
      <c r="N152" s="378"/>
      <c r="O152" s="378"/>
    </row>
    <row r="153" spans="5:19" ht="15" hidden="1" customHeight="1">
      <c r="E153" s="378"/>
      <c r="F153" s="378"/>
      <c r="G153" s="378"/>
      <c r="H153" s="378"/>
      <c r="I153" s="378"/>
      <c r="J153" s="378"/>
      <c r="K153" s="378"/>
      <c r="L153" s="378"/>
      <c r="M153" s="378"/>
      <c r="N153" s="378"/>
      <c r="O153" s="378"/>
    </row>
    <row r="154" spans="5:19" ht="15" hidden="1" customHeight="1">
      <c r="E154" s="378"/>
      <c r="F154" s="378"/>
      <c r="G154" s="378"/>
      <c r="H154" s="378"/>
      <c r="I154" s="378"/>
      <c r="J154" s="378"/>
      <c r="K154" s="378"/>
      <c r="L154" s="378"/>
      <c r="M154" s="378"/>
      <c r="N154" s="378"/>
      <c r="O154" s="378"/>
    </row>
    <row r="155" spans="5:19" ht="15" hidden="1" customHeight="1">
      <c r="E155" s="378"/>
      <c r="F155" s="378"/>
      <c r="G155" s="378"/>
      <c r="H155" s="378"/>
      <c r="I155" s="378"/>
      <c r="J155" s="378"/>
      <c r="K155" s="378"/>
      <c r="L155" s="378"/>
      <c r="M155" s="378"/>
      <c r="N155" s="378"/>
      <c r="O155" s="378"/>
    </row>
    <row r="156" spans="5:19" ht="15" hidden="1" customHeight="1">
      <c r="E156" s="378"/>
      <c r="F156" s="378"/>
      <c r="G156" s="378"/>
      <c r="H156" s="378"/>
      <c r="I156" s="378"/>
      <c r="J156" s="378"/>
      <c r="K156" s="378"/>
      <c r="L156" s="378"/>
      <c r="M156" s="378"/>
      <c r="N156" s="378"/>
      <c r="O156" s="378"/>
    </row>
    <row r="157" spans="5:19" ht="15" hidden="1" customHeight="1">
      <c r="E157" s="378"/>
      <c r="F157" s="378"/>
      <c r="G157" s="378"/>
      <c r="H157" s="378"/>
      <c r="I157" s="378"/>
      <c r="J157" s="378"/>
      <c r="K157" s="378"/>
      <c r="L157" s="378"/>
      <c r="M157" s="378"/>
      <c r="N157" s="378"/>
      <c r="O157" s="378"/>
    </row>
    <row r="158" spans="5:19" ht="15" hidden="1" customHeight="1">
      <c r="E158" s="378"/>
      <c r="F158" s="378"/>
      <c r="G158" s="378"/>
      <c r="H158" s="378"/>
      <c r="I158" s="378"/>
      <c r="J158" s="378"/>
      <c r="K158" s="378"/>
      <c r="L158" s="378"/>
      <c r="M158" s="378"/>
      <c r="N158" s="378"/>
      <c r="O158" s="378"/>
    </row>
    <row r="159" spans="5:19" ht="15" hidden="1" customHeight="1">
      <c r="E159" s="378"/>
    </row>
    <row r="160" spans="5:19"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sheetData>
  <pageMargins left="0.23622047244094491" right="0.23622047244094491" top="0.74803149606299213" bottom="0.74803149606299213" header="0.31496062992125984" footer="0.31496062992125984"/>
  <pageSetup paperSize="8" scale="55"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24961" r:id="rId4" name="Drop Down 1">
              <controlPr defaultSize="0" autoLine="0" autoPict="0">
                <anchor moveWithCells="1">
                  <from>
                    <xdr:col>7</xdr:col>
                    <xdr:colOff>142875</xdr:colOff>
                    <xdr:row>9</xdr:row>
                    <xdr:rowOff>0</xdr:rowOff>
                  </from>
                  <to>
                    <xdr:col>9</xdr:col>
                    <xdr:colOff>657225</xdr:colOff>
                    <xdr:row>9</xdr:row>
                    <xdr:rowOff>161925</xdr:rowOff>
                  </to>
                </anchor>
              </controlPr>
            </control>
          </mc:Choice>
        </mc:AlternateContent>
        <mc:AlternateContent xmlns:mc="http://schemas.openxmlformats.org/markup-compatibility/2006">
          <mc:Choice Requires="x14">
            <control shapeId="425191" r:id="rId5" name="Drop Down 231">
              <controlPr defaultSize="0" autoLine="0" autoPict="0">
                <anchor moveWithCells="1">
                  <from>
                    <xdr:col>4</xdr:col>
                    <xdr:colOff>771525</xdr:colOff>
                    <xdr:row>0</xdr:row>
                    <xdr:rowOff>123825</xdr:rowOff>
                  </from>
                  <to>
                    <xdr:col>4</xdr:col>
                    <xdr:colOff>3209925</xdr:colOff>
                    <xdr:row>0</xdr:row>
                    <xdr:rowOff>295275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theme="6"/>
    <pageSetUpPr autoPageBreaks="0" fitToPage="1"/>
  </sheetPr>
  <dimension ref="A1:AQ1114"/>
  <sheetViews>
    <sheetView tabSelected="1" zoomScale="70" zoomScaleNormal="70" workbookViewId="0">
      <pane ySplit="1" topLeftCell="A106" activePane="bottomLeft" state="frozen"/>
      <selection activeCell="N881" sqref="N881"/>
      <selection pane="bottomLeft" activeCell="I142" sqref="I142"/>
    </sheetView>
  </sheetViews>
  <sheetFormatPr defaultColWidth="0" defaultRowHeight="15" customHeight="1" zeroHeight="1"/>
  <cols>
    <col min="1" max="3" width="1.625" style="351" customWidth="1"/>
    <col min="4" max="4" width="2.625" style="351" customWidth="1"/>
    <col min="5" max="5" width="40.625" style="351" customWidth="1"/>
    <col min="6" max="15" width="12.625" style="351" customWidth="1"/>
    <col min="16" max="16" width="3.125" style="351" customWidth="1"/>
    <col min="17" max="17" width="26.875" style="351" hidden="1" customWidth="1"/>
    <col min="18" max="34" width="12.625" style="351" hidden="1" customWidth="1"/>
    <col min="35" max="16384" width="9" style="351" hidden="1"/>
  </cols>
  <sheetData>
    <row r="1" spans="1:17" s="347" customFormat="1" ht="19.5">
      <c r="A1" s="346" t="s">
        <v>242</v>
      </c>
      <c r="B1" s="346"/>
      <c r="C1" s="346"/>
    </row>
    <row r="2" spans="1:17" s="258" customFormat="1" ht="15" customHeight="1">
      <c r="A2" s="190"/>
      <c r="B2" s="190"/>
      <c r="G2" s="190"/>
      <c r="Q2" s="348"/>
    </row>
    <row r="3" spans="1:17" s="204" customFormat="1" ht="15" customHeight="1">
      <c r="A3" s="190"/>
      <c r="B3" s="294" t="s">
        <v>300</v>
      </c>
      <c r="C3" s="294"/>
      <c r="D3" s="294"/>
      <c r="E3" s="294"/>
      <c r="F3" s="294"/>
      <c r="G3" s="294"/>
      <c r="H3" s="294"/>
      <c r="I3" s="294"/>
      <c r="J3" s="294"/>
      <c r="K3" s="294"/>
      <c r="L3" s="294"/>
      <c r="M3" s="294"/>
      <c r="N3" s="294"/>
      <c r="O3" s="294"/>
      <c r="Q3" s="349"/>
    </row>
    <row r="4" spans="1:17" s="204" customFormat="1" ht="15" customHeight="1">
      <c r="A4" s="190"/>
      <c r="B4" s="192" t="s">
        <v>388</v>
      </c>
      <c r="C4" s="192"/>
      <c r="D4" s="192"/>
      <c r="E4" s="192"/>
      <c r="F4" s="192"/>
      <c r="G4" s="192"/>
      <c r="H4" s="192"/>
      <c r="I4" s="192"/>
      <c r="J4" s="192"/>
      <c r="K4" s="192"/>
      <c r="L4" s="192"/>
      <c r="M4" s="192"/>
      <c r="N4" s="192"/>
      <c r="O4" s="192"/>
      <c r="Q4" s="349"/>
    </row>
    <row r="5" spans="1:17" s="204" customFormat="1" ht="15" customHeight="1">
      <c r="A5" s="190"/>
      <c r="B5" s="192" t="s">
        <v>301</v>
      </c>
      <c r="C5" s="192"/>
      <c r="D5" s="192"/>
      <c r="E5" s="192"/>
      <c r="F5" s="192"/>
      <c r="G5" s="192"/>
      <c r="H5" s="192"/>
      <c r="I5" s="192"/>
      <c r="J5" s="192"/>
      <c r="K5" s="192"/>
      <c r="L5" s="192"/>
      <c r="M5" s="192"/>
      <c r="N5" s="192"/>
      <c r="O5" s="192"/>
      <c r="Q5" s="349"/>
    </row>
    <row r="6" spans="1:17" s="204" customFormat="1" ht="30" customHeight="1">
      <c r="A6" s="190"/>
      <c r="B6" s="443" t="s">
        <v>389</v>
      </c>
      <c r="C6" s="443"/>
      <c r="D6" s="443"/>
      <c r="E6" s="443"/>
      <c r="F6" s="443"/>
      <c r="G6" s="443"/>
      <c r="H6" s="443"/>
      <c r="I6" s="443"/>
      <c r="J6" s="443"/>
      <c r="K6" s="443"/>
      <c r="L6" s="443"/>
      <c r="M6" s="443"/>
      <c r="N6" s="443"/>
      <c r="O6" s="443"/>
      <c r="Q6" s="349"/>
    </row>
    <row r="7" spans="1:17" s="204" customFormat="1" ht="15" customHeight="1">
      <c r="A7" s="190"/>
      <c r="B7" s="190"/>
      <c r="G7" s="71"/>
      <c r="Q7" s="349"/>
    </row>
    <row r="8" spans="1:17" s="204" customFormat="1" ht="15" customHeight="1">
      <c r="A8" s="190"/>
      <c r="B8" s="190"/>
      <c r="E8" s="350" t="str">
        <f>UserInterface!E43</f>
        <v>ENWL</v>
      </c>
      <c r="F8" s="350" t="str">
        <f>UserInterface!E50</f>
        <v>LPN</v>
      </c>
      <c r="G8" s="71"/>
      <c r="Q8" s="349"/>
    </row>
    <row r="9" spans="1:17" s="204" customFormat="1" ht="15" customHeight="1">
      <c r="A9" s="190"/>
      <c r="B9" s="190"/>
      <c r="E9" s="350" t="str">
        <f>UserInterface!E44</f>
        <v>NPgN</v>
      </c>
      <c r="F9" s="350" t="str">
        <f>UserInterface!E51</f>
        <v>SPN</v>
      </c>
      <c r="G9" s="71"/>
      <c r="Q9" s="349"/>
    </row>
    <row r="10" spans="1:17" s="204" customFormat="1" ht="15" customHeight="1">
      <c r="A10" s="190"/>
      <c r="B10" s="190"/>
      <c r="E10" s="350" t="str">
        <f>UserInterface!E45</f>
        <v>NPgY</v>
      </c>
      <c r="F10" s="350" t="str">
        <f>UserInterface!E52</f>
        <v>EPN</v>
      </c>
      <c r="G10" s="71"/>
      <c r="Q10" s="349"/>
    </row>
    <row r="11" spans="1:17" s="204" customFormat="1" ht="15" customHeight="1">
      <c r="A11" s="190"/>
      <c r="B11" s="190"/>
      <c r="E11" s="379"/>
      <c r="F11" s="350" t="str">
        <f>UserInterface!E53</f>
        <v>SPD</v>
      </c>
      <c r="G11" s="71"/>
      <c r="Q11" s="349"/>
    </row>
    <row r="12" spans="1:17" s="204" customFormat="1" ht="15" customHeight="1">
      <c r="A12" s="190"/>
      <c r="B12" s="190"/>
      <c r="E12" s="379"/>
      <c r="F12" s="350" t="str">
        <f>UserInterface!E54</f>
        <v>SPMW</v>
      </c>
      <c r="G12" s="71"/>
      <c r="Q12" s="349"/>
    </row>
    <row r="13" spans="1:17" s="204" customFormat="1" ht="15" customHeight="1">
      <c r="A13" s="190"/>
      <c r="B13" s="190"/>
      <c r="E13" s="379"/>
      <c r="F13" s="350" t="str">
        <f>UserInterface!E55</f>
        <v>SSEH</v>
      </c>
      <c r="G13" s="71"/>
      <c r="Q13" s="349"/>
    </row>
    <row r="14" spans="1:17" s="204" customFormat="1" ht="15" customHeight="1">
      <c r="A14" s="190"/>
      <c r="B14" s="190"/>
      <c r="E14" s="379"/>
      <c r="F14" s="350" t="str">
        <f>UserInterface!E56</f>
        <v>SSES</v>
      </c>
      <c r="G14" s="71"/>
      <c r="Q14" s="349"/>
    </row>
    <row r="15" spans="1:17" s="204" customFormat="1" ht="15" customHeight="1">
      <c r="A15" s="190"/>
      <c r="B15" s="190"/>
      <c r="F15" s="350"/>
      <c r="G15" s="71"/>
      <c r="H15" s="379"/>
      <c r="I15" s="379"/>
      <c r="J15" s="379"/>
      <c r="K15" s="379"/>
      <c r="Q15" s="349"/>
    </row>
    <row r="16" spans="1:17" s="204" customFormat="1" ht="15" customHeight="1">
      <c r="A16" s="190"/>
      <c r="B16" s="190"/>
      <c r="E16" s="350"/>
      <c r="G16" s="71"/>
      <c r="Q16" s="349"/>
    </row>
    <row r="17" spans="1:17" s="204" customFormat="1" ht="15" customHeight="1">
      <c r="A17" s="190"/>
      <c r="B17" s="294" t="s">
        <v>302</v>
      </c>
      <c r="C17" s="294"/>
      <c r="D17" s="294"/>
      <c r="E17" s="294"/>
      <c r="F17" s="294"/>
      <c r="G17" s="294"/>
      <c r="H17" s="294"/>
      <c r="I17" s="294"/>
      <c r="J17" s="294"/>
      <c r="K17" s="294"/>
      <c r="L17" s="294"/>
      <c r="M17" s="294"/>
      <c r="N17" s="294"/>
      <c r="O17" s="294"/>
      <c r="Q17" s="349"/>
    </row>
    <row r="18" spans="1:17" s="204" customFormat="1" ht="15" customHeight="1">
      <c r="A18" s="190"/>
      <c r="B18" s="190"/>
      <c r="G18" s="71"/>
      <c r="Q18" s="349"/>
    </row>
    <row r="19" spans="1:17" ht="15" customHeight="1">
      <c r="A19" s="190"/>
      <c r="B19" s="190"/>
      <c r="C19" s="380" t="s">
        <v>804</v>
      </c>
      <c r="D19" s="380"/>
      <c r="E19" s="380"/>
      <c r="F19" s="380"/>
      <c r="G19" s="380"/>
      <c r="H19" s="380"/>
      <c r="I19" s="380"/>
      <c r="J19" s="380"/>
      <c r="K19" s="380"/>
      <c r="L19" s="380"/>
      <c r="M19" s="380"/>
      <c r="N19" s="380"/>
      <c r="O19" s="380"/>
      <c r="P19" s="204"/>
    </row>
    <row r="20" spans="1:17" ht="15" customHeight="1">
      <c r="C20" s="379"/>
      <c r="D20" s="379"/>
      <c r="E20" s="379"/>
      <c r="F20" s="379"/>
      <c r="G20" s="379"/>
      <c r="H20" s="379"/>
      <c r="I20" s="379"/>
      <c r="J20" s="379"/>
      <c r="K20" s="379"/>
      <c r="L20" s="379"/>
      <c r="M20" s="379"/>
      <c r="N20" s="379"/>
      <c r="O20" s="379"/>
      <c r="P20" s="204"/>
    </row>
    <row r="21" spans="1:17" s="245" customFormat="1" ht="15" customHeight="1">
      <c r="C21" s="379"/>
      <c r="D21" s="376"/>
      <c r="E21" s="376"/>
      <c r="F21" s="377"/>
      <c r="G21" s="377"/>
      <c r="H21" s="377"/>
      <c r="I21" s="377"/>
      <c r="J21" s="377"/>
      <c r="K21" s="377"/>
      <c r="L21" s="377"/>
      <c r="M21" s="377"/>
      <c r="N21" s="376"/>
      <c r="O21" s="376"/>
      <c r="P21" s="190"/>
    </row>
    <row r="22" spans="1:17" s="245" customFormat="1" ht="15" customHeight="1">
      <c r="C22" s="379"/>
      <c r="D22" s="376"/>
      <c r="E22" s="381" t="s">
        <v>56</v>
      </c>
      <c r="F22" s="381" t="s">
        <v>234</v>
      </c>
      <c r="G22" s="377"/>
      <c r="H22" s="381" t="s">
        <v>37</v>
      </c>
      <c r="I22" s="377"/>
      <c r="J22" s="377"/>
      <c r="K22" s="377"/>
      <c r="L22" s="377"/>
      <c r="M22" s="377"/>
      <c r="N22" s="376"/>
      <c r="O22" s="376"/>
      <c r="P22" s="190"/>
    </row>
    <row r="23" spans="1:17" s="245" customFormat="1" ht="15" customHeight="1">
      <c r="C23" s="379"/>
      <c r="D23" s="118"/>
      <c r="E23" s="118" t="s">
        <v>507</v>
      </c>
      <c r="F23" s="345">
        <v>42460</v>
      </c>
      <c r="G23" s="119"/>
      <c r="H23" s="118" t="s">
        <v>851</v>
      </c>
      <c r="I23" s="119"/>
      <c r="J23" s="119"/>
      <c r="K23" s="119"/>
      <c r="L23" s="119"/>
      <c r="M23" s="119"/>
      <c r="N23" s="118"/>
      <c r="O23" s="118"/>
      <c r="P23" s="190"/>
    </row>
    <row r="24" spans="1:17" s="245" customFormat="1" ht="15" customHeight="1" thickBot="1">
      <c r="C24" s="379"/>
      <c r="D24" s="379"/>
      <c r="E24" s="379"/>
      <c r="F24" s="430"/>
      <c r="G24" s="430"/>
      <c r="H24" s="430"/>
      <c r="I24" s="430"/>
      <c r="J24" s="430"/>
      <c r="K24" s="430"/>
      <c r="L24" s="430"/>
      <c r="M24" s="430"/>
      <c r="N24" s="379"/>
      <c r="O24" s="379"/>
      <c r="P24" s="190"/>
    </row>
    <row r="25" spans="1:17" s="245" customFormat="1" ht="15" customHeight="1">
      <c r="C25" s="379"/>
      <c r="D25" s="120"/>
      <c r="E25" s="189" t="s">
        <v>231</v>
      </c>
      <c r="F25" s="181">
        <v>42460</v>
      </c>
      <c r="G25" s="182">
        <v>42825</v>
      </c>
      <c r="H25" s="182">
        <v>43190</v>
      </c>
      <c r="I25" s="182">
        <v>43555</v>
      </c>
      <c r="J25" s="182">
        <v>43921</v>
      </c>
      <c r="K25" s="182">
        <v>44286</v>
      </c>
      <c r="L25" s="182">
        <v>44651</v>
      </c>
      <c r="M25" s="183">
        <v>45016</v>
      </c>
      <c r="N25" s="243" t="s">
        <v>83</v>
      </c>
      <c r="O25" s="184" t="s">
        <v>84</v>
      </c>
      <c r="P25" s="190"/>
    </row>
    <row r="26" spans="1:17" s="245" customFormat="1" ht="15" customHeight="1">
      <c r="C26" s="379"/>
      <c r="D26" s="121"/>
      <c r="E26" s="406" t="s">
        <v>235</v>
      </c>
      <c r="F26" s="185" t="s">
        <v>728</v>
      </c>
      <c r="G26" s="186" t="s">
        <v>728</v>
      </c>
      <c r="H26" s="186" t="s">
        <v>728</v>
      </c>
      <c r="I26" s="186" t="s">
        <v>728</v>
      </c>
      <c r="J26" s="186" t="s">
        <v>728</v>
      </c>
      <c r="K26" s="186" t="s">
        <v>728</v>
      </c>
      <c r="L26" s="186" t="s">
        <v>728</v>
      </c>
      <c r="M26" s="187" t="s">
        <v>728</v>
      </c>
      <c r="N26" s="188" t="s">
        <v>728</v>
      </c>
      <c r="O26" s="188" t="s">
        <v>728</v>
      </c>
      <c r="P26" s="190"/>
    </row>
    <row r="27" spans="1:17" s="245" customFormat="1" ht="15" customHeight="1">
      <c r="C27" s="379"/>
      <c r="D27" s="122"/>
      <c r="E27" s="407" t="s">
        <v>67</v>
      </c>
      <c r="F27" s="123"/>
      <c r="G27" s="124"/>
      <c r="H27" s="124"/>
      <c r="I27" s="124"/>
      <c r="J27" s="124"/>
      <c r="K27" s="124"/>
      <c r="L27" s="124"/>
      <c r="M27" s="125"/>
      <c r="N27" s="126"/>
      <c r="O27" s="126"/>
      <c r="P27" s="190"/>
    </row>
    <row r="28" spans="1:17" s="245" customFormat="1" ht="15" customHeight="1">
      <c r="C28" s="379"/>
      <c r="D28" s="127">
        <v>1</v>
      </c>
      <c r="E28" s="406" t="s">
        <v>209</v>
      </c>
      <c r="F28" s="133">
        <v>161.06533934673385</v>
      </c>
      <c r="G28" s="134">
        <v>152.69587526730444</v>
      </c>
      <c r="H28" s="134">
        <v>152.58441684223135</v>
      </c>
      <c r="I28" s="134">
        <v>153.13910079373883</v>
      </c>
      <c r="J28" s="134">
        <v>153.20819961606801</v>
      </c>
      <c r="K28" s="134">
        <v>151.97493244487072</v>
      </c>
      <c r="L28" s="134">
        <v>157.4259921365983</v>
      </c>
      <c r="M28" s="135">
        <v>151.99166413542406</v>
      </c>
      <c r="N28" s="128">
        <v>1234.0855205829696</v>
      </c>
      <c r="O28" s="128">
        <v>154.2606900728712</v>
      </c>
      <c r="P28" s="190"/>
    </row>
    <row r="29" spans="1:17" s="245" customFormat="1" ht="15" customHeight="1">
      <c r="C29" s="379"/>
      <c r="D29" s="127">
        <v>2</v>
      </c>
      <c r="E29" s="406" t="s">
        <v>679</v>
      </c>
      <c r="F29" s="133">
        <v>75.795453810227684</v>
      </c>
      <c r="G29" s="134">
        <v>71.856882478731507</v>
      </c>
      <c r="H29" s="134">
        <v>71.804431455167673</v>
      </c>
      <c r="I29" s="134">
        <v>72.065459197053542</v>
      </c>
      <c r="J29" s="134">
        <v>72.097976289914328</v>
      </c>
      <c r="K29" s="134">
        <v>71.517615268174438</v>
      </c>
      <c r="L29" s="134">
        <v>74.082819828987425</v>
      </c>
      <c r="M29" s="135">
        <v>71.52548900490541</v>
      </c>
      <c r="N29" s="128">
        <v>580.74612733316189</v>
      </c>
      <c r="O29" s="128">
        <v>72.593265916645237</v>
      </c>
      <c r="P29" s="190"/>
    </row>
    <row r="30" spans="1:17" s="245" customFormat="1" ht="15" customHeight="1">
      <c r="C30" s="379"/>
      <c r="D30" s="127">
        <v>3</v>
      </c>
      <c r="E30" s="406" t="s">
        <v>210</v>
      </c>
      <c r="F30" s="133">
        <v>236.86079315696153</v>
      </c>
      <c r="G30" s="134">
        <v>224.55275774603595</v>
      </c>
      <c r="H30" s="134">
        <v>224.38884829739902</v>
      </c>
      <c r="I30" s="134">
        <v>225.20455999079238</v>
      </c>
      <c r="J30" s="134">
        <v>225.30617590598234</v>
      </c>
      <c r="K30" s="134">
        <v>223.49254771304516</v>
      </c>
      <c r="L30" s="134">
        <v>231.50881196558572</v>
      </c>
      <c r="M30" s="135">
        <v>223.51715314032947</v>
      </c>
      <c r="N30" s="128">
        <v>1814.8316479161313</v>
      </c>
      <c r="O30" s="128">
        <v>226.85395598951641</v>
      </c>
      <c r="P30" s="190"/>
    </row>
    <row r="31" spans="1:17" s="245" customFormat="1" ht="15" customHeight="1">
      <c r="C31" s="379"/>
      <c r="D31" s="122"/>
      <c r="E31" s="407" t="s">
        <v>15</v>
      </c>
      <c r="F31" s="123"/>
      <c r="G31" s="124"/>
      <c r="H31" s="124"/>
      <c r="I31" s="124"/>
      <c r="J31" s="124"/>
      <c r="K31" s="124"/>
      <c r="L31" s="124"/>
      <c r="M31" s="125"/>
      <c r="N31" s="126"/>
      <c r="O31" s="126"/>
      <c r="P31" s="190"/>
    </row>
    <row r="32" spans="1:17" s="245" customFormat="1" ht="15" customHeight="1">
      <c r="C32" s="379"/>
      <c r="D32" s="127">
        <v>4</v>
      </c>
      <c r="E32" s="406" t="s">
        <v>448</v>
      </c>
      <c r="F32" s="133">
        <v>1531.0214275006022</v>
      </c>
      <c r="G32" s="134">
        <v>1544.1620585952853</v>
      </c>
      <c r="H32" s="134">
        <v>1547.4685145019173</v>
      </c>
      <c r="I32" s="134">
        <v>1558.8232461953708</v>
      </c>
      <c r="J32" s="134">
        <v>1572.5407516182322</v>
      </c>
      <c r="K32" s="134">
        <v>1589.1134372388401</v>
      </c>
      <c r="L32" s="134">
        <v>1607.0438681275839</v>
      </c>
      <c r="M32" s="135">
        <v>1632.4875960931383</v>
      </c>
      <c r="N32" s="128"/>
      <c r="O32" s="128">
        <v>1572.8326124838713</v>
      </c>
      <c r="P32" s="190"/>
    </row>
    <row r="33" spans="3:17" s="245" customFormat="1" ht="15" customHeight="1">
      <c r="C33" s="379"/>
      <c r="D33" s="127">
        <v>5</v>
      </c>
      <c r="E33" s="406" t="s">
        <v>119</v>
      </c>
      <c r="F33" s="133">
        <v>0</v>
      </c>
      <c r="G33" s="134">
        <v>0</v>
      </c>
      <c r="H33" s="134">
        <v>0</v>
      </c>
      <c r="I33" s="134">
        <v>0</v>
      </c>
      <c r="J33" s="134">
        <v>0</v>
      </c>
      <c r="K33" s="134">
        <v>0</v>
      </c>
      <c r="L33" s="134">
        <v>0</v>
      </c>
      <c r="M33" s="135">
        <v>0</v>
      </c>
      <c r="N33" s="128">
        <v>0</v>
      </c>
      <c r="O33" s="128">
        <v>0</v>
      </c>
      <c r="P33" s="190"/>
    </row>
    <row r="34" spans="3:17" s="245" customFormat="1" ht="15" customHeight="1">
      <c r="C34" s="379"/>
      <c r="D34" s="127">
        <v>6</v>
      </c>
      <c r="E34" s="406" t="s">
        <v>449</v>
      </c>
      <c r="F34" s="133">
        <v>1531.0214275006022</v>
      </c>
      <c r="G34" s="134">
        <v>1544.1620585952853</v>
      </c>
      <c r="H34" s="134">
        <v>1547.4685145019173</v>
      </c>
      <c r="I34" s="134">
        <v>1558.8232461953708</v>
      </c>
      <c r="J34" s="134">
        <v>1572.5407516182322</v>
      </c>
      <c r="K34" s="134">
        <v>1589.1134372388401</v>
      </c>
      <c r="L34" s="134">
        <v>1607.0438681275839</v>
      </c>
      <c r="M34" s="135">
        <v>1632.4875960931383</v>
      </c>
      <c r="N34" s="128"/>
      <c r="O34" s="128">
        <v>1572.8326124838713</v>
      </c>
      <c r="P34" s="190"/>
    </row>
    <row r="35" spans="3:17" s="245" customFormat="1" ht="15" customHeight="1">
      <c r="C35" s="379"/>
      <c r="D35" s="127">
        <v>7</v>
      </c>
      <c r="E35" s="406" t="s">
        <v>211</v>
      </c>
      <c r="F35" s="133">
        <v>161.06533934673385</v>
      </c>
      <c r="G35" s="134">
        <v>152.69587526730444</v>
      </c>
      <c r="H35" s="134">
        <v>152.58441684223135</v>
      </c>
      <c r="I35" s="134">
        <v>153.13910079373883</v>
      </c>
      <c r="J35" s="134">
        <v>153.20819961606801</v>
      </c>
      <c r="K35" s="134">
        <v>151.97493244487072</v>
      </c>
      <c r="L35" s="134">
        <v>157.4259921365983</v>
      </c>
      <c r="M35" s="135">
        <v>151.99166413542406</v>
      </c>
      <c r="N35" s="128">
        <v>1234.0855205829696</v>
      </c>
      <c r="O35" s="128">
        <v>154.2606900728712</v>
      </c>
      <c r="P35" s="190"/>
    </row>
    <row r="36" spans="3:17" s="245" customFormat="1" ht="15" customHeight="1">
      <c r="C36" s="379"/>
      <c r="D36" s="127">
        <v>8</v>
      </c>
      <c r="E36" s="406" t="s">
        <v>0</v>
      </c>
      <c r="F36" s="133">
        <v>-147.92470825205083</v>
      </c>
      <c r="G36" s="134">
        <v>-149.38941936067252</v>
      </c>
      <c r="H36" s="134">
        <v>-141.22968514877792</v>
      </c>
      <c r="I36" s="134">
        <v>-139.42159537087738</v>
      </c>
      <c r="J36" s="134">
        <v>-136.6355139954602</v>
      </c>
      <c r="K36" s="134">
        <v>-134.04450155612705</v>
      </c>
      <c r="L36" s="134">
        <v>-131.98226417104394</v>
      </c>
      <c r="M36" s="135">
        <v>-130.26772535648141</v>
      </c>
      <c r="N36" s="128">
        <v>-1110.8954132114911</v>
      </c>
      <c r="O36" s="128">
        <v>-138.86192665143639</v>
      </c>
      <c r="P36" s="190"/>
    </row>
    <row r="37" spans="3:17" s="245" customFormat="1" ht="15" customHeight="1">
      <c r="C37" s="379"/>
      <c r="D37" s="127">
        <v>9</v>
      </c>
      <c r="E37" s="406" t="s">
        <v>16</v>
      </c>
      <c r="F37" s="133">
        <v>1544.1620585952853</v>
      </c>
      <c r="G37" s="134">
        <v>1547.4685145019173</v>
      </c>
      <c r="H37" s="134">
        <v>1558.8232461953708</v>
      </c>
      <c r="I37" s="134">
        <v>1572.5407516182322</v>
      </c>
      <c r="J37" s="134">
        <v>1589.1134372388401</v>
      </c>
      <c r="K37" s="134">
        <v>1607.0438681275839</v>
      </c>
      <c r="L37" s="134">
        <v>1632.4875960931383</v>
      </c>
      <c r="M37" s="135">
        <v>1654.2115348720811</v>
      </c>
      <c r="N37" s="128"/>
      <c r="O37" s="128">
        <v>1588.2313759053063</v>
      </c>
      <c r="P37" s="190"/>
    </row>
    <row r="38" spans="3:17" s="245" customFormat="1" ht="15" customHeight="1">
      <c r="C38" s="379"/>
      <c r="D38" s="122"/>
      <c r="E38" s="407" t="s">
        <v>296</v>
      </c>
      <c r="F38" s="129"/>
      <c r="G38" s="130"/>
      <c r="H38" s="130"/>
      <c r="I38" s="130"/>
      <c r="J38" s="130"/>
      <c r="K38" s="130"/>
      <c r="L38" s="130"/>
      <c r="M38" s="131"/>
      <c r="N38" s="132"/>
      <c r="O38" s="132"/>
      <c r="P38" s="190"/>
    </row>
    <row r="39" spans="3:17" s="245" customFormat="1" ht="15" customHeight="1">
      <c r="C39" s="379"/>
      <c r="D39" s="127">
        <v>10</v>
      </c>
      <c r="E39" s="406" t="s">
        <v>97</v>
      </c>
      <c r="F39" s="133">
        <v>75.795453810227684</v>
      </c>
      <c r="G39" s="134">
        <v>71.856882478731507</v>
      </c>
      <c r="H39" s="134">
        <v>71.804431455167673</v>
      </c>
      <c r="I39" s="134">
        <v>72.065459197053542</v>
      </c>
      <c r="J39" s="134">
        <v>72.097976289914328</v>
      </c>
      <c r="K39" s="134">
        <v>71.517615268174438</v>
      </c>
      <c r="L39" s="134">
        <v>74.082819828987425</v>
      </c>
      <c r="M39" s="135">
        <v>71.52548900490541</v>
      </c>
      <c r="N39" s="128">
        <v>580.74612733316189</v>
      </c>
      <c r="O39" s="128">
        <v>72.593265916645237</v>
      </c>
      <c r="P39" s="190"/>
    </row>
    <row r="40" spans="3:17" s="245" customFormat="1" ht="15" customHeight="1">
      <c r="C40" s="379"/>
      <c r="D40" s="127">
        <v>11</v>
      </c>
      <c r="E40" s="406" t="s">
        <v>600</v>
      </c>
      <c r="F40" s="133">
        <v>43.412357623729626</v>
      </c>
      <c r="G40" s="134">
        <v>45.172148277832562</v>
      </c>
      <c r="H40" s="134">
        <v>45.081531575897628</v>
      </c>
      <c r="I40" s="134">
        <v>44.816417038997031</v>
      </c>
      <c r="J40" s="134">
        <v>45.307874854618333</v>
      </c>
      <c r="K40" s="134">
        <v>45.242265416284411</v>
      </c>
      <c r="L40" s="134">
        <v>47.048075428955705</v>
      </c>
      <c r="M40" s="135">
        <v>50.766184816252334</v>
      </c>
      <c r="N40" s="128">
        <v>366.84685503256765</v>
      </c>
      <c r="O40" s="128">
        <v>45.855856879070956</v>
      </c>
      <c r="P40" s="190"/>
    </row>
    <row r="41" spans="3:17" s="245" customFormat="1" ht="15" customHeight="1">
      <c r="C41" s="379"/>
      <c r="D41" s="127">
        <v>12</v>
      </c>
      <c r="E41" s="406" t="s">
        <v>65</v>
      </c>
      <c r="F41" s="133">
        <v>147.92470825205083</v>
      </c>
      <c r="G41" s="134">
        <v>149.38941936067252</v>
      </c>
      <c r="H41" s="134">
        <v>141.22968514877792</v>
      </c>
      <c r="I41" s="134">
        <v>139.42159537087738</v>
      </c>
      <c r="J41" s="134">
        <v>136.6355139954602</v>
      </c>
      <c r="K41" s="134">
        <v>134.04450155612705</v>
      </c>
      <c r="L41" s="134">
        <v>131.98226417104394</v>
      </c>
      <c r="M41" s="135">
        <v>130.26772535648141</v>
      </c>
      <c r="N41" s="128">
        <v>1110.8954132114911</v>
      </c>
      <c r="O41" s="128">
        <v>138.86192665143639</v>
      </c>
      <c r="P41" s="190"/>
    </row>
    <row r="42" spans="3:17" s="245" customFormat="1" ht="15" customHeight="1">
      <c r="C42" s="379"/>
      <c r="D42" s="127">
        <v>13</v>
      </c>
      <c r="E42" s="406" t="s">
        <v>18</v>
      </c>
      <c r="F42" s="133">
        <v>56.724400154206151</v>
      </c>
      <c r="G42" s="134">
        <v>57.031150170598835</v>
      </c>
      <c r="H42" s="134">
        <v>57.298871754631421</v>
      </c>
      <c r="I42" s="134">
        <v>57.760583358768756</v>
      </c>
      <c r="J42" s="134">
        <v>58.318384678474906</v>
      </c>
      <c r="K42" s="134">
        <v>58.954412559144181</v>
      </c>
      <c r="L42" s="134">
        <v>59.751993286763863</v>
      </c>
      <c r="M42" s="135">
        <v>60.623375396233925</v>
      </c>
      <c r="N42" s="128">
        <v>466.46317135882208</v>
      </c>
      <c r="O42" s="128">
        <v>58.30789641985276</v>
      </c>
      <c r="P42" s="190"/>
    </row>
    <row r="43" spans="3:17" s="245" customFormat="1" ht="15" customHeight="1">
      <c r="C43" s="379"/>
      <c r="D43" s="127">
        <v>14</v>
      </c>
      <c r="E43" s="406" t="s">
        <v>102</v>
      </c>
      <c r="F43" s="133">
        <v>0</v>
      </c>
      <c r="G43" s="134">
        <v>0</v>
      </c>
      <c r="H43" s="134">
        <v>0</v>
      </c>
      <c r="I43" s="134">
        <v>0</v>
      </c>
      <c r="J43" s="134">
        <v>0</v>
      </c>
      <c r="K43" s="134">
        <v>0</v>
      </c>
      <c r="L43" s="134">
        <v>0</v>
      </c>
      <c r="M43" s="135">
        <v>0</v>
      </c>
      <c r="N43" s="128">
        <v>0</v>
      </c>
      <c r="O43" s="128">
        <v>0</v>
      </c>
      <c r="P43" s="190"/>
    </row>
    <row r="44" spans="3:17" s="245" customFormat="1" ht="15" customHeight="1">
      <c r="C44" s="379"/>
      <c r="D44" s="127">
        <v>15</v>
      </c>
      <c r="E44" s="406" t="s">
        <v>22</v>
      </c>
      <c r="F44" s="133">
        <v>1.5575632164737283</v>
      </c>
      <c r="G44" s="134">
        <v>1.4734141240658321</v>
      </c>
      <c r="H44" s="134">
        <v>1.4689588897025405</v>
      </c>
      <c r="I44" s="134">
        <v>1.4707200530126929</v>
      </c>
      <c r="J44" s="134">
        <v>1.4674716260161711</v>
      </c>
      <c r="K44" s="134">
        <v>1.4486206224386007</v>
      </c>
      <c r="L44" s="134">
        <v>1.4956798325868756</v>
      </c>
      <c r="M44" s="135">
        <v>1.4397148718051931</v>
      </c>
      <c r="N44" s="128">
        <v>11.822143236101635</v>
      </c>
      <c r="O44" s="128">
        <v>1.4777679045127043</v>
      </c>
      <c r="P44" s="190"/>
    </row>
    <row r="45" spans="3:17" s="245" customFormat="1" ht="15" customHeight="1">
      <c r="C45" s="379"/>
      <c r="D45" s="127">
        <v>16</v>
      </c>
      <c r="E45" s="406" t="s">
        <v>215</v>
      </c>
      <c r="F45" s="133">
        <v>26.714550411917461</v>
      </c>
      <c r="G45" s="134">
        <v>30.492885992362133</v>
      </c>
      <c r="H45" s="134">
        <v>23.086028764840044</v>
      </c>
      <c r="I45" s="134">
        <v>21.507459475460379</v>
      </c>
      <c r="J45" s="134">
        <v>20.483638700293501</v>
      </c>
      <c r="K45" s="134">
        <v>20.266936868552065</v>
      </c>
      <c r="L45" s="134">
        <v>17.877288988055824</v>
      </c>
      <c r="M45" s="135">
        <v>18.562707075629699</v>
      </c>
      <c r="N45" s="128">
        <v>178.99149627711111</v>
      </c>
      <c r="O45" s="128">
        <v>22.373937034638889</v>
      </c>
      <c r="P45" s="190"/>
    </row>
    <row r="46" spans="3:17" s="245" customFormat="1" ht="15" customHeight="1">
      <c r="C46" s="379"/>
      <c r="D46" s="127">
        <v>17</v>
      </c>
      <c r="E46" s="406" t="s">
        <v>6</v>
      </c>
      <c r="F46" s="133">
        <v>20.870407671967762</v>
      </c>
      <c r="G46" s="134">
        <v>24.521969309547945</v>
      </c>
      <c r="H46" s="134">
        <v>20.967312142827108</v>
      </c>
      <c r="I46" s="134">
        <v>20.284364949633868</v>
      </c>
      <c r="J46" s="134">
        <v>19.443377250678946</v>
      </c>
      <c r="K46" s="134">
        <v>18.744386744850186</v>
      </c>
      <c r="L46" s="134">
        <v>17.978919680670096</v>
      </c>
      <c r="M46" s="135">
        <v>17.034839812097914</v>
      </c>
      <c r="N46" s="128">
        <v>159.84557756227383</v>
      </c>
      <c r="O46" s="128">
        <v>19.980697195284229</v>
      </c>
      <c r="P46" s="190"/>
    </row>
    <row r="47" spans="3:17" s="245" customFormat="1" ht="15" customHeight="1">
      <c r="C47" s="379"/>
      <c r="D47" s="122"/>
      <c r="E47" s="407" t="s">
        <v>164</v>
      </c>
      <c r="F47" s="129"/>
      <c r="G47" s="130"/>
      <c r="H47" s="130"/>
      <c r="I47" s="130"/>
      <c r="J47" s="130"/>
      <c r="K47" s="130"/>
      <c r="L47" s="130"/>
      <c r="M47" s="131"/>
      <c r="N47" s="132"/>
      <c r="O47" s="132"/>
      <c r="P47" s="190"/>
    </row>
    <row r="48" spans="3:17" s="245" customFormat="1" ht="15" customHeight="1">
      <c r="C48" s="379"/>
      <c r="D48" s="127">
        <v>18</v>
      </c>
      <c r="E48" s="406" t="s">
        <v>97</v>
      </c>
      <c r="F48" s="133">
        <v>75.795453810227684</v>
      </c>
      <c r="G48" s="134">
        <v>71.856882478731507</v>
      </c>
      <c r="H48" s="134">
        <v>71.804431455167673</v>
      </c>
      <c r="I48" s="134">
        <v>72.065459197053542</v>
      </c>
      <c r="J48" s="134">
        <v>72.097976289914328</v>
      </c>
      <c r="K48" s="134">
        <v>71.517615268174438</v>
      </c>
      <c r="L48" s="134">
        <v>74.082819828987425</v>
      </c>
      <c r="M48" s="135">
        <v>71.52548900490541</v>
      </c>
      <c r="N48" s="128">
        <v>580.74612733316189</v>
      </c>
      <c r="O48" s="128">
        <v>72.593265916645237</v>
      </c>
      <c r="P48" s="190"/>
      <c r="Q48" s="404"/>
    </row>
    <row r="49" spans="3:23" s="245" customFormat="1" ht="15" customHeight="1">
      <c r="C49" s="379"/>
      <c r="D49" s="127">
        <v>19</v>
      </c>
      <c r="E49" s="406" t="s">
        <v>600</v>
      </c>
      <c r="F49" s="133">
        <v>43.412357623729626</v>
      </c>
      <c r="G49" s="134">
        <v>45.172148277832562</v>
      </c>
      <c r="H49" s="134">
        <v>45.081531575897628</v>
      </c>
      <c r="I49" s="134">
        <v>44.816417038997031</v>
      </c>
      <c r="J49" s="134">
        <v>45.307874854618333</v>
      </c>
      <c r="K49" s="134">
        <v>45.242265416284411</v>
      </c>
      <c r="L49" s="134">
        <v>47.048075428955705</v>
      </c>
      <c r="M49" s="135">
        <v>50.766184816252334</v>
      </c>
      <c r="N49" s="128">
        <v>366.84685503256765</v>
      </c>
      <c r="O49" s="128">
        <v>45.855856879070956</v>
      </c>
      <c r="P49" s="190"/>
      <c r="Q49" s="404"/>
      <c r="R49" s="384"/>
      <c r="S49" s="384"/>
      <c r="T49" s="384"/>
      <c r="U49" s="384"/>
      <c r="V49" s="384"/>
      <c r="W49" s="384"/>
    </row>
    <row r="50" spans="3:23" s="245" customFormat="1" ht="15" customHeight="1">
      <c r="C50" s="379"/>
      <c r="D50" s="127">
        <v>20</v>
      </c>
      <c r="E50" s="406" t="s">
        <v>65</v>
      </c>
      <c r="F50" s="133">
        <v>147.92470825205083</v>
      </c>
      <c r="G50" s="134">
        <v>149.38941936067252</v>
      </c>
      <c r="H50" s="134">
        <v>141.22968514877792</v>
      </c>
      <c r="I50" s="134">
        <v>139.42159537087738</v>
      </c>
      <c r="J50" s="134">
        <v>136.6355139954602</v>
      </c>
      <c r="K50" s="134">
        <v>134.04450155612705</v>
      </c>
      <c r="L50" s="134">
        <v>131.98226417104394</v>
      </c>
      <c r="M50" s="135">
        <v>130.26772535648141</v>
      </c>
      <c r="N50" s="128">
        <v>1110.8954132114911</v>
      </c>
      <c r="O50" s="128">
        <v>138.86192665143639</v>
      </c>
      <c r="P50" s="190"/>
      <c r="Q50" s="404"/>
    </row>
    <row r="51" spans="3:23" s="245" customFormat="1" ht="15" customHeight="1">
      <c r="C51" s="379"/>
      <c r="D51" s="127">
        <v>21</v>
      </c>
      <c r="E51" s="406" t="s">
        <v>18</v>
      </c>
      <c r="F51" s="133">
        <v>56.724400154206151</v>
      </c>
      <c r="G51" s="134">
        <v>57.031150170598835</v>
      </c>
      <c r="H51" s="134">
        <v>57.298871754631421</v>
      </c>
      <c r="I51" s="134">
        <v>57.760583358768756</v>
      </c>
      <c r="J51" s="134">
        <v>58.318384678474906</v>
      </c>
      <c r="K51" s="134">
        <v>58.954412559144181</v>
      </c>
      <c r="L51" s="134">
        <v>59.751993286763863</v>
      </c>
      <c r="M51" s="135">
        <v>60.623375396233925</v>
      </c>
      <c r="N51" s="128">
        <v>466.46317135882208</v>
      </c>
      <c r="O51" s="128">
        <v>58.30789641985276</v>
      </c>
      <c r="P51" s="190"/>
      <c r="Q51" s="404"/>
    </row>
    <row r="52" spans="3:23" s="245" customFormat="1" ht="15" customHeight="1">
      <c r="C52" s="379"/>
      <c r="D52" s="127">
        <v>22</v>
      </c>
      <c r="E52" s="406" t="s">
        <v>102</v>
      </c>
      <c r="F52" s="133">
        <v>0</v>
      </c>
      <c r="G52" s="134">
        <v>0</v>
      </c>
      <c r="H52" s="134">
        <v>0</v>
      </c>
      <c r="I52" s="134">
        <v>0</v>
      </c>
      <c r="J52" s="134">
        <v>0</v>
      </c>
      <c r="K52" s="134">
        <v>0</v>
      </c>
      <c r="L52" s="134">
        <v>0</v>
      </c>
      <c r="M52" s="135">
        <v>0</v>
      </c>
      <c r="N52" s="128">
        <v>0</v>
      </c>
      <c r="O52" s="128">
        <v>0</v>
      </c>
      <c r="P52" s="190"/>
      <c r="Q52" s="404"/>
    </row>
    <row r="53" spans="3:23" s="245" customFormat="1" ht="15" customHeight="1">
      <c r="C53" s="379"/>
      <c r="D53" s="127">
        <v>23</v>
      </c>
      <c r="E53" s="406" t="s">
        <v>22</v>
      </c>
      <c r="F53" s="133">
        <v>1.5575632164737283</v>
      </c>
      <c r="G53" s="134">
        <v>1.4734141240658321</v>
      </c>
      <c r="H53" s="134">
        <v>1.4689588897025405</v>
      </c>
      <c r="I53" s="134">
        <v>1.4707200530126929</v>
      </c>
      <c r="J53" s="134">
        <v>1.4674716260161711</v>
      </c>
      <c r="K53" s="134">
        <v>1.4486206224386007</v>
      </c>
      <c r="L53" s="134">
        <v>1.4956798325868756</v>
      </c>
      <c r="M53" s="135">
        <v>1.4397148718051931</v>
      </c>
      <c r="N53" s="128">
        <v>11.822143236101635</v>
      </c>
      <c r="O53" s="128">
        <v>1.4777679045127043</v>
      </c>
      <c r="P53" s="190"/>
      <c r="Q53" s="404"/>
    </row>
    <row r="54" spans="3:23" s="245" customFormat="1" ht="15" customHeight="1">
      <c r="C54" s="379"/>
      <c r="D54" s="127">
        <v>24</v>
      </c>
      <c r="E54" s="406" t="s">
        <v>215</v>
      </c>
      <c r="F54" s="133">
        <v>26.714550411917461</v>
      </c>
      <c r="G54" s="134">
        <v>30.492885992362133</v>
      </c>
      <c r="H54" s="134">
        <v>23.086028764840044</v>
      </c>
      <c r="I54" s="134">
        <v>21.507459475460379</v>
      </c>
      <c r="J54" s="134">
        <v>20.483638700293501</v>
      </c>
      <c r="K54" s="134">
        <v>20.266936868552065</v>
      </c>
      <c r="L54" s="134">
        <v>17.877288988055824</v>
      </c>
      <c r="M54" s="135">
        <v>18.562707075629699</v>
      </c>
      <c r="N54" s="128">
        <v>178.99149627711111</v>
      </c>
      <c r="O54" s="128">
        <v>22.373937034638889</v>
      </c>
      <c r="P54" s="190"/>
      <c r="Q54" s="404"/>
    </row>
    <row r="55" spans="3:23" s="245" customFormat="1" ht="15" customHeight="1">
      <c r="C55" s="379"/>
      <c r="D55" s="127">
        <v>25</v>
      </c>
      <c r="E55" s="406" t="s">
        <v>6</v>
      </c>
      <c r="F55" s="133">
        <v>20.870407671967762</v>
      </c>
      <c r="G55" s="134">
        <v>24.521969309547945</v>
      </c>
      <c r="H55" s="134">
        <v>20.967312142827108</v>
      </c>
      <c r="I55" s="134">
        <v>20.284364949633868</v>
      </c>
      <c r="J55" s="134">
        <v>19.443377250678946</v>
      </c>
      <c r="K55" s="134">
        <v>18.744386744850186</v>
      </c>
      <c r="L55" s="134">
        <v>17.978919680670096</v>
      </c>
      <c r="M55" s="135">
        <v>17.034839812097914</v>
      </c>
      <c r="N55" s="128">
        <v>159.84557756227383</v>
      </c>
      <c r="O55" s="128">
        <v>19.980697195284229</v>
      </c>
      <c r="P55" s="190"/>
      <c r="Q55" s="404"/>
    </row>
    <row r="56" spans="3:23" s="245" customFormat="1" ht="15" customHeight="1">
      <c r="C56" s="379"/>
      <c r="D56" s="122"/>
      <c r="E56" s="407" t="s">
        <v>19</v>
      </c>
      <c r="F56" s="129"/>
      <c r="G56" s="130"/>
      <c r="H56" s="130"/>
      <c r="I56" s="130"/>
      <c r="J56" s="130"/>
      <c r="K56" s="130"/>
      <c r="L56" s="130"/>
      <c r="M56" s="131"/>
      <c r="N56" s="408"/>
      <c r="O56" s="136"/>
      <c r="P56" s="190"/>
      <c r="Q56" s="404"/>
    </row>
    <row r="57" spans="3:23" s="245" customFormat="1" ht="15" customHeight="1">
      <c r="C57" s="379"/>
      <c r="D57" s="127">
        <v>26</v>
      </c>
      <c r="E57" s="406" t="s">
        <v>460</v>
      </c>
      <c r="F57" s="133">
        <v>372.99944114057325</v>
      </c>
      <c r="G57" s="134">
        <v>379.93786971381132</v>
      </c>
      <c r="H57" s="134">
        <v>360.93681973184431</v>
      </c>
      <c r="I57" s="134">
        <v>357.32659944380367</v>
      </c>
      <c r="J57" s="134">
        <v>353.75423739545641</v>
      </c>
      <c r="K57" s="134">
        <v>350.21873903557099</v>
      </c>
      <c r="L57" s="134">
        <v>350.2170412170637</v>
      </c>
      <c r="M57" s="135">
        <v>350.22003633340586</v>
      </c>
      <c r="N57" s="128">
        <v>2875.6107840115292</v>
      </c>
      <c r="O57" s="128">
        <v>359.45134800144115</v>
      </c>
      <c r="P57" s="190"/>
      <c r="Q57" s="404"/>
    </row>
    <row r="58" spans="3:23" s="245" customFormat="1" ht="15" customHeight="1">
      <c r="C58" s="379"/>
      <c r="D58" s="127">
        <v>27</v>
      </c>
      <c r="E58" s="406" t="s">
        <v>58</v>
      </c>
      <c r="F58" s="133">
        <v>0</v>
      </c>
      <c r="G58" s="134">
        <v>0</v>
      </c>
      <c r="H58" s="134">
        <v>0</v>
      </c>
      <c r="I58" s="134">
        <v>0</v>
      </c>
      <c r="J58" s="134">
        <v>0</v>
      </c>
      <c r="K58" s="134">
        <v>0</v>
      </c>
      <c r="L58" s="134">
        <v>0</v>
      </c>
      <c r="M58" s="135">
        <v>0</v>
      </c>
      <c r="N58" s="128">
        <v>0</v>
      </c>
      <c r="O58" s="128">
        <v>0</v>
      </c>
      <c r="P58" s="190"/>
    </row>
    <row r="59" spans="3:23" s="245" customFormat="1" ht="15" customHeight="1">
      <c r="C59" s="379"/>
      <c r="D59" s="127">
        <v>28</v>
      </c>
      <c r="E59" s="406" t="s">
        <v>43</v>
      </c>
      <c r="F59" s="137">
        <v>372.99944114057325</v>
      </c>
      <c r="G59" s="134">
        <v>379.93786971381132</v>
      </c>
      <c r="H59" s="134">
        <v>360.93681973184431</v>
      </c>
      <c r="I59" s="134">
        <v>357.32659944380367</v>
      </c>
      <c r="J59" s="134">
        <v>353.75423739545641</v>
      </c>
      <c r="K59" s="134">
        <v>350.21873903557099</v>
      </c>
      <c r="L59" s="134">
        <v>350.2170412170637</v>
      </c>
      <c r="M59" s="135">
        <v>350.22003633340586</v>
      </c>
      <c r="N59" s="128">
        <v>2875.6107840115292</v>
      </c>
      <c r="O59" s="128">
        <v>359.45134800144115</v>
      </c>
      <c r="P59" s="190"/>
    </row>
    <row r="60" spans="3:23" s="245" customFormat="1" ht="15" customHeight="1">
      <c r="C60" s="379"/>
      <c r="D60" s="127">
        <v>29</v>
      </c>
      <c r="E60" s="406" t="s">
        <v>739</v>
      </c>
      <c r="F60" s="137">
        <v>2.3637180303325596</v>
      </c>
      <c r="G60" s="134">
        <v>1.7122099755916842</v>
      </c>
      <c r="H60" s="134">
        <v>1.2075699907702848</v>
      </c>
      <c r="I60" s="134">
        <v>0.62097322460518178</v>
      </c>
      <c r="J60" s="134">
        <v>6.1340985534999781E-2</v>
      </c>
      <c r="K60" s="134">
        <v>-0.17094463560808504</v>
      </c>
      <c r="L60" s="134">
        <v>-0.18705553550695087</v>
      </c>
      <c r="M60" s="135">
        <v>-0.189449612199457</v>
      </c>
      <c r="N60" s="128">
        <v>5.4183624235202172</v>
      </c>
      <c r="O60" s="128">
        <v>0.67729530294002716</v>
      </c>
      <c r="P60" s="190"/>
    </row>
    <row r="61" spans="3:23" s="245" customFormat="1" ht="15" customHeight="1">
      <c r="C61" s="379"/>
      <c r="D61" s="127">
        <v>30</v>
      </c>
      <c r="E61" s="406" t="s">
        <v>770</v>
      </c>
      <c r="F61" s="431">
        <v>-10.891609996616232</v>
      </c>
      <c r="G61" s="137">
        <v>-10.496430370211733</v>
      </c>
      <c r="H61" s="137">
        <v>0</v>
      </c>
      <c r="I61" s="137">
        <v>0</v>
      </c>
      <c r="J61" s="137">
        <v>0</v>
      </c>
      <c r="K61" s="137">
        <v>0</v>
      </c>
      <c r="L61" s="137">
        <v>0</v>
      </c>
      <c r="M61" s="137">
        <v>0</v>
      </c>
      <c r="N61" s="128">
        <v>-21.388040366827965</v>
      </c>
      <c r="O61" s="128">
        <v>-2.6735050458534957</v>
      </c>
      <c r="P61" s="155"/>
    </row>
    <row r="62" spans="3:23" s="245" customFormat="1" ht="15" customHeight="1">
      <c r="C62" s="379"/>
      <c r="D62" s="127">
        <v>31</v>
      </c>
      <c r="E62" s="406" t="s">
        <v>764</v>
      </c>
      <c r="F62" s="137">
        <v>0.39996000000000004</v>
      </c>
      <c r="G62" s="134">
        <v>0.3958796</v>
      </c>
      <c r="H62" s="134">
        <v>0.39175839600000006</v>
      </c>
      <c r="I62" s="134">
        <v>0.38759597996</v>
      </c>
      <c r="J62" s="134">
        <v>0.38339193975960006</v>
      </c>
      <c r="K62" s="134">
        <v>0.37914585915719595</v>
      </c>
      <c r="L62" s="134">
        <v>0.37485731774876807</v>
      </c>
      <c r="M62" s="135">
        <v>0.3705258909262556</v>
      </c>
      <c r="N62" s="128">
        <v>3.0831149835518197</v>
      </c>
      <c r="O62" s="128">
        <v>0.38538937294397746</v>
      </c>
      <c r="P62" s="190"/>
    </row>
    <row r="63" spans="3:23" s="245" customFormat="1" ht="15" customHeight="1">
      <c r="C63" s="379"/>
      <c r="D63" s="127">
        <v>32</v>
      </c>
      <c r="E63" s="406" t="s">
        <v>9</v>
      </c>
      <c r="F63" s="137">
        <v>364.8715091742896</v>
      </c>
      <c r="G63" s="134">
        <v>371.54952891919129</v>
      </c>
      <c r="H63" s="134">
        <v>362.53614811861462</v>
      </c>
      <c r="I63" s="134">
        <v>358.33516864836884</v>
      </c>
      <c r="J63" s="134">
        <v>354.19897032075102</v>
      </c>
      <c r="K63" s="134">
        <v>350.4269402591201</v>
      </c>
      <c r="L63" s="134">
        <v>350.40484299930552</v>
      </c>
      <c r="M63" s="367">
        <v>350.40111261213269</v>
      </c>
      <c r="N63" s="128">
        <v>2862.7242210517738</v>
      </c>
      <c r="O63" s="128">
        <v>357.84052763147173</v>
      </c>
      <c r="P63" s="190"/>
    </row>
    <row r="64" spans="3:23" s="245" customFormat="1" ht="15" customHeight="1">
      <c r="C64" s="379"/>
      <c r="D64" s="122"/>
      <c r="E64" s="407" t="s">
        <v>173</v>
      </c>
      <c r="F64" s="129"/>
      <c r="G64" s="130"/>
      <c r="H64" s="130"/>
      <c r="I64" s="130"/>
      <c r="J64" s="130"/>
      <c r="K64" s="198"/>
      <c r="L64" s="130"/>
      <c r="M64" s="131"/>
      <c r="N64" s="408"/>
      <c r="O64" s="136"/>
      <c r="P64" s="155"/>
    </row>
    <row r="65" spans="3:16" s="245" customFormat="1" ht="15" customHeight="1">
      <c r="C65" s="379"/>
      <c r="D65" s="127">
        <v>33</v>
      </c>
      <c r="E65" s="406" t="s">
        <v>173</v>
      </c>
      <c r="F65" s="133">
        <v>372.99944114057325</v>
      </c>
      <c r="G65" s="134">
        <v>379.93786971381132</v>
      </c>
      <c r="H65" s="134">
        <v>360.93681973184431</v>
      </c>
      <c r="I65" s="134">
        <v>357.32659944380367</v>
      </c>
      <c r="J65" s="134">
        <v>353.75423739545641</v>
      </c>
      <c r="K65" s="134">
        <v>350.21873903557099</v>
      </c>
      <c r="L65" s="134">
        <v>350.2170412170637</v>
      </c>
      <c r="M65" s="135">
        <v>350.22003633340586</v>
      </c>
      <c r="N65" s="128">
        <v>2875.6107840115292</v>
      </c>
      <c r="O65" s="128">
        <v>359.45134800144115</v>
      </c>
      <c r="P65" s="155"/>
    </row>
    <row r="66" spans="3:16" s="245" customFormat="1" ht="15" customHeight="1">
      <c r="C66" s="379"/>
      <c r="D66" s="127">
        <v>34</v>
      </c>
      <c r="E66" s="406" t="s">
        <v>187</v>
      </c>
      <c r="F66" s="133">
        <v>0</v>
      </c>
      <c r="G66" s="134">
        <v>0</v>
      </c>
      <c r="H66" s="134">
        <v>0</v>
      </c>
      <c r="I66" s="134">
        <v>0</v>
      </c>
      <c r="J66" s="134">
        <v>0</v>
      </c>
      <c r="K66" s="134">
        <v>0</v>
      </c>
      <c r="L66" s="134">
        <v>0</v>
      </c>
      <c r="M66" s="135">
        <v>0</v>
      </c>
      <c r="N66" s="128">
        <v>0</v>
      </c>
      <c r="O66" s="128">
        <v>0</v>
      </c>
      <c r="P66" s="155"/>
    </row>
    <row r="67" spans="3:16" s="245" customFormat="1" ht="15" customHeight="1">
      <c r="C67" s="378"/>
      <c r="D67" s="122"/>
      <c r="E67" s="407" t="s">
        <v>297</v>
      </c>
      <c r="F67" s="129"/>
      <c r="G67" s="130"/>
      <c r="H67" s="130"/>
      <c r="I67" s="130"/>
      <c r="J67" s="130"/>
      <c r="K67" s="198"/>
      <c r="L67" s="130"/>
      <c r="M67" s="131"/>
      <c r="N67" s="408"/>
      <c r="O67" s="136"/>
      <c r="P67" s="155"/>
    </row>
    <row r="68" spans="3:16" s="245" customFormat="1" ht="15" customHeight="1">
      <c r="C68" s="378"/>
      <c r="D68" s="127">
        <v>35</v>
      </c>
      <c r="E68" s="409">
        <v>42460</v>
      </c>
      <c r="F68" s="137">
        <v>372.99944114057325</v>
      </c>
      <c r="G68" s="134">
        <v>379.93786971381132</v>
      </c>
      <c r="H68" s="134">
        <v>360.93681973184431</v>
      </c>
      <c r="I68" s="134">
        <v>357.32659944380367</v>
      </c>
      <c r="J68" s="134">
        <v>353.75423739545641</v>
      </c>
      <c r="K68" s="134">
        <v>350.21873903557099</v>
      </c>
      <c r="L68" s="134">
        <v>350.2170412170637</v>
      </c>
      <c r="M68" s="135">
        <v>350.22003633340586</v>
      </c>
      <c r="N68" s="128">
        <v>2875.6107840115292</v>
      </c>
      <c r="O68" s="128">
        <v>359.45134800144115</v>
      </c>
      <c r="P68" s="155"/>
    </row>
    <row r="69" spans="3:16" s="245" customFormat="1" ht="15" customHeight="1">
      <c r="C69" s="378"/>
      <c r="D69" s="127">
        <v>36</v>
      </c>
      <c r="E69" s="409">
        <v>42825</v>
      </c>
      <c r="F69" s="137" t="s">
        <v>196</v>
      </c>
      <c r="G69" s="134" t="s">
        <v>196</v>
      </c>
      <c r="H69" s="134" t="s">
        <v>196</v>
      </c>
      <c r="I69" s="134" t="s">
        <v>196</v>
      </c>
      <c r="J69" s="134" t="s">
        <v>196</v>
      </c>
      <c r="K69" s="134" t="s">
        <v>196</v>
      </c>
      <c r="L69" s="134" t="s">
        <v>196</v>
      </c>
      <c r="M69" s="135" t="s">
        <v>196</v>
      </c>
      <c r="N69" s="128">
        <v>0</v>
      </c>
      <c r="O69" s="128">
        <v>0</v>
      </c>
      <c r="P69" s="155"/>
    </row>
    <row r="70" spans="3:16" s="245" customFormat="1" ht="15" customHeight="1">
      <c r="C70" s="378"/>
      <c r="D70" s="127">
        <v>37</v>
      </c>
      <c r="E70" s="409">
        <v>43190</v>
      </c>
      <c r="F70" s="137" t="s">
        <v>196</v>
      </c>
      <c r="G70" s="134" t="s">
        <v>196</v>
      </c>
      <c r="H70" s="134" t="s">
        <v>196</v>
      </c>
      <c r="I70" s="134" t="s">
        <v>196</v>
      </c>
      <c r="J70" s="134" t="s">
        <v>196</v>
      </c>
      <c r="K70" s="134" t="s">
        <v>196</v>
      </c>
      <c r="L70" s="134" t="s">
        <v>196</v>
      </c>
      <c r="M70" s="135" t="s">
        <v>196</v>
      </c>
      <c r="N70" s="128">
        <v>0</v>
      </c>
      <c r="O70" s="128">
        <v>0</v>
      </c>
      <c r="P70" s="155"/>
    </row>
    <row r="71" spans="3:16" s="245" customFormat="1" ht="15" customHeight="1">
      <c r="C71" s="378"/>
      <c r="D71" s="127">
        <v>38</v>
      </c>
      <c r="E71" s="409">
        <v>43555</v>
      </c>
      <c r="F71" s="137" t="s">
        <v>196</v>
      </c>
      <c r="G71" s="134" t="s">
        <v>196</v>
      </c>
      <c r="H71" s="134" t="s">
        <v>196</v>
      </c>
      <c r="I71" s="134" t="s">
        <v>196</v>
      </c>
      <c r="J71" s="134" t="s">
        <v>196</v>
      </c>
      <c r="K71" s="134" t="s">
        <v>196</v>
      </c>
      <c r="L71" s="134" t="s">
        <v>196</v>
      </c>
      <c r="M71" s="135" t="s">
        <v>196</v>
      </c>
      <c r="N71" s="128">
        <v>0</v>
      </c>
      <c r="O71" s="128">
        <v>0</v>
      </c>
      <c r="P71" s="155"/>
    </row>
    <row r="72" spans="3:16" s="245" customFormat="1" ht="15" customHeight="1">
      <c r="C72" s="378"/>
      <c r="D72" s="127">
        <v>39</v>
      </c>
      <c r="E72" s="409">
        <v>43921</v>
      </c>
      <c r="F72" s="137" t="s">
        <v>196</v>
      </c>
      <c r="G72" s="134" t="s">
        <v>196</v>
      </c>
      <c r="H72" s="134" t="s">
        <v>196</v>
      </c>
      <c r="I72" s="134" t="s">
        <v>196</v>
      </c>
      <c r="J72" s="134" t="s">
        <v>196</v>
      </c>
      <c r="K72" s="134" t="s">
        <v>196</v>
      </c>
      <c r="L72" s="134" t="s">
        <v>196</v>
      </c>
      <c r="M72" s="135" t="s">
        <v>196</v>
      </c>
      <c r="N72" s="128">
        <v>0</v>
      </c>
      <c r="O72" s="128">
        <v>0</v>
      </c>
      <c r="P72" s="155"/>
    </row>
    <row r="73" spans="3:16" s="245" customFormat="1" ht="15" customHeight="1">
      <c r="C73" s="378"/>
      <c r="D73" s="127">
        <v>40</v>
      </c>
      <c r="E73" s="409">
        <v>44286</v>
      </c>
      <c r="F73" s="137" t="s">
        <v>196</v>
      </c>
      <c r="G73" s="134" t="s">
        <v>196</v>
      </c>
      <c r="H73" s="134" t="s">
        <v>196</v>
      </c>
      <c r="I73" s="134" t="s">
        <v>196</v>
      </c>
      <c r="J73" s="134" t="s">
        <v>196</v>
      </c>
      <c r="K73" s="134" t="s">
        <v>196</v>
      </c>
      <c r="L73" s="134" t="s">
        <v>196</v>
      </c>
      <c r="M73" s="135" t="s">
        <v>196</v>
      </c>
      <c r="N73" s="128">
        <v>0</v>
      </c>
      <c r="O73" s="128">
        <v>0</v>
      </c>
      <c r="P73" s="155"/>
    </row>
    <row r="74" spans="3:16" s="245" customFormat="1" ht="15" customHeight="1">
      <c r="C74" s="378"/>
      <c r="D74" s="127">
        <v>41</v>
      </c>
      <c r="E74" s="409">
        <v>44651</v>
      </c>
      <c r="F74" s="137" t="s">
        <v>196</v>
      </c>
      <c r="G74" s="134" t="s">
        <v>196</v>
      </c>
      <c r="H74" s="134" t="s">
        <v>196</v>
      </c>
      <c r="I74" s="134" t="s">
        <v>196</v>
      </c>
      <c r="J74" s="134" t="s">
        <v>196</v>
      </c>
      <c r="K74" s="134" t="s">
        <v>196</v>
      </c>
      <c r="L74" s="134" t="s">
        <v>196</v>
      </c>
      <c r="M74" s="135" t="s">
        <v>196</v>
      </c>
      <c r="N74" s="128">
        <v>0</v>
      </c>
      <c r="O74" s="128">
        <v>0</v>
      </c>
      <c r="P74" s="155"/>
    </row>
    <row r="75" spans="3:16" s="245" customFormat="1" ht="15" customHeight="1">
      <c r="C75" s="378"/>
      <c r="D75" s="127">
        <v>42</v>
      </c>
      <c r="E75" s="409">
        <v>45016</v>
      </c>
      <c r="F75" s="137" t="s">
        <v>196</v>
      </c>
      <c r="G75" s="134" t="s">
        <v>196</v>
      </c>
      <c r="H75" s="134" t="s">
        <v>196</v>
      </c>
      <c r="I75" s="134" t="s">
        <v>196</v>
      </c>
      <c r="J75" s="134" t="s">
        <v>196</v>
      </c>
      <c r="K75" s="134" t="s">
        <v>196</v>
      </c>
      <c r="L75" s="134" t="s">
        <v>196</v>
      </c>
      <c r="M75" s="135" t="s">
        <v>196</v>
      </c>
      <c r="N75" s="128">
        <v>0</v>
      </c>
      <c r="O75" s="128">
        <v>0</v>
      </c>
      <c r="P75" s="155"/>
    </row>
    <row r="76" spans="3:16" s="245" customFormat="1" ht="15" customHeight="1">
      <c r="C76" s="378"/>
      <c r="D76" s="122"/>
      <c r="E76" s="407" t="s">
        <v>461</v>
      </c>
      <c r="F76" s="129"/>
      <c r="G76" s="130"/>
      <c r="H76" s="130"/>
      <c r="I76" s="130"/>
      <c r="J76" s="130"/>
      <c r="K76" s="198"/>
      <c r="L76" s="130"/>
      <c r="M76" s="131"/>
      <c r="N76" s="408"/>
      <c r="O76" s="136"/>
      <c r="P76" s="155"/>
    </row>
    <row r="77" spans="3:16" s="245" customFormat="1" ht="15" customHeight="1">
      <c r="C77" s="378"/>
      <c r="D77" s="127">
        <v>43</v>
      </c>
      <c r="E77" s="409">
        <v>42460</v>
      </c>
      <c r="F77" s="137">
        <v>0</v>
      </c>
      <c r="G77" s="134">
        <v>0</v>
      </c>
      <c r="H77" s="134">
        <v>0</v>
      </c>
      <c r="I77" s="134">
        <v>0</v>
      </c>
      <c r="J77" s="134">
        <v>0</v>
      </c>
      <c r="K77" s="134">
        <v>0</v>
      </c>
      <c r="L77" s="134">
        <v>0</v>
      </c>
      <c r="M77" s="135">
        <v>0</v>
      </c>
      <c r="N77" s="128">
        <v>0</v>
      </c>
      <c r="O77" s="128"/>
      <c r="P77" s="155"/>
    </row>
    <row r="78" spans="3:16" s="245" customFormat="1" ht="15" customHeight="1">
      <c r="C78" s="378"/>
      <c r="D78" s="127">
        <v>44</v>
      </c>
      <c r="E78" s="409">
        <v>42825</v>
      </c>
      <c r="F78" s="137" t="s">
        <v>196</v>
      </c>
      <c r="G78" s="134" t="s">
        <v>196</v>
      </c>
      <c r="H78" s="134" t="s">
        <v>196</v>
      </c>
      <c r="I78" s="134" t="s">
        <v>196</v>
      </c>
      <c r="J78" s="134" t="s">
        <v>196</v>
      </c>
      <c r="K78" s="134" t="s">
        <v>196</v>
      </c>
      <c r="L78" s="134" t="s">
        <v>196</v>
      </c>
      <c r="M78" s="135" t="s">
        <v>196</v>
      </c>
      <c r="N78" s="128">
        <v>0</v>
      </c>
      <c r="O78" s="128"/>
      <c r="P78" s="155"/>
    </row>
    <row r="79" spans="3:16" s="245" customFormat="1" ht="15" customHeight="1">
      <c r="C79" s="378"/>
      <c r="D79" s="127">
        <v>45</v>
      </c>
      <c r="E79" s="409">
        <v>43190</v>
      </c>
      <c r="F79" s="137" t="s">
        <v>196</v>
      </c>
      <c r="G79" s="134" t="s">
        <v>196</v>
      </c>
      <c r="H79" s="134" t="s">
        <v>196</v>
      </c>
      <c r="I79" s="134" t="s">
        <v>196</v>
      </c>
      <c r="J79" s="134" t="s">
        <v>196</v>
      </c>
      <c r="K79" s="134" t="s">
        <v>196</v>
      </c>
      <c r="L79" s="134" t="s">
        <v>196</v>
      </c>
      <c r="M79" s="135" t="s">
        <v>196</v>
      </c>
      <c r="N79" s="128">
        <v>0</v>
      </c>
      <c r="O79" s="128"/>
      <c r="P79" s="155"/>
    </row>
    <row r="80" spans="3:16" s="245" customFormat="1" ht="15" customHeight="1">
      <c r="C80" s="378"/>
      <c r="D80" s="127">
        <v>46</v>
      </c>
      <c r="E80" s="409">
        <v>43555</v>
      </c>
      <c r="F80" s="137" t="s">
        <v>196</v>
      </c>
      <c r="G80" s="134" t="s">
        <v>196</v>
      </c>
      <c r="H80" s="134" t="s">
        <v>196</v>
      </c>
      <c r="I80" s="134" t="s">
        <v>196</v>
      </c>
      <c r="J80" s="134" t="s">
        <v>196</v>
      </c>
      <c r="K80" s="134" t="s">
        <v>196</v>
      </c>
      <c r="L80" s="134" t="s">
        <v>196</v>
      </c>
      <c r="M80" s="135" t="s">
        <v>196</v>
      </c>
      <c r="N80" s="128">
        <v>0</v>
      </c>
      <c r="O80" s="128"/>
      <c r="P80" s="155"/>
    </row>
    <row r="81" spans="3:16" s="245" customFormat="1" ht="15" customHeight="1">
      <c r="C81" s="378"/>
      <c r="D81" s="127">
        <v>47</v>
      </c>
      <c r="E81" s="409">
        <v>43921</v>
      </c>
      <c r="F81" s="137" t="s">
        <v>196</v>
      </c>
      <c r="G81" s="134" t="s">
        <v>196</v>
      </c>
      <c r="H81" s="134" t="s">
        <v>196</v>
      </c>
      <c r="I81" s="134" t="s">
        <v>196</v>
      </c>
      <c r="J81" s="134" t="s">
        <v>196</v>
      </c>
      <c r="K81" s="134" t="s">
        <v>196</v>
      </c>
      <c r="L81" s="134" t="s">
        <v>196</v>
      </c>
      <c r="M81" s="135" t="s">
        <v>196</v>
      </c>
      <c r="N81" s="128">
        <v>0</v>
      </c>
      <c r="O81" s="128"/>
      <c r="P81" s="155"/>
    </row>
    <row r="82" spans="3:16" s="245" customFormat="1" ht="15" customHeight="1">
      <c r="C82" s="378"/>
      <c r="D82" s="127">
        <v>48</v>
      </c>
      <c r="E82" s="409">
        <v>44286</v>
      </c>
      <c r="F82" s="137" t="s">
        <v>196</v>
      </c>
      <c r="G82" s="134" t="s">
        <v>196</v>
      </c>
      <c r="H82" s="134" t="s">
        <v>196</v>
      </c>
      <c r="I82" s="134" t="s">
        <v>196</v>
      </c>
      <c r="J82" s="134" t="s">
        <v>196</v>
      </c>
      <c r="K82" s="134" t="s">
        <v>196</v>
      </c>
      <c r="L82" s="134" t="s">
        <v>196</v>
      </c>
      <c r="M82" s="135" t="s">
        <v>196</v>
      </c>
      <c r="N82" s="128">
        <v>0</v>
      </c>
      <c r="O82" s="128"/>
      <c r="P82" s="155"/>
    </row>
    <row r="83" spans="3:16" s="245" customFormat="1" ht="15" customHeight="1">
      <c r="C83" s="378"/>
      <c r="D83" s="127">
        <v>49</v>
      </c>
      <c r="E83" s="409">
        <v>44651</v>
      </c>
      <c r="F83" s="137" t="s">
        <v>196</v>
      </c>
      <c r="G83" s="134" t="s">
        <v>196</v>
      </c>
      <c r="H83" s="134" t="s">
        <v>196</v>
      </c>
      <c r="I83" s="134" t="s">
        <v>196</v>
      </c>
      <c r="J83" s="134" t="s">
        <v>196</v>
      </c>
      <c r="K83" s="134" t="s">
        <v>196</v>
      </c>
      <c r="L83" s="134" t="s">
        <v>196</v>
      </c>
      <c r="M83" s="135" t="s">
        <v>196</v>
      </c>
      <c r="N83" s="128">
        <v>0</v>
      </c>
      <c r="O83" s="128"/>
      <c r="P83" s="155"/>
    </row>
    <row r="84" spans="3:16" s="245" customFormat="1" ht="15" customHeight="1">
      <c r="C84" s="378"/>
      <c r="D84" s="127">
        <v>50</v>
      </c>
      <c r="E84" s="409">
        <v>45016</v>
      </c>
      <c r="F84" s="137" t="s">
        <v>196</v>
      </c>
      <c r="G84" s="134" t="s">
        <v>196</v>
      </c>
      <c r="H84" s="134" t="s">
        <v>196</v>
      </c>
      <c r="I84" s="134" t="s">
        <v>196</v>
      </c>
      <c r="J84" s="134" t="s">
        <v>196</v>
      </c>
      <c r="K84" s="134" t="s">
        <v>196</v>
      </c>
      <c r="L84" s="134" t="s">
        <v>196</v>
      </c>
      <c r="M84" s="135" t="s">
        <v>196</v>
      </c>
      <c r="N84" s="128">
        <v>0</v>
      </c>
      <c r="O84" s="128"/>
      <c r="P84" s="155"/>
    </row>
    <row r="85" spans="3:16" s="245" customFormat="1" ht="15" customHeight="1">
      <c r="C85" s="378"/>
      <c r="D85" s="122"/>
      <c r="E85" s="407" t="s">
        <v>468</v>
      </c>
      <c r="F85" s="129"/>
      <c r="G85" s="130"/>
      <c r="H85" s="130"/>
      <c r="I85" s="130"/>
      <c r="J85" s="130"/>
      <c r="K85" s="198"/>
      <c r="L85" s="130"/>
      <c r="M85" s="131"/>
      <c r="N85" s="408"/>
      <c r="O85" s="136"/>
      <c r="P85" s="190"/>
    </row>
    <row r="86" spans="3:16" s="245" customFormat="1" ht="15" customHeight="1">
      <c r="C86" s="378"/>
      <c r="D86" s="127">
        <v>51</v>
      </c>
      <c r="E86" s="406" t="s">
        <v>445</v>
      </c>
      <c r="F86" s="133">
        <v>1509.6314079629051</v>
      </c>
      <c r="G86" s="134">
        <v>1517.7950810538614</v>
      </c>
      <c r="H86" s="134">
        <v>1524.9200733102175</v>
      </c>
      <c r="I86" s="134">
        <v>1537.2078072859283</v>
      </c>
      <c r="J86" s="134">
        <v>1552.0528191210888</v>
      </c>
      <c r="K86" s="134">
        <v>1568.9797088261926</v>
      </c>
      <c r="L86" s="134">
        <v>1590.2060754960444</v>
      </c>
      <c r="M86" s="135">
        <v>1613.3965507979756</v>
      </c>
      <c r="N86" s="128">
        <v>12414.189523854213</v>
      </c>
      <c r="O86" s="128">
        <v>1551.7736904817766</v>
      </c>
      <c r="P86" s="190"/>
    </row>
    <row r="87" spans="3:16" s="245" customFormat="1" ht="15" customHeight="1">
      <c r="C87" s="378"/>
      <c r="D87" s="127">
        <v>52</v>
      </c>
      <c r="E87" s="406" t="s">
        <v>446</v>
      </c>
      <c r="F87" s="222">
        <v>0.65</v>
      </c>
      <c r="G87" s="223">
        <v>0.65</v>
      </c>
      <c r="H87" s="223">
        <v>0.65</v>
      </c>
      <c r="I87" s="223">
        <v>0.65</v>
      </c>
      <c r="J87" s="223">
        <v>0.65</v>
      </c>
      <c r="K87" s="223">
        <v>0.65</v>
      </c>
      <c r="L87" s="223">
        <v>0.65</v>
      </c>
      <c r="M87" s="224">
        <v>0.65</v>
      </c>
      <c r="N87" s="225">
        <v>0.64999999999999991</v>
      </c>
      <c r="O87" s="225">
        <v>0.65</v>
      </c>
      <c r="P87" s="190"/>
    </row>
    <row r="88" spans="3:16" s="245" customFormat="1" ht="15" customHeight="1">
      <c r="C88" s="379"/>
      <c r="D88" s="127">
        <v>53</v>
      </c>
      <c r="E88" s="406" t="s">
        <v>431</v>
      </c>
      <c r="F88" s="133">
        <v>528.3709927870168</v>
      </c>
      <c r="G88" s="134">
        <v>531.22827836885142</v>
      </c>
      <c r="H88" s="134">
        <v>533.72202565857606</v>
      </c>
      <c r="I88" s="134">
        <v>538.02273255007492</v>
      </c>
      <c r="J88" s="134">
        <v>543.21848669238102</v>
      </c>
      <c r="K88" s="134">
        <v>549.14289808916737</v>
      </c>
      <c r="L88" s="134">
        <v>556.57212642361549</v>
      </c>
      <c r="M88" s="135">
        <v>564.68879277929136</v>
      </c>
      <c r="N88" s="128">
        <v>4344.9663333489752</v>
      </c>
      <c r="O88" s="128">
        <v>543.12079166862191</v>
      </c>
      <c r="P88" s="155"/>
    </row>
    <row r="89" spans="3:16" s="245" customFormat="1" ht="15" customHeight="1">
      <c r="C89" s="379"/>
      <c r="D89" s="127">
        <v>54</v>
      </c>
      <c r="E89" s="406" t="s">
        <v>447</v>
      </c>
      <c r="F89" s="137">
        <v>25.022140586985149</v>
      </c>
      <c r="G89" s="134">
        <v>25.157453468467754</v>
      </c>
      <c r="H89" s="134">
        <v>25.275550215116855</v>
      </c>
      <c r="I89" s="134">
        <v>25.479219405764258</v>
      </c>
      <c r="J89" s="134">
        <v>25.725275476932044</v>
      </c>
      <c r="K89" s="134">
        <v>26.005838673794141</v>
      </c>
      <c r="L89" s="134">
        <v>26.357665701346932</v>
      </c>
      <c r="M89" s="135">
        <v>26.742047829476444</v>
      </c>
      <c r="N89" s="128">
        <v>205.76519135788354</v>
      </c>
      <c r="O89" s="128">
        <v>25.720648919735442</v>
      </c>
      <c r="P89" s="190"/>
    </row>
    <row r="90" spans="3:16" s="245" customFormat="1" ht="15" customHeight="1" thickBot="1">
      <c r="C90" s="379"/>
      <c r="D90" s="138">
        <v>55</v>
      </c>
      <c r="E90" s="410" t="s">
        <v>677</v>
      </c>
      <c r="F90" s="254">
        <v>528.3709927870168</v>
      </c>
      <c r="G90" s="139">
        <v>531.22827836885142</v>
      </c>
      <c r="H90" s="139">
        <v>533.72202565857606</v>
      </c>
      <c r="I90" s="139">
        <v>538.02273255007492</v>
      </c>
      <c r="J90" s="139">
        <v>543.21848669238102</v>
      </c>
      <c r="K90" s="139">
        <v>549.14289808916737</v>
      </c>
      <c r="L90" s="139">
        <v>556.57212642361549</v>
      </c>
      <c r="M90" s="226">
        <v>564.68879277929136</v>
      </c>
      <c r="N90" s="253"/>
      <c r="O90" s="253">
        <v>543.12079166862191</v>
      </c>
      <c r="P90" s="190"/>
    </row>
    <row r="91" spans="3:16" s="245" customFormat="1" ht="15" customHeight="1">
      <c r="C91" s="379"/>
      <c r="D91" s="244"/>
      <c r="E91" s="402"/>
      <c r="F91" s="155"/>
      <c r="G91" s="155"/>
      <c r="H91" s="155"/>
      <c r="I91" s="155"/>
      <c r="J91" s="155"/>
      <c r="K91" s="155"/>
      <c r="L91" s="155"/>
      <c r="M91" s="155"/>
      <c r="N91" s="155"/>
      <c r="O91" s="155"/>
      <c r="P91" s="190"/>
    </row>
    <row r="92" spans="3:16" s="245" customFormat="1" ht="15" customHeight="1">
      <c r="C92" s="378"/>
      <c r="D92" s="244"/>
      <c r="E92" s="190"/>
      <c r="F92" s="155"/>
      <c r="G92" s="155"/>
      <c r="H92" s="155"/>
      <c r="I92" s="155"/>
      <c r="J92" s="155"/>
      <c r="K92" s="155"/>
      <c r="L92" s="155"/>
      <c r="M92" s="383"/>
      <c r="N92" s="155"/>
      <c r="O92" s="155"/>
      <c r="P92" s="190"/>
    </row>
    <row r="93" spans="3:16" s="245" customFormat="1" ht="15" customHeight="1">
      <c r="C93" s="378"/>
      <c r="D93" s="244"/>
      <c r="E93" s="190"/>
      <c r="F93" s="155"/>
      <c r="G93" s="155"/>
      <c r="H93" s="155"/>
      <c r="I93" s="155"/>
      <c r="J93" s="155"/>
      <c r="K93" s="155"/>
      <c r="L93" s="155"/>
      <c r="M93" s="383"/>
      <c r="N93" s="155"/>
      <c r="O93" s="155"/>
      <c r="P93" s="190"/>
    </row>
    <row r="94" spans="3:16" s="245" customFormat="1" ht="15" customHeight="1">
      <c r="C94" s="378"/>
      <c r="D94" s="244"/>
      <c r="E94" s="190"/>
      <c r="F94" s="155"/>
      <c r="G94" s="155"/>
      <c r="H94" s="155"/>
      <c r="I94" s="155"/>
      <c r="J94" s="155"/>
      <c r="K94" s="155"/>
      <c r="L94" s="155"/>
      <c r="M94" s="383"/>
      <c r="N94" s="155"/>
      <c r="O94" s="155"/>
      <c r="P94" s="190"/>
    </row>
    <row r="95" spans="3:16" s="245" customFormat="1" ht="15" customHeight="1">
      <c r="C95" s="378"/>
      <c r="D95" s="244"/>
      <c r="E95" s="190"/>
      <c r="F95" s="378"/>
      <c r="G95" s="378"/>
      <c r="H95" s="378"/>
      <c r="I95" s="378"/>
      <c r="J95" s="378"/>
      <c r="K95" s="378"/>
      <c r="L95" s="378"/>
      <c r="M95" s="378"/>
      <c r="N95" s="378"/>
      <c r="O95" s="378"/>
      <c r="P95" s="190"/>
    </row>
    <row r="96" spans="3:16" s="245" customFormat="1" ht="15" customHeight="1">
      <c r="C96" s="380" t="s">
        <v>805</v>
      </c>
      <c r="D96" s="380"/>
      <c r="E96" s="380"/>
      <c r="F96" s="380"/>
      <c r="G96" s="380"/>
      <c r="H96" s="380"/>
      <c r="I96" s="380"/>
      <c r="J96" s="380"/>
      <c r="K96" s="380"/>
      <c r="L96" s="380"/>
      <c r="M96" s="380"/>
      <c r="N96" s="380"/>
      <c r="O96" s="380"/>
      <c r="P96" s="190"/>
    </row>
    <row r="97" spans="3:16" s="245" customFormat="1" ht="15" customHeight="1">
      <c r="C97" s="379"/>
      <c r="D97" s="379"/>
      <c r="E97" s="379"/>
      <c r="F97" s="379"/>
      <c r="G97" s="379"/>
      <c r="H97" s="379"/>
      <c r="I97" s="379"/>
      <c r="J97" s="379"/>
      <c r="K97" s="379"/>
      <c r="L97" s="379"/>
      <c r="M97" s="379"/>
      <c r="N97" s="379"/>
      <c r="O97" s="379"/>
      <c r="P97" s="190"/>
    </row>
    <row r="98" spans="3:16" s="245" customFormat="1" ht="15" customHeight="1">
      <c r="C98" s="379"/>
      <c r="D98" s="376"/>
      <c r="E98" s="376"/>
      <c r="F98" s="377"/>
      <c r="G98" s="377"/>
      <c r="H98" s="377"/>
      <c r="I98" s="377"/>
      <c r="J98" s="377"/>
      <c r="K98" s="377"/>
      <c r="L98" s="377"/>
      <c r="M98" s="377"/>
      <c r="N98" s="376"/>
      <c r="O98" s="376"/>
      <c r="P98" s="155"/>
    </row>
    <row r="99" spans="3:16" s="245" customFormat="1" ht="15" customHeight="1">
      <c r="C99" s="379"/>
      <c r="D99" s="376"/>
      <c r="E99" s="381" t="s">
        <v>56</v>
      </c>
      <c r="F99" s="381" t="s">
        <v>234</v>
      </c>
      <c r="G99" s="377"/>
      <c r="H99" s="381" t="s">
        <v>37</v>
      </c>
      <c r="I99" s="377"/>
      <c r="J99" s="377"/>
      <c r="K99" s="377"/>
      <c r="L99" s="377"/>
      <c r="M99" s="377"/>
      <c r="N99" s="376"/>
      <c r="O99" s="376"/>
      <c r="P99" s="155"/>
    </row>
    <row r="100" spans="3:16" s="245" customFormat="1" ht="15" customHeight="1">
      <c r="C100" s="379"/>
      <c r="D100" s="118"/>
      <c r="E100" s="118" t="s">
        <v>508</v>
      </c>
      <c r="F100" s="345">
        <v>42460</v>
      </c>
      <c r="G100" s="119"/>
      <c r="H100" s="118" t="s">
        <v>851</v>
      </c>
      <c r="I100" s="119"/>
      <c r="J100" s="119"/>
      <c r="K100" s="119"/>
      <c r="L100" s="119"/>
      <c r="M100" s="119"/>
      <c r="N100" s="118"/>
      <c r="O100" s="118"/>
      <c r="P100" s="155"/>
    </row>
    <row r="101" spans="3:16" s="245" customFormat="1" ht="15" customHeight="1" thickBot="1">
      <c r="C101" s="379"/>
      <c r="D101" s="379"/>
      <c r="E101" s="379"/>
      <c r="F101" s="430"/>
      <c r="G101" s="430"/>
      <c r="H101" s="430"/>
      <c r="I101" s="430"/>
      <c r="J101" s="430"/>
      <c r="K101" s="430"/>
      <c r="L101" s="430"/>
      <c r="M101" s="430"/>
      <c r="N101" s="379"/>
      <c r="O101" s="379"/>
      <c r="P101" s="155"/>
    </row>
    <row r="102" spans="3:16" s="245" customFormat="1" ht="15" customHeight="1">
      <c r="C102" s="379"/>
      <c r="D102" s="120"/>
      <c r="E102" s="189" t="s">
        <v>231</v>
      </c>
      <c r="F102" s="181">
        <v>42460</v>
      </c>
      <c r="G102" s="182">
        <v>42825</v>
      </c>
      <c r="H102" s="182">
        <v>43190</v>
      </c>
      <c r="I102" s="182">
        <v>43555</v>
      </c>
      <c r="J102" s="182">
        <v>43921</v>
      </c>
      <c r="K102" s="182">
        <v>44286</v>
      </c>
      <c r="L102" s="182">
        <v>44651</v>
      </c>
      <c r="M102" s="183">
        <v>45016</v>
      </c>
      <c r="N102" s="243" t="s">
        <v>83</v>
      </c>
      <c r="O102" s="184" t="s">
        <v>84</v>
      </c>
      <c r="P102" s="155"/>
    </row>
    <row r="103" spans="3:16" s="245" customFormat="1" ht="15" customHeight="1">
      <c r="C103" s="379"/>
      <c r="D103" s="121"/>
      <c r="E103" s="406" t="s">
        <v>235</v>
      </c>
      <c r="F103" s="185" t="s">
        <v>728</v>
      </c>
      <c r="G103" s="186" t="s">
        <v>728</v>
      </c>
      <c r="H103" s="186" t="s">
        <v>728</v>
      </c>
      <c r="I103" s="186" t="s">
        <v>728</v>
      </c>
      <c r="J103" s="186" t="s">
        <v>728</v>
      </c>
      <c r="K103" s="186" t="s">
        <v>728</v>
      </c>
      <c r="L103" s="186" t="s">
        <v>728</v>
      </c>
      <c r="M103" s="187" t="s">
        <v>728</v>
      </c>
      <c r="N103" s="188" t="s">
        <v>728</v>
      </c>
      <c r="O103" s="188" t="s">
        <v>728</v>
      </c>
      <c r="P103" s="190"/>
    </row>
    <row r="104" spans="3:16" s="245" customFormat="1" ht="15" customHeight="1">
      <c r="C104" s="379"/>
      <c r="D104" s="122"/>
      <c r="E104" s="407" t="s">
        <v>67</v>
      </c>
      <c r="F104" s="123"/>
      <c r="G104" s="124"/>
      <c r="H104" s="124"/>
      <c r="I104" s="124"/>
      <c r="J104" s="124"/>
      <c r="K104" s="124"/>
      <c r="L104" s="124"/>
      <c r="M104" s="125"/>
      <c r="N104" s="126"/>
      <c r="O104" s="126"/>
      <c r="P104" s="190"/>
    </row>
    <row r="105" spans="3:16" s="245" customFormat="1" ht="15" customHeight="1">
      <c r="C105" s="379"/>
      <c r="D105" s="127">
        <v>1</v>
      </c>
      <c r="E105" s="406" t="s">
        <v>209</v>
      </c>
      <c r="F105" s="133">
        <v>127.92478130364181</v>
      </c>
      <c r="G105" s="134">
        <v>124.2482317616265</v>
      </c>
      <c r="H105" s="134">
        <v>116.02619209733381</v>
      </c>
      <c r="I105" s="134">
        <v>115.41808686934753</v>
      </c>
      <c r="J105" s="134">
        <v>113.65713184662145</v>
      </c>
      <c r="K105" s="134">
        <v>104.83375062535659</v>
      </c>
      <c r="L105" s="134">
        <v>97.651227135994105</v>
      </c>
      <c r="M105" s="135">
        <v>95.741996056369402</v>
      </c>
      <c r="N105" s="128">
        <v>895.50139769629129</v>
      </c>
      <c r="O105" s="128">
        <v>111.93767471203641</v>
      </c>
      <c r="P105" s="190"/>
    </row>
    <row r="106" spans="3:16" s="245" customFormat="1" ht="15" customHeight="1">
      <c r="C106" s="379"/>
      <c r="D106" s="127">
        <v>2</v>
      </c>
      <c r="E106" s="406" t="s">
        <v>679</v>
      </c>
      <c r="F106" s="133">
        <v>54.824906272989367</v>
      </c>
      <c r="G106" s="134">
        <v>53.24924218355423</v>
      </c>
      <c r="H106" s="134">
        <v>49.725510898857365</v>
      </c>
      <c r="I106" s="134">
        <v>49.464894372577518</v>
      </c>
      <c r="J106" s="134">
        <v>48.71019936283777</v>
      </c>
      <c r="K106" s="134">
        <v>44.928750268009978</v>
      </c>
      <c r="L106" s="134">
        <v>41.850525915426061</v>
      </c>
      <c r="M106" s="135">
        <v>41.032284024158315</v>
      </c>
      <c r="N106" s="128">
        <v>383.78631329841062</v>
      </c>
      <c r="O106" s="128">
        <v>47.973289162301327</v>
      </c>
      <c r="P106" s="190"/>
    </row>
    <row r="107" spans="3:16" s="245" customFormat="1" ht="15" customHeight="1">
      <c r="C107" s="379"/>
      <c r="D107" s="127">
        <v>3</v>
      </c>
      <c r="E107" s="406" t="s">
        <v>210</v>
      </c>
      <c r="F107" s="133">
        <v>182.74968757663117</v>
      </c>
      <c r="G107" s="134">
        <v>177.49747394518073</v>
      </c>
      <c r="H107" s="134">
        <v>165.75170299619117</v>
      </c>
      <c r="I107" s="134">
        <v>164.88298124192505</v>
      </c>
      <c r="J107" s="134">
        <v>162.36733120945922</v>
      </c>
      <c r="K107" s="134">
        <v>149.76250089336656</v>
      </c>
      <c r="L107" s="134">
        <v>139.50175305142017</v>
      </c>
      <c r="M107" s="135">
        <v>136.77428008052772</v>
      </c>
      <c r="N107" s="128">
        <v>1279.2877109947019</v>
      </c>
      <c r="O107" s="128">
        <v>159.91096387433774</v>
      </c>
      <c r="P107" s="190"/>
    </row>
    <row r="108" spans="3:16" s="245" customFormat="1" ht="15" customHeight="1">
      <c r="C108" s="379"/>
      <c r="D108" s="122"/>
      <c r="E108" s="407" t="s">
        <v>15</v>
      </c>
      <c r="F108" s="123"/>
      <c r="G108" s="124"/>
      <c r="H108" s="124"/>
      <c r="I108" s="124"/>
      <c r="J108" s="124"/>
      <c r="K108" s="124"/>
      <c r="L108" s="124"/>
      <c r="M108" s="125"/>
      <c r="N108" s="126"/>
      <c r="O108" s="126"/>
      <c r="P108" s="190"/>
    </row>
    <row r="109" spans="3:16" s="245" customFormat="1" ht="15" customHeight="1">
      <c r="C109" s="379"/>
      <c r="D109" s="127">
        <v>4</v>
      </c>
      <c r="E109" s="406" t="s">
        <v>448</v>
      </c>
      <c r="F109" s="133">
        <v>1103.0821495905222</v>
      </c>
      <c r="G109" s="134">
        <v>1130.7891621198655</v>
      </c>
      <c r="H109" s="134">
        <v>1152.5154959914319</v>
      </c>
      <c r="I109" s="134">
        <v>1164.7453816020766</v>
      </c>
      <c r="J109" s="134">
        <v>1175.5911632078537</v>
      </c>
      <c r="K109" s="134">
        <v>1184.5088513597905</v>
      </c>
      <c r="L109" s="134">
        <v>1193.9261009006721</v>
      </c>
      <c r="M109" s="135">
        <v>1197.1473449370508</v>
      </c>
      <c r="N109" s="128"/>
      <c r="O109" s="128">
        <v>1162.788206213658</v>
      </c>
      <c r="P109" s="190"/>
    </row>
    <row r="110" spans="3:16" s="245" customFormat="1" ht="15" customHeight="1">
      <c r="C110" s="379"/>
      <c r="D110" s="127">
        <v>5</v>
      </c>
      <c r="E110" s="406" t="s">
        <v>119</v>
      </c>
      <c r="F110" s="133">
        <v>0</v>
      </c>
      <c r="G110" s="134">
        <v>0</v>
      </c>
      <c r="H110" s="134">
        <v>0</v>
      </c>
      <c r="I110" s="134">
        <v>0</v>
      </c>
      <c r="J110" s="134">
        <v>0</v>
      </c>
      <c r="K110" s="134">
        <v>0</v>
      </c>
      <c r="L110" s="134">
        <v>0</v>
      </c>
      <c r="M110" s="135">
        <v>0</v>
      </c>
      <c r="N110" s="128">
        <v>0</v>
      </c>
      <c r="O110" s="128">
        <v>0</v>
      </c>
      <c r="P110" s="190"/>
    </row>
    <row r="111" spans="3:16" s="245" customFormat="1" ht="15" customHeight="1">
      <c r="C111" s="379"/>
      <c r="D111" s="127">
        <v>6</v>
      </c>
      <c r="E111" s="406" t="s">
        <v>449</v>
      </c>
      <c r="F111" s="133">
        <v>1103.0821495905222</v>
      </c>
      <c r="G111" s="134">
        <v>1130.7891621198655</v>
      </c>
      <c r="H111" s="134">
        <v>1152.5154959914319</v>
      </c>
      <c r="I111" s="134">
        <v>1164.7453816020766</v>
      </c>
      <c r="J111" s="134">
        <v>1175.5911632078537</v>
      </c>
      <c r="K111" s="134">
        <v>1184.5088513597905</v>
      </c>
      <c r="L111" s="134">
        <v>1193.9261009006721</v>
      </c>
      <c r="M111" s="135">
        <v>1197.1473449370508</v>
      </c>
      <c r="N111" s="128"/>
      <c r="O111" s="128">
        <v>1162.788206213658</v>
      </c>
      <c r="P111" s="190"/>
    </row>
    <row r="112" spans="3:16" s="245" customFormat="1" ht="15" customHeight="1">
      <c r="C112" s="379"/>
      <c r="D112" s="127">
        <v>7</v>
      </c>
      <c r="E112" s="406" t="s">
        <v>211</v>
      </c>
      <c r="F112" s="133">
        <v>127.92478130364181</v>
      </c>
      <c r="G112" s="134">
        <v>124.2482317616265</v>
      </c>
      <c r="H112" s="134">
        <v>116.02619209733381</v>
      </c>
      <c r="I112" s="134">
        <v>115.41808686934753</v>
      </c>
      <c r="J112" s="134">
        <v>113.65713184662145</v>
      </c>
      <c r="K112" s="134">
        <v>104.83375062535659</v>
      </c>
      <c r="L112" s="134">
        <v>97.651227135994105</v>
      </c>
      <c r="M112" s="135">
        <v>95.741996056369402</v>
      </c>
      <c r="N112" s="128">
        <v>895.50139769629129</v>
      </c>
      <c r="O112" s="128">
        <v>111.93767471203641</v>
      </c>
      <c r="P112" s="190"/>
    </row>
    <row r="113" spans="3:16" s="245" customFormat="1" ht="15" customHeight="1">
      <c r="C113" s="379"/>
      <c r="D113" s="127">
        <v>8</v>
      </c>
      <c r="E113" s="406" t="s">
        <v>0</v>
      </c>
      <c r="F113" s="133">
        <v>-100.21776877429852</v>
      </c>
      <c r="G113" s="134">
        <v>-102.5218978900602</v>
      </c>
      <c r="H113" s="134">
        <v>-103.79630648668899</v>
      </c>
      <c r="I113" s="134">
        <v>-104.57230526357026</v>
      </c>
      <c r="J113" s="134">
        <v>-104.73944369468481</v>
      </c>
      <c r="K113" s="134">
        <v>-95.416501084474987</v>
      </c>
      <c r="L113" s="134">
        <v>-94.429983099615256</v>
      </c>
      <c r="M113" s="135">
        <v>-92.603708993301396</v>
      </c>
      <c r="N113" s="128">
        <v>-798.29791528669443</v>
      </c>
      <c r="O113" s="128">
        <v>-99.787239410836804</v>
      </c>
      <c r="P113" s="190"/>
    </row>
    <row r="114" spans="3:16" s="245" customFormat="1" ht="15" customHeight="1">
      <c r="C114" s="379"/>
      <c r="D114" s="127">
        <v>9</v>
      </c>
      <c r="E114" s="406" t="s">
        <v>16</v>
      </c>
      <c r="F114" s="133">
        <v>1130.7891621198655</v>
      </c>
      <c r="G114" s="134">
        <v>1152.5154959914319</v>
      </c>
      <c r="H114" s="134">
        <v>1164.7453816020766</v>
      </c>
      <c r="I114" s="134">
        <v>1175.5911632078537</v>
      </c>
      <c r="J114" s="134">
        <v>1184.5088513597905</v>
      </c>
      <c r="K114" s="134">
        <v>1193.9261009006721</v>
      </c>
      <c r="L114" s="134">
        <v>1197.1473449370508</v>
      </c>
      <c r="M114" s="135">
        <v>1200.2856320001188</v>
      </c>
      <c r="N114" s="128"/>
      <c r="O114" s="128">
        <v>1174.9386415148576</v>
      </c>
      <c r="P114" s="190"/>
    </row>
    <row r="115" spans="3:16" s="245" customFormat="1" ht="15" customHeight="1">
      <c r="C115" s="379"/>
      <c r="D115" s="122"/>
      <c r="E115" s="407" t="s">
        <v>296</v>
      </c>
      <c r="F115" s="129"/>
      <c r="G115" s="130"/>
      <c r="H115" s="130"/>
      <c r="I115" s="130"/>
      <c r="J115" s="130"/>
      <c r="K115" s="130"/>
      <c r="L115" s="130"/>
      <c r="M115" s="131"/>
      <c r="N115" s="132"/>
      <c r="O115" s="132"/>
      <c r="P115" s="190"/>
    </row>
    <row r="116" spans="3:16" s="245" customFormat="1" ht="15" customHeight="1">
      <c r="C116" s="379"/>
      <c r="D116" s="127">
        <v>10</v>
      </c>
      <c r="E116" s="406" t="s">
        <v>97</v>
      </c>
      <c r="F116" s="133">
        <v>54.824906272989367</v>
      </c>
      <c r="G116" s="134">
        <v>53.24924218355423</v>
      </c>
      <c r="H116" s="134">
        <v>49.725510898857365</v>
      </c>
      <c r="I116" s="134">
        <v>49.464894372577518</v>
      </c>
      <c r="J116" s="134">
        <v>48.71019936283777</v>
      </c>
      <c r="K116" s="134">
        <v>44.928750268009978</v>
      </c>
      <c r="L116" s="134">
        <v>41.850525915426061</v>
      </c>
      <c r="M116" s="135">
        <v>41.032284024158315</v>
      </c>
      <c r="N116" s="128">
        <v>383.78631329841062</v>
      </c>
      <c r="O116" s="128">
        <v>47.973289162301327</v>
      </c>
      <c r="P116" s="190"/>
    </row>
    <row r="117" spans="3:16" s="245" customFormat="1" ht="15" customHeight="1">
      <c r="C117" s="379"/>
      <c r="D117" s="127">
        <v>11</v>
      </c>
      <c r="E117" s="406" t="s">
        <v>600</v>
      </c>
      <c r="F117" s="133">
        <v>21.662091641068386</v>
      </c>
      <c r="G117" s="134">
        <v>21.709658139241732</v>
      </c>
      <c r="H117" s="134">
        <v>23.816309213457117</v>
      </c>
      <c r="I117" s="134">
        <v>23.873775814697787</v>
      </c>
      <c r="J117" s="134">
        <v>23.925880270350547</v>
      </c>
      <c r="K117" s="134">
        <v>23.989157961128356</v>
      </c>
      <c r="L117" s="134">
        <v>23.09612503064379</v>
      </c>
      <c r="M117" s="135">
        <v>23.138232112815043</v>
      </c>
      <c r="N117" s="128">
        <v>185.21123018340279</v>
      </c>
      <c r="O117" s="128">
        <v>23.151403772925349</v>
      </c>
      <c r="P117" s="190"/>
    </row>
    <row r="118" spans="3:16" s="245" customFormat="1" ht="15" customHeight="1">
      <c r="C118" s="379"/>
      <c r="D118" s="127">
        <v>12</v>
      </c>
      <c r="E118" s="406" t="s">
        <v>65</v>
      </c>
      <c r="F118" s="133">
        <v>100.21776877429852</v>
      </c>
      <c r="G118" s="134">
        <v>102.5218978900602</v>
      </c>
      <c r="H118" s="134">
        <v>103.79630648668899</v>
      </c>
      <c r="I118" s="134">
        <v>104.57230526357026</v>
      </c>
      <c r="J118" s="134">
        <v>104.73944369468481</v>
      </c>
      <c r="K118" s="134">
        <v>95.416501084474987</v>
      </c>
      <c r="L118" s="134">
        <v>94.429983099615256</v>
      </c>
      <c r="M118" s="135">
        <v>92.603708993301396</v>
      </c>
      <c r="N118" s="128">
        <v>798.29791528669443</v>
      </c>
      <c r="O118" s="128">
        <v>99.787239410836804</v>
      </c>
      <c r="P118" s="190"/>
    </row>
    <row r="119" spans="3:16" s="245" customFormat="1" ht="15" customHeight="1">
      <c r="C119" s="379"/>
      <c r="D119" s="127">
        <v>13</v>
      </c>
      <c r="E119" s="406" t="s">
        <v>18</v>
      </c>
      <c r="F119" s="133">
        <v>41.199496350773693</v>
      </c>
      <c r="G119" s="134">
        <v>42.11344328722695</v>
      </c>
      <c r="H119" s="134">
        <v>42.743074849711419</v>
      </c>
      <c r="I119" s="134">
        <v>43.169229746560653</v>
      </c>
      <c r="J119" s="134">
        <v>43.53446856065036</v>
      </c>
      <c r="K119" s="134">
        <v>43.872528939384026</v>
      </c>
      <c r="L119" s="134">
        <v>44.107782982866723</v>
      </c>
      <c r="M119" s="135">
        <v>44.225127460665952</v>
      </c>
      <c r="N119" s="128">
        <v>344.96515217783974</v>
      </c>
      <c r="O119" s="128">
        <v>43.120644022229968</v>
      </c>
      <c r="P119" s="190"/>
    </row>
    <row r="120" spans="3:16" s="245" customFormat="1" ht="15" customHeight="1">
      <c r="C120" s="379"/>
      <c r="D120" s="127">
        <v>14</v>
      </c>
      <c r="E120" s="406" t="s">
        <v>102</v>
      </c>
      <c r="F120" s="133">
        <v>0</v>
      </c>
      <c r="G120" s="134">
        <v>0</v>
      </c>
      <c r="H120" s="134">
        <v>0</v>
      </c>
      <c r="I120" s="134">
        <v>0</v>
      </c>
      <c r="J120" s="134">
        <v>0</v>
      </c>
      <c r="K120" s="134">
        <v>0</v>
      </c>
      <c r="L120" s="134">
        <v>0</v>
      </c>
      <c r="M120" s="135">
        <v>0</v>
      </c>
      <c r="N120" s="128">
        <v>0</v>
      </c>
      <c r="O120" s="128">
        <v>0</v>
      </c>
      <c r="P120" s="190"/>
    </row>
    <row r="121" spans="3:16" s="245" customFormat="1" ht="15" customHeight="1">
      <c r="C121" s="379"/>
      <c r="D121" s="127">
        <v>15</v>
      </c>
      <c r="E121" s="406" t="s">
        <v>22</v>
      </c>
      <c r="F121" s="133">
        <v>-0.65871781800535345</v>
      </c>
      <c r="G121" s="134">
        <v>-0.63543772576063684</v>
      </c>
      <c r="H121" s="134">
        <v>-0.58907862874233818</v>
      </c>
      <c r="I121" s="134">
        <v>-0.58178188190178026</v>
      </c>
      <c r="J121" s="134">
        <v>-0.56823918867341305</v>
      </c>
      <c r="K121" s="134">
        <v>-0.51933170333654122</v>
      </c>
      <c r="L121" s="134">
        <v>-0.47962665852661612</v>
      </c>
      <c r="M121" s="135">
        <v>-0.4656874701170608</v>
      </c>
      <c r="N121" s="128">
        <v>-4.4979010750637398</v>
      </c>
      <c r="O121" s="128">
        <v>-0.56223763438296748</v>
      </c>
      <c r="P121" s="190"/>
    </row>
    <row r="122" spans="3:16" s="245" customFormat="1" ht="15" customHeight="1">
      <c r="C122" s="379"/>
      <c r="D122" s="127">
        <v>16</v>
      </c>
      <c r="E122" s="406" t="s">
        <v>215</v>
      </c>
      <c r="F122" s="133">
        <v>14.996875877986735</v>
      </c>
      <c r="G122" s="134">
        <v>11.477285322513954</v>
      </c>
      <c r="H122" s="134">
        <v>12.173071168775556</v>
      </c>
      <c r="I122" s="134">
        <v>11.574323826774048</v>
      </c>
      <c r="J122" s="134">
        <v>11.984016042077947</v>
      </c>
      <c r="K122" s="134">
        <v>24.586208721804528</v>
      </c>
      <c r="L122" s="134">
        <v>28.849983538867093</v>
      </c>
      <c r="M122" s="135">
        <v>31.072522416342824</v>
      </c>
      <c r="N122" s="128">
        <v>146.71428691514268</v>
      </c>
      <c r="O122" s="128">
        <v>18.339285864392835</v>
      </c>
      <c r="P122" s="190"/>
    </row>
    <row r="123" spans="3:16" s="245" customFormat="1" ht="15" customHeight="1">
      <c r="C123" s="379"/>
      <c r="D123" s="127">
        <v>17</v>
      </c>
      <c r="E123" s="406" t="s">
        <v>6</v>
      </c>
      <c r="F123" s="133">
        <v>16.850880263473677</v>
      </c>
      <c r="G123" s="134">
        <v>16.093055463591909</v>
      </c>
      <c r="H123" s="134">
        <v>14.863670152560864</v>
      </c>
      <c r="I123" s="134">
        <v>14.456495875256977</v>
      </c>
      <c r="J123" s="134">
        <v>14.204671275804936</v>
      </c>
      <c r="K123" s="134">
        <v>14.256333348645496</v>
      </c>
      <c r="L123" s="134">
        <v>14.682042452029789</v>
      </c>
      <c r="M123" s="135">
        <v>14.937012743430902</v>
      </c>
      <c r="N123" s="128">
        <v>120.34416157479455</v>
      </c>
      <c r="O123" s="128">
        <v>15.043020196849319</v>
      </c>
      <c r="P123" s="190"/>
    </row>
    <row r="124" spans="3:16" s="245" customFormat="1" ht="15" customHeight="1">
      <c r="C124" s="379"/>
      <c r="D124" s="122"/>
      <c r="E124" s="407" t="s">
        <v>164</v>
      </c>
      <c r="F124" s="129"/>
      <c r="G124" s="130"/>
      <c r="H124" s="130"/>
      <c r="I124" s="130"/>
      <c r="J124" s="130"/>
      <c r="K124" s="130"/>
      <c r="L124" s="130"/>
      <c r="M124" s="131"/>
      <c r="N124" s="132"/>
      <c r="O124" s="132"/>
      <c r="P124" s="190"/>
    </row>
    <row r="125" spans="3:16" s="245" customFormat="1" ht="15" customHeight="1">
      <c r="C125" s="379"/>
      <c r="D125" s="127">
        <v>18</v>
      </c>
      <c r="E125" s="406" t="s">
        <v>97</v>
      </c>
      <c r="F125" s="133">
        <v>54.824906272989367</v>
      </c>
      <c r="G125" s="134">
        <v>53.24924218355423</v>
      </c>
      <c r="H125" s="134">
        <v>49.725510898857365</v>
      </c>
      <c r="I125" s="134">
        <v>49.464894372577518</v>
      </c>
      <c r="J125" s="134">
        <v>48.71019936283777</v>
      </c>
      <c r="K125" s="134">
        <v>44.928750268009978</v>
      </c>
      <c r="L125" s="134">
        <v>41.850525915426061</v>
      </c>
      <c r="M125" s="135">
        <v>41.032284024158315</v>
      </c>
      <c r="N125" s="128">
        <v>383.78631329841062</v>
      </c>
      <c r="O125" s="128">
        <v>47.973289162301327</v>
      </c>
      <c r="P125" s="190"/>
    </row>
    <row r="126" spans="3:16" s="245" customFormat="1" ht="15" customHeight="1">
      <c r="C126" s="379"/>
      <c r="D126" s="127">
        <v>19</v>
      </c>
      <c r="E126" s="406" t="s">
        <v>600</v>
      </c>
      <c r="F126" s="133">
        <v>21.662091641068386</v>
      </c>
      <c r="G126" s="134">
        <v>21.709658139241732</v>
      </c>
      <c r="H126" s="134">
        <v>23.816309213457117</v>
      </c>
      <c r="I126" s="134">
        <v>23.873775814697787</v>
      </c>
      <c r="J126" s="134">
        <v>23.925880270350547</v>
      </c>
      <c r="K126" s="134">
        <v>23.989157961128356</v>
      </c>
      <c r="L126" s="134">
        <v>23.09612503064379</v>
      </c>
      <c r="M126" s="135">
        <v>23.138232112815043</v>
      </c>
      <c r="N126" s="128">
        <v>185.21123018340279</v>
      </c>
      <c r="O126" s="128">
        <v>23.151403772925349</v>
      </c>
      <c r="P126" s="190"/>
    </row>
    <row r="127" spans="3:16" s="245" customFormat="1" ht="15" customHeight="1">
      <c r="C127" s="379"/>
      <c r="D127" s="127">
        <v>20</v>
      </c>
      <c r="E127" s="406" t="s">
        <v>65</v>
      </c>
      <c r="F127" s="133">
        <v>100.21776877429852</v>
      </c>
      <c r="G127" s="134">
        <v>102.5218978900602</v>
      </c>
      <c r="H127" s="134">
        <v>103.79630648668899</v>
      </c>
      <c r="I127" s="134">
        <v>104.57230526357026</v>
      </c>
      <c r="J127" s="134">
        <v>104.73944369468481</v>
      </c>
      <c r="K127" s="134">
        <v>95.416501084474987</v>
      </c>
      <c r="L127" s="134">
        <v>94.429983099615256</v>
      </c>
      <c r="M127" s="135">
        <v>92.603708993301396</v>
      </c>
      <c r="N127" s="128">
        <v>798.29791528669443</v>
      </c>
      <c r="O127" s="128">
        <v>99.787239410836804</v>
      </c>
      <c r="P127" s="190"/>
    </row>
    <row r="128" spans="3:16" s="245" customFormat="1" ht="15" customHeight="1">
      <c r="C128" s="379"/>
      <c r="D128" s="127">
        <v>21</v>
      </c>
      <c r="E128" s="406" t="s">
        <v>18</v>
      </c>
      <c r="F128" s="133">
        <v>41.199496350773693</v>
      </c>
      <c r="G128" s="134">
        <v>42.11344328722695</v>
      </c>
      <c r="H128" s="134">
        <v>42.743074849711419</v>
      </c>
      <c r="I128" s="134">
        <v>43.169229746560653</v>
      </c>
      <c r="J128" s="134">
        <v>43.53446856065036</v>
      </c>
      <c r="K128" s="134">
        <v>43.872528939384026</v>
      </c>
      <c r="L128" s="134">
        <v>44.107782982866723</v>
      </c>
      <c r="M128" s="135">
        <v>44.225127460665952</v>
      </c>
      <c r="N128" s="128">
        <v>344.96515217783974</v>
      </c>
      <c r="O128" s="128">
        <v>43.120644022229968</v>
      </c>
      <c r="P128" s="190"/>
    </row>
    <row r="129" spans="3:16" s="245" customFormat="1" ht="15" customHeight="1">
      <c r="C129" s="379"/>
      <c r="D129" s="127">
        <v>22</v>
      </c>
      <c r="E129" s="406" t="s">
        <v>102</v>
      </c>
      <c r="F129" s="133">
        <v>0</v>
      </c>
      <c r="G129" s="134">
        <v>0</v>
      </c>
      <c r="H129" s="134">
        <v>0</v>
      </c>
      <c r="I129" s="134">
        <v>0</v>
      </c>
      <c r="J129" s="134">
        <v>0</v>
      </c>
      <c r="K129" s="134">
        <v>0</v>
      </c>
      <c r="L129" s="134">
        <v>0</v>
      </c>
      <c r="M129" s="135">
        <v>0</v>
      </c>
      <c r="N129" s="128">
        <v>0</v>
      </c>
      <c r="O129" s="128">
        <v>0</v>
      </c>
      <c r="P129" s="190"/>
    </row>
    <row r="130" spans="3:16" s="245" customFormat="1" ht="15" customHeight="1">
      <c r="C130" s="379"/>
      <c r="D130" s="127">
        <v>23</v>
      </c>
      <c r="E130" s="406" t="s">
        <v>22</v>
      </c>
      <c r="F130" s="133">
        <v>-0.65871781800535345</v>
      </c>
      <c r="G130" s="134">
        <v>-0.63543772576063684</v>
      </c>
      <c r="H130" s="134">
        <v>-0.58907862874233818</v>
      </c>
      <c r="I130" s="134">
        <v>-0.58178188190178026</v>
      </c>
      <c r="J130" s="134">
        <v>-0.56823918867341305</v>
      </c>
      <c r="K130" s="134">
        <v>-0.51933170333654122</v>
      </c>
      <c r="L130" s="134">
        <v>-0.47962665852661612</v>
      </c>
      <c r="M130" s="135">
        <v>-0.4656874701170608</v>
      </c>
      <c r="N130" s="128">
        <v>-4.4979010750637398</v>
      </c>
      <c r="O130" s="128">
        <v>-0.56223763438296748</v>
      </c>
      <c r="P130" s="190"/>
    </row>
    <row r="131" spans="3:16" s="245" customFormat="1" ht="15" customHeight="1">
      <c r="C131" s="379"/>
      <c r="D131" s="127">
        <v>24</v>
      </c>
      <c r="E131" s="406" t="s">
        <v>215</v>
      </c>
      <c r="F131" s="133">
        <v>14.996875877986735</v>
      </c>
      <c r="G131" s="134">
        <v>11.477285322513954</v>
      </c>
      <c r="H131" s="134">
        <v>12.173071168775556</v>
      </c>
      <c r="I131" s="134">
        <v>11.574323826774048</v>
      </c>
      <c r="J131" s="134">
        <v>11.984016042077947</v>
      </c>
      <c r="K131" s="134">
        <v>24.586208721804528</v>
      </c>
      <c r="L131" s="134">
        <v>28.849983538867093</v>
      </c>
      <c r="M131" s="135">
        <v>31.072522416342824</v>
      </c>
      <c r="N131" s="128">
        <v>146.71428691514268</v>
      </c>
      <c r="O131" s="128">
        <v>18.339285864392835</v>
      </c>
      <c r="P131" s="190"/>
    </row>
    <row r="132" spans="3:16" s="245" customFormat="1" ht="15" customHeight="1">
      <c r="C132" s="379"/>
      <c r="D132" s="127">
        <v>25</v>
      </c>
      <c r="E132" s="406" t="s">
        <v>6</v>
      </c>
      <c r="F132" s="133">
        <v>16.850880263473677</v>
      </c>
      <c r="G132" s="134">
        <v>16.093055463591909</v>
      </c>
      <c r="H132" s="134">
        <v>14.863670152560864</v>
      </c>
      <c r="I132" s="134">
        <v>14.456495875256977</v>
      </c>
      <c r="J132" s="134">
        <v>14.204671275804936</v>
      </c>
      <c r="K132" s="134">
        <v>14.256333348645496</v>
      </c>
      <c r="L132" s="134">
        <v>14.682042452029789</v>
      </c>
      <c r="M132" s="135">
        <v>14.937012743430902</v>
      </c>
      <c r="N132" s="128">
        <v>120.34416157479455</v>
      </c>
      <c r="O132" s="128">
        <v>15.043020196849319</v>
      </c>
      <c r="P132" s="190"/>
    </row>
    <row r="133" spans="3:16" s="245" customFormat="1" ht="15" customHeight="1">
      <c r="C133" s="379"/>
      <c r="D133" s="122"/>
      <c r="E133" s="407" t="s">
        <v>19</v>
      </c>
      <c r="F133" s="129"/>
      <c r="G133" s="130"/>
      <c r="H133" s="130"/>
      <c r="I133" s="130"/>
      <c r="J133" s="130"/>
      <c r="K133" s="130"/>
      <c r="L133" s="130"/>
      <c r="M133" s="131"/>
      <c r="N133" s="408"/>
      <c r="O133" s="136"/>
      <c r="P133" s="190"/>
    </row>
    <row r="134" spans="3:16" s="245" customFormat="1" ht="15" customHeight="1">
      <c r="C134" s="379"/>
      <c r="D134" s="127">
        <v>26</v>
      </c>
      <c r="E134" s="406" t="s">
        <v>460</v>
      </c>
      <c r="F134" s="133">
        <v>249.09330136258501</v>
      </c>
      <c r="G134" s="134">
        <v>246.52914456042834</v>
      </c>
      <c r="H134" s="134">
        <v>246.52886414130901</v>
      </c>
      <c r="I134" s="134">
        <v>246.52924301753546</v>
      </c>
      <c r="J134" s="134">
        <v>246.53044001773296</v>
      </c>
      <c r="K134" s="134">
        <v>246.53014862011082</v>
      </c>
      <c r="L134" s="134">
        <v>246.53681636092207</v>
      </c>
      <c r="M134" s="135">
        <v>246.5432002805974</v>
      </c>
      <c r="N134" s="128">
        <v>1974.821158361221</v>
      </c>
      <c r="O134" s="128">
        <v>246.85264479515263</v>
      </c>
      <c r="P134" s="190"/>
    </row>
    <row r="135" spans="3:16" s="245" customFormat="1" ht="15" customHeight="1">
      <c r="C135" s="379"/>
      <c r="D135" s="127">
        <v>27</v>
      </c>
      <c r="E135" s="406" t="s">
        <v>58</v>
      </c>
      <c r="F135" s="133">
        <v>0</v>
      </c>
      <c r="G135" s="134">
        <v>0</v>
      </c>
      <c r="H135" s="134">
        <v>0</v>
      </c>
      <c r="I135" s="134">
        <v>0</v>
      </c>
      <c r="J135" s="134">
        <v>0</v>
      </c>
      <c r="K135" s="134">
        <v>0</v>
      </c>
      <c r="L135" s="134">
        <v>0</v>
      </c>
      <c r="M135" s="135">
        <v>0</v>
      </c>
      <c r="N135" s="128">
        <v>0</v>
      </c>
      <c r="O135" s="128">
        <v>0</v>
      </c>
      <c r="P135" s="190"/>
    </row>
    <row r="136" spans="3:16" s="245" customFormat="1" ht="15" customHeight="1">
      <c r="C136" s="379"/>
      <c r="D136" s="127">
        <v>28</v>
      </c>
      <c r="E136" s="406" t="s">
        <v>43</v>
      </c>
      <c r="F136" s="137">
        <v>249.09330136258501</v>
      </c>
      <c r="G136" s="134">
        <v>246.52914456042834</v>
      </c>
      <c r="H136" s="134">
        <v>246.52886414130901</v>
      </c>
      <c r="I136" s="134">
        <v>246.52924301753546</v>
      </c>
      <c r="J136" s="134">
        <v>246.53044001773296</v>
      </c>
      <c r="K136" s="134">
        <v>246.53014862011082</v>
      </c>
      <c r="L136" s="134">
        <v>246.53681636092207</v>
      </c>
      <c r="M136" s="135">
        <v>246.5432002805974</v>
      </c>
      <c r="N136" s="128">
        <v>1974.821158361221</v>
      </c>
      <c r="O136" s="128">
        <v>246.85264479515263</v>
      </c>
      <c r="P136" s="190"/>
    </row>
    <row r="137" spans="3:16" s="245" customFormat="1" ht="15" customHeight="1">
      <c r="C137" s="379"/>
      <c r="D137" s="127">
        <v>29</v>
      </c>
      <c r="E137" s="406" t="s">
        <v>739</v>
      </c>
      <c r="F137" s="137">
        <v>5.0962366169156361</v>
      </c>
      <c r="G137" s="134">
        <v>3.0377476819503797</v>
      </c>
      <c r="H137" s="134">
        <v>2.8797746350824389</v>
      </c>
      <c r="I137" s="134">
        <v>2.2574026691855105</v>
      </c>
      <c r="J137" s="134">
        <v>2.0832206765611287</v>
      </c>
      <c r="K137" s="134">
        <v>2.0590196528077449</v>
      </c>
      <c r="L137" s="134">
        <v>1.4603037093049522</v>
      </c>
      <c r="M137" s="135">
        <v>2.4816254155556665</v>
      </c>
      <c r="N137" s="128">
        <v>21.355331057363458</v>
      </c>
      <c r="O137" s="128">
        <v>2.6694163821704322</v>
      </c>
      <c r="P137" s="190"/>
    </row>
    <row r="138" spans="3:16" s="245" customFormat="1" ht="15" customHeight="1">
      <c r="C138" s="379"/>
      <c r="D138" s="127">
        <v>30</v>
      </c>
      <c r="E138" s="406" t="s">
        <v>770</v>
      </c>
      <c r="F138" s="431">
        <v>7.7408748285925428</v>
      </c>
      <c r="G138" s="137">
        <v>-2.5287610007910422</v>
      </c>
      <c r="H138" s="137">
        <v>0</v>
      </c>
      <c r="I138" s="137">
        <v>0</v>
      </c>
      <c r="J138" s="137">
        <v>0</v>
      </c>
      <c r="K138" s="137">
        <v>0</v>
      </c>
      <c r="L138" s="137">
        <v>0</v>
      </c>
      <c r="M138" s="137">
        <v>0</v>
      </c>
      <c r="N138" s="128">
        <v>5.2121138278015007</v>
      </c>
      <c r="O138" s="128">
        <v>0.65151422847518758</v>
      </c>
      <c r="P138" s="190"/>
    </row>
    <row r="139" spans="3:16" s="245" customFormat="1" ht="15" customHeight="1">
      <c r="C139" s="379"/>
      <c r="D139" s="127">
        <v>31</v>
      </c>
      <c r="E139" s="406" t="s">
        <v>764</v>
      </c>
      <c r="F139" s="137">
        <v>0</v>
      </c>
      <c r="G139" s="134">
        <v>0</v>
      </c>
      <c r="H139" s="134">
        <v>0</v>
      </c>
      <c r="I139" s="134">
        <v>0</v>
      </c>
      <c r="J139" s="134">
        <v>0</v>
      </c>
      <c r="K139" s="134">
        <v>0</v>
      </c>
      <c r="L139" s="134">
        <v>0</v>
      </c>
      <c r="M139" s="135">
        <v>0</v>
      </c>
      <c r="N139" s="128">
        <v>0</v>
      </c>
      <c r="O139" s="128">
        <v>0</v>
      </c>
      <c r="P139" s="190"/>
    </row>
    <row r="140" spans="3:16" s="245" customFormat="1" ht="15" customHeight="1">
      <c r="C140" s="379"/>
      <c r="D140" s="127">
        <v>32</v>
      </c>
      <c r="E140" s="406" t="s">
        <v>9</v>
      </c>
      <c r="F140" s="137">
        <v>261.93041280809319</v>
      </c>
      <c r="G140" s="134">
        <v>247.03813124158768</v>
      </c>
      <c r="H140" s="134">
        <v>249.40863877639146</v>
      </c>
      <c r="I140" s="134">
        <v>248.78664568672099</v>
      </c>
      <c r="J140" s="134">
        <v>248.61366069429408</v>
      </c>
      <c r="K140" s="134">
        <v>248.58916827291856</v>
      </c>
      <c r="L140" s="134">
        <v>247.99712007022703</v>
      </c>
      <c r="M140" s="367">
        <v>249.02482569615307</v>
      </c>
      <c r="N140" s="128">
        <v>2001.3886032463863</v>
      </c>
      <c r="O140" s="128">
        <v>250.17357540579829</v>
      </c>
      <c r="P140" s="190"/>
    </row>
    <row r="141" spans="3:16" s="245" customFormat="1" ht="15" customHeight="1">
      <c r="C141" s="379"/>
      <c r="D141" s="122"/>
      <c r="E141" s="407" t="s">
        <v>173</v>
      </c>
      <c r="F141" s="129"/>
      <c r="G141" s="130"/>
      <c r="H141" s="130"/>
      <c r="I141" s="130"/>
      <c r="J141" s="130"/>
      <c r="K141" s="198"/>
      <c r="L141" s="130"/>
      <c r="M141" s="131"/>
      <c r="N141" s="408"/>
      <c r="O141" s="136"/>
      <c r="P141" s="190"/>
    </row>
    <row r="142" spans="3:16" s="245" customFormat="1" ht="15" customHeight="1">
      <c r="C142" s="379"/>
      <c r="D142" s="127">
        <v>33</v>
      </c>
      <c r="E142" s="406" t="s">
        <v>173</v>
      </c>
      <c r="F142" s="133">
        <v>249.09330136258501</v>
      </c>
      <c r="G142" s="134">
        <v>246.52914456042834</v>
      </c>
      <c r="H142" s="134">
        <v>246.52886414130901</v>
      </c>
      <c r="I142" s="134">
        <v>246.52924301753546</v>
      </c>
      <c r="J142" s="134">
        <v>246.53044001773296</v>
      </c>
      <c r="K142" s="134">
        <v>246.53014862011082</v>
      </c>
      <c r="L142" s="134">
        <v>246.53681636092207</v>
      </c>
      <c r="M142" s="135">
        <v>246.5432002805974</v>
      </c>
      <c r="N142" s="128">
        <v>1974.821158361221</v>
      </c>
      <c r="O142" s="128">
        <v>246.85264479515263</v>
      </c>
      <c r="P142" s="190"/>
    </row>
    <row r="143" spans="3:16" s="245" customFormat="1" ht="15" customHeight="1">
      <c r="C143" s="379"/>
      <c r="D143" s="127">
        <v>34</v>
      </c>
      <c r="E143" s="406" t="s">
        <v>187</v>
      </c>
      <c r="F143" s="133">
        <v>0</v>
      </c>
      <c r="G143" s="134">
        <v>0</v>
      </c>
      <c r="H143" s="134">
        <v>0</v>
      </c>
      <c r="I143" s="134">
        <v>0</v>
      </c>
      <c r="J143" s="134">
        <v>0</v>
      </c>
      <c r="K143" s="134">
        <v>0</v>
      </c>
      <c r="L143" s="134">
        <v>0</v>
      </c>
      <c r="M143" s="135">
        <v>0</v>
      </c>
      <c r="N143" s="128">
        <v>0</v>
      </c>
      <c r="O143" s="128">
        <v>0</v>
      </c>
      <c r="P143" s="190"/>
    </row>
    <row r="144" spans="3:16" s="245" customFormat="1" ht="15" customHeight="1">
      <c r="C144" s="378"/>
      <c r="D144" s="122"/>
      <c r="E144" s="407" t="s">
        <v>297</v>
      </c>
      <c r="F144" s="129"/>
      <c r="G144" s="130"/>
      <c r="H144" s="130"/>
      <c r="I144" s="130"/>
      <c r="J144" s="130"/>
      <c r="K144" s="198"/>
      <c r="L144" s="130"/>
      <c r="M144" s="131"/>
      <c r="N144" s="408"/>
      <c r="O144" s="136"/>
      <c r="P144" s="190"/>
    </row>
    <row r="145" spans="3:16" s="245" customFormat="1" ht="15" customHeight="1">
      <c r="C145" s="378"/>
      <c r="D145" s="127">
        <v>35</v>
      </c>
      <c r="E145" s="409">
        <v>42460</v>
      </c>
      <c r="F145" s="137">
        <v>249.09330136258501</v>
      </c>
      <c r="G145" s="134">
        <v>246.52914456042834</v>
      </c>
      <c r="H145" s="134">
        <v>246.52886414130901</v>
      </c>
      <c r="I145" s="134">
        <v>246.52924301753546</v>
      </c>
      <c r="J145" s="134">
        <v>246.53044001773296</v>
      </c>
      <c r="K145" s="134">
        <v>246.53014862011082</v>
      </c>
      <c r="L145" s="134">
        <v>246.53681636092207</v>
      </c>
      <c r="M145" s="135">
        <v>246.5432002805974</v>
      </c>
      <c r="N145" s="128">
        <v>1974.821158361221</v>
      </c>
      <c r="O145" s="128">
        <v>246.85264479515263</v>
      </c>
      <c r="P145" s="190"/>
    </row>
    <row r="146" spans="3:16" s="245" customFormat="1" ht="15" customHeight="1">
      <c r="C146" s="378"/>
      <c r="D146" s="127">
        <v>36</v>
      </c>
      <c r="E146" s="409">
        <v>42825</v>
      </c>
      <c r="F146" s="137" t="s">
        <v>196</v>
      </c>
      <c r="G146" s="134" t="s">
        <v>196</v>
      </c>
      <c r="H146" s="134" t="s">
        <v>196</v>
      </c>
      <c r="I146" s="134" t="s">
        <v>196</v>
      </c>
      <c r="J146" s="134" t="s">
        <v>196</v>
      </c>
      <c r="K146" s="134" t="s">
        <v>196</v>
      </c>
      <c r="L146" s="134" t="s">
        <v>196</v>
      </c>
      <c r="M146" s="135" t="s">
        <v>196</v>
      </c>
      <c r="N146" s="128">
        <v>0</v>
      </c>
      <c r="O146" s="128">
        <v>0</v>
      </c>
      <c r="P146" s="190"/>
    </row>
    <row r="147" spans="3:16" s="245" customFormat="1" ht="15" customHeight="1">
      <c r="C147" s="378"/>
      <c r="D147" s="127">
        <v>37</v>
      </c>
      <c r="E147" s="409">
        <v>43190</v>
      </c>
      <c r="F147" s="137" t="s">
        <v>196</v>
      </c>
      <c r="G147" s="134" t="s">
        <v>196</v>
      </c>
      <c r="H147" s="134" t="s">
        <v>196</v>
      </c>
      <c r="I147" s="134" t="s">
        <v>196</v>
      </c>
      <c r="J147" s="134" t="s">
        <v>196</v>
      </c>
      <c r="K147" s="134" t="s">
        <v>196</v>
      </c>
      <c r="L147" s="134" t="s">
        <v>196</v>
      </c>
      <c r="M147" s="135" t="s">
        <v>196</v>
      </c>
      <c r="N147" s="128">
        <v>0</v>
      </c>
      <c r="O147" s="128">
        <v>0</v>
      </c>
      <c r="P147" s="190"/>
    </row>
    <row r="148" spans="3:16" s="245" customFormat="1" ht="15" customHeight="1">
      <c r="C148" s="378"/>
      <c r="D148" s="127">
        <v>38</v>
      </c>
      <c r="E148" s="409">
        <v>43555</v>
      </c>
      <c r="F148" s="137" t="s">
        <v>196</v>
      </c>
      <c r="G148" s="134" t="s">
        <v>196</v>
      </c>
      <c r="H148" s="134" t="s">
        <v>196</v>
      </c>
      <c r="I148" s="134" t="s">
        <v>196</v>
      </c>
      <c r="J148" s="134" t="s">
        <v>196</v>
      </c>
      <c r="K148" s="134" t="s">
        <v>196</v>
      </c>
      <c r="L148" s="134" t="s">
        <v>196</v>
      </c>
      <c r="M148" s="135" t="s">
        <v>196</v>
      </c>
      <c r="N148" s="128">
        <v>0</v>
      </c>
      <c r="O148" s="128">
        <v>0</v>
      </c>
      <c r="P148" s="190"/>
    </row>
    <row r="149" spans="3:16" s="245" customFormat="1" ht="15" customHeight="1">
      <c r="C149" s="378"/>
      <c r="D149" s="127">
        <v>39</v>
      </c>
      <c r="E149" s="409">
        <v>43921</v>
      </c>
      <c r="F149" s="137" t="s">
        <v>196</v>
      </c>
      <c r="G149" s="134" t="s">
        <v>196</v>
      </c>
      <c r="H149" s="134" t="s">
        <v>196</v>
      </c>
      <c r="I149" s="134" t="s">
        <v>196</v>
      </c>
      <c r="J149" s="134" t="s">
        <v>196</v>
      </c>
      <c r="K149" s="134" t="s">
        <v>196</v>
      </c>
      <c r="L149" s="134" t="s">
        <v>196</v>
      </c>
      <c r="M149" s="135" t="s">
        <v>196</v>
      </c>
      <c r="N149" s="128">
        <v>0</v>
      </c>
      <c r="O149" s="128">
        <v>0</v>
      </c>
      <c r="P149" s="190"/>
    </row>
    <row r="150" spans="3:16" s="245" customFormat="1" ht="15" customHeight="1">
      <c r="C150" s="378"/>
      <c r="D150" s="127">
        <v>40</v>
      </c>
      <c r="E150" s="409">
        <v>44286</v>
      </c>
      <c r="F150" s="137" t="s">
        <v>196</v>
      </c>
      <c r="G150" s="134" t="s">
        <v>196</v>
      </c>
      <c r="H150" s="134" t="s">
        <v>196</v>
      </c>
      <c r="I150" s="134" t="s">
        <v>196</v>
      </c>
      <c r="J150" s="134" t="s">
        <v>196</v>
      </c>
      <c r="K150" s="134" t="s">
        <v>196</v>
      </c>
      <c r="L150" s="134" t="s">
        <v>196</v>
      </c>
      <c r="M150" s="135" t="s">
        <v>196</v>
      </c>
      <c r="N150" s="128">
        <v>0</v>
      </c>
      <c r="O150" s="128">
        <v>0</v>
      </c>
      <c r="P150" s="190"/>
    </row>
    <row r="151" spans="3:16" s="245" customFormat="1" ht="15" customHeight="1">
      <c r="C151" s="378"/>
      <c r="D151" s="127">
        <v>41</v>
      </c>
      <c r="E151" s="409">
        <v>44651</v>
      </c>
      <c r="F151" s="137" t="s">
        <v>196</v>
      </c>
      <c r="G151" s="134" t="s">
        <v>196</v>
      </c>
      <c r="H151" s="134" t="s">
        <v>196</v>
      </c>
      <c r="I151" s="134" t="s">
        <v>196</v>
      </c>
      <c r="J151" s="134" t="s">
        <v>196</v>
      </c>
      <c r="K151" s="134" t="s">
        <v>196</v>
      </c>
      <c r="L151" s="134" t="s">
        <v>196</v>
      </c>
      <c r="M151" s="135" t="s">
        <v>196</v>
      </c>
      <c r="N151" s="128">
        <v>0</v>
      </c>
      <c r="O151" s="128">
        <v>0</v>
      </c>
      <c r="P151" s="190"/>
    </row>
    <row r="152" spans="3:16" s="245" customFormat="1" ht="15" customHeight="1">
      <c r="C152" s="378"/>
      <c r="D152" s="127">
        <v>42</v>
      </c>
      <c r="E152" s="409">
        <v>45016</v>
      </c>
      <c r="F152" s="137" t="s">
        <v>196</v>
      </c>
      <c r="G152" s="134" t="s">
        <v>196</v>
      </c>
      <c r="H152" s="134" t="s">
        <v>196</v>
      </c>
      <c r="I152" s="134" t="s">
        <v>196</v>
      </c>
      <c r="J152" s="134" t="s">
        <v>196</v>
      </c>
      <c r="K152" s="134" t="s">
        <v>196</v>
      </c>
      <c r="L152" s="134" t="s">
        <v>196</v>
      </c>
      <c r="M152" s="135" t="s">
        <v>196</v>
      </c>
      <c r="N152" s="128">
        <v>0</v>
      </c>
      <c r="O152" s="128">
        <v>0</v>
      </c>
      <c r="P152" s="190"/>
    </row>
    <row r="153" spans="3:16" s="245" customFormat="1" ht="15" customHeight="1">
      <c r="C153" s="378"/>
      <c r="D153" s="122"/>
      <c r="E153" s="407" t="s">
        <v>461</v>
      </c>
      <c r="F153" s="129"/>
      <c r="G153" s="130"/>
      <c r="H153" s="130"/>
      <c r="I153" s="130"/>
      <c r="J153" s="130"/>
      <c r="K153" s="198"/>
      <c r="L153" s="130"/>
      <c r="M153" s="131"/>
      <c r="N153" s="408"/>
      <c r="O153" s="136"/>
      <c r="P153" s="190"/>
    </row>
    <row r="154" spans="3:16" s="245" customFormat="1" ht="15" customHeight="1">
      <c r="C154" s="378"/>
      <c r="D154" s="127">
        <v>43</v>
      </c>
      <c r="E154" s="409">
        <v>42460</v>
      </c>
      <c r="F154" s="137">
        <v>0</v>
      </c>
      <c r="G154" s="134">
        <v>0</v>
      </c>
      <c r="H154" s="134">
        <v>0</v>
      </c>
      <c r="I154" s="134">
        <v>0</v>
      </c>
      <c r="J154" s="134">
        <v>0</v>
      </c>
      <c r="K154" s="134">
        <v>0</v>
      </c>
      <c r="L154" s="134">
        <v>0</v>
      </c>
      <c r="M154" s="135">
        <v>0</v>
      </c>
      <c r="N154" s="128">
        <v>0</v>
      </c>
      <c r="O154" s="128"/>
      <c r="P154" s="190"/>
    </row>
    <row r="155" spans="3:16" s="245" customFormat="1" ht="15" customHeight="1">
      <c r="C155" s="378"/>
      <c r="D155" s="127">
        <v>44</v>
      </c>
      <c r="E155" s="409">
        <v>42825</v>
      </c>
      <c r="F155" s="137" t="s">
        <v>196</v>
      </c>
      <c r="G155" s="134" t="s">
        <v>196</v>
      </c>
      <c r="H155" s="134" t="s">
        <v>196</v>
      </c>
      <c r="I155" s="134" t="s">
        <v>196</v>
      </c>
      <c r="J155" s="134" t="s">
        <v>196</v>
      </c>
      <c r="K155" s="134" t="s">
        <v>196</v>
      </c>
      <c r="L155" s="134" t="s">
        <v>196</v>
      </c>
      <c r="M155" s="135" t="s">
        <v>196</v>
      </c>
      <c r="N155" s="128">
        <v>0</v>
      </c>
      <c r="O155" s="128"/>
      <c r="P155" s="190"/>
    </row>
    <row r="156" spans="3:16" s="245" customFormat="1" ht="15" customHeight="1">
      <c r="C156" s="378"/>
      <c r="D156" s="127">
        <v>45</v>
      </c>
      <c r="E156" s="409">
        <v>43190</v>
      </c>
      <c r="F156" s="137" t="s">
        <v>196</v>
      </c>
      <c r="G156" s="134" t="s">
        <v>196</v>
      </c>
      <c r="H156" s="134" t="s">
        <v>196</v>
      </c>
      <c r="I156" s="134" t="s">
        <v>196</v>
      </c>
      <c r="J156" s="134" t="s">
        <v>196</v>
      </c>
      <c r="K156" s="134" t="s">
        <v>196</v>
      </c>
      <c r="L156" s="134" t="s">
        <v>196</v>
      </c>
      <c r="M156" s="135" t="s">
        <v>196</v>
      </c>
      <c r="N156" s="128">
        <v>0</v>
      </c>
      <c r="O156" s="128"/>
      <c r="P156" s="190"/>
    </row>
    <row r="157" spans="3:16" s="245" customFormat="1" ht="15" customHeight="1">
      <c r="C157" s="378"/>
      <c r="D157" s="127">
        <v>46</v>
      </c>
      <c r="E157" s="409">
        <v>43555</v>
      </c>
      <c r="F157" s="137" t="s">
        <v>196</v>
      </c>
      <c r="G157" s="134" t="s">
        <v>196</v>
      </c>
      <c r="H157" s="134" t="s">
        <v>196</v>
      </c>
      <c r="I157" s="134" t="s">
        <v>196</v>
      </c>
      <c r="J157" s="134" t="s">
        <v>196</v>
      </c>
      <c r="K157" s="134" t="s">
        <v>196</v>
      </c>
      <c r="L157" s="134" t="s">
        <v>196</v>
      </c>
      <c r="M157" s="135" t="s">
        <v>196</v>
      </c>
      <c r="N157" s="128">
        <v>0</v>
      </c>
      <c r="O157" s="128"/>
      <c r="P157" s="190"/>
    </row>
    <row r="158" spans="3:16" s="245" customFormat="1" ht="15" customHeight="1">
      <c r="C158" s="378"/>
      <c r="D158" s="127">
        <v>47</v>
      </c>
      <c r="E158" s="409">
        <v>43921</v>
      </c>
      <c r="F158" s="137" t="s">
        <v>196</v>
      </c>
      <c r="G158" s="134" t="s">
        <v>196</v>
      </c>
      <c r="H158" s="134" t="s">
        <v>196</v>
      </c>
      <c r="I158" s="134" t="s">
        <v>196</v>
      </c>
      <c r="J158" s="134" t="s">
        <v>196</v>
      </c>
      <c r="K158" s="134" t="s">
        <v>196</v>
      </c>
      <c r="L158" s="134" t="s">
        <v>196</v>
      </c>
      <c r="M158" s="135" t="s">
        <v>196</v>
      </c>
      <c r="N158" s="128">
        <v>0</v>
      </c>
      <c r="O158" s="128"/>
      <c r="P158" s="190"/>
    </row>
    <row r="159" spans="3:16" s="245" customFormat="1" ht="15" customHeight="1">
      <c r="C159" s="378"/>
      <c r="D159" s="127">
        <v>48</v>
      </c>
      <c r="E159" s="409">
        <v>44286</v>
      </c>
      <c r="F159" s="137" t="s">
        <v>196</v>
      </c>
      <c r="G159" s="134" t="s">
        <v>196</v>
      </c>
      <c r="H159" s="134" t="s">
        <v>196</v>
      </c>
      <c r="I159" s="134" t="s">
        <v>196</v>
      </c>
      <c r="J159" s="134" t="s">
        <v>196</v>
      </c>
      <c r="K159" s="134" t="s">
        <v>196</v>
      </c>
      <c r="L159" s="134" t="s">
        <v>196</v>
      </c>
      <c r="M159" s="135" t="s">
        <v>196</v>
      </c>
      <c r="N159" s="128">
        <v>0</v>
      </c>
      <c r="O159" s="128"/>
      <c r="P159" s="190"/>
    </row>
    <row r="160" spans="3:16" s="245" customFormat="1" ht="15" customHeight="1">
      <c r="C160" s="378"/>
      <c r="D160" s="127">
        <v>49</v>
      </c>
      <c r="E160" s="409">
        <v>44651</v>
      </c>
      <c r="F160" s="137" t="s">
        <v>196</v>
      </c>
      <c r="G160" s="134" t="s">
        <v>196</v>
      </c>
      <c r="H160" s="134" t="s">
        <v>196</v>
      </c>
      <c r="I160" s="134" t="s">
        <v>196</v>
      </c>
      <c r="J160" s="134" t="s">
        <v>196</v>
      </c>
      <c r="K160" s="134" t="s">
        <v>196</v>
      </c>
      <c r="L160" s="134" t="s">
        <v>196</v>
      </c>
      <c r="M160" s="135" t="s">
        <v>196</v>
      </c>
      <c r="N160" s="128">
        <v>0</v>
      </c>
      <c r="O160" s="128"/>
      <c r="P160" s="190"/>
    </row>
    <row r="161" spans="3:16" s="245" customFormat="1" ht="15" customHeight="1">
      <c r="C161" s="378"/>
      <c r="D161" s="127">
        <v>50</v>
      </c>
      <c r="E161" s="409">
        <v>45016</v>
      </c>
      <c r="F161" s="137" t="s">
        <v>196</v>
      </c>
      <c r="G161" s="134" t="s">
        <v>196</v>
      </c>
      <c r="H161" s="134" t="s">
        <v>196</v>
      </c>
      <c r="I161" s="134" t="s">
        <v>196</v>
      </c>
      <c r="J161" s="134" t="s">
        <v>196</v>
      </c>
      <c r="K161" s="134" t="s">
        <v>196</v>
      </c>
      <c r="L161" s="134" t="s">
        <v>196</v>
      </c>
      <c r="M161" s="135" t="s">
        <v>196</v>
      </c>
      <c r="N161" s="128">
        <v>0</v>
      </c>
      <c r="O161" s="128"/>
      <c r="P161" s="190"/>
    </row>
    <row r="162" spans="3:16" s="245" customFormat="1" ht="15" customHeight="1">
      <c r="C162" s="378"/>
      <c r="D162" s="122"/>
      <c r="E162" s="407" t="s">
        <v>468</v>
      </c>
      <c r="F162" s="129"/>
      <c r="G162" s="130"/>
      <c r="H162" s="130"/>
      <c r="I162" s="130"/>
      <c r="J162" s="130"/>
      <c r="K162" s="198"/>
      <c r="L162" s="130"/>
      <c r="M162" s="131"/>
      <c r="N162" s="408"/>
      <c r="O162" s="136"/>
      <c r="P162" s="190"/>
    </row>
    <row r="163" spans="3:16" s="245" customFormat="1" ht="15" customHeight="1">
      <c r="C163" s="378"/>
      <c r="D163" s="127">
        <v>51</v>
      </c>
      <c r="E163" s="406" t="s">
        <v>445</v>
      </c>
      <c r="F163" s="133">
        <v>1096.4603153898522</v>
      </c>
      <c r="G163" s="134">
        <v>1120.7835871517486</v>
      </c>
      <c r="H163" s="134">
        <v>1137.5402488279819</v>
      </c>
      <c r="I163" s="134">
        <v>1148.8816965152537</v>
      </c>
      <c r="J163" s="134">
        <v>1158.6019577019392</v>
      </c>
      <c r="K163" s="134">
        <v>1167.5989072357693</v>
      </c>
      <c r="L163" s="134">
        <v>1173.8598265566661</v>
      </c>
      <c r="M163" s="135">
        <v>1176.9827667509237</v>
      </c>
      <c r="N163" s="128">
        <v>9180.7093061301366</v>
      </c>
      <c r="O163" s="128">
        <v>1147.5886632662671</v>
      </c>
      <c r="P163" s="190"/>
    </row>
    <row r="164" spans="3:16" s="245" customFormat="1" ht="15" customHeight="1">
      <c r="C164" s="378"/>
      <c r="D164" s="127">
        <v>52</v>
      </c>
      <c r="E164" s="406" t="s">
        <v>446</v>
      </c>
      <c r="F164" s="222">
        <v>0.65</v>
      </c>
      <c r="G164" s="223">
        <v>0.65</v>
      </c>
      <c r="H164" s="223">
        <v>0.65</v>
      </c>
      <c r="I164" s="223">
        <v>0.65</v>
      </c>
      <c r="J164" s="223">
        <v>0.65</v>
      </c>
      <c r="K164" s="223">
        <v>0.65</v>
      </c>
      <c r="L164" s="223">
        <v>0.65</v>
      </c>
      <c r="M164" s="224">
        <v>0.65</v>
      </c>
      <c r="N164" s="225">
        <v>0.65000000000000013</v>
      </c>
      <c r="O164" s="225">
        <v>0.65</v>
      </c>
      <c r="P164" s="190"/>
    </row>
    <row r="165" spans="3:16" s="245" customFormat="1" ht="15" customHeight="1">
      <c r="C165" s="379"/>
      <c r="D165" s="127">
        <v>53</v>
      </c>
      <c r="E165" s="406" t="s">
        <v>431</v>
      </c>
      <c r="F165" s="133">
        <v>383.76111038644825</v>
      </c>
      <c r="G165" s="134">
        <v>392.27425550311199</v>
      </c>
      <c r="H165" s="134">
        <v>398.13908708979363</v>
      </c>
      <c r="I165" s="134">
        <v>402.10859378033877</v>
      </c>
      <c r="J165" s="134">
        <v>405.51068519567872</v>
      </c>
      <c r="K165" s="134">
        <v>408.65961753251923</v>
      </c>
      <c r="L165" s="134">
        <v>410.8509392948331</v>
      </c>
      <c r="M165" s="135">
        <v>411.94396836282328</v>
      </c>
      <c r="N165" s="128">
        <v>3213.2482571455471</v>
      </c>
      <c r="O165" s="128">
        <v>401.65603214319339</v>
      </c>
      <c r="P165" s="190"/>
    </row>
    <row r="166" spans="3:16" s="245" customFormat="1" ht="15" customHeight="1">
      <c r="C166" s="379"/>
      <c r="D166" s="127">
        <v>54</v>
      </c>
      <c r="E166" s="406" t="s">
        <v>447</v>
      </c>
      <c r="F166" s="137">
        <v>18.173829727586803</v>
      </c>
      <c r="G166" s="134">
        <v>18.576987957040231</v>
      </c>
      <c r="H166" s="134">
        <v>18.854729624323802</v>
      </c>
      <c r="I166" s="134">
        <v>19.042714119740328</v>
      </c>
      <c r="J166" s="134">
        <v>19.203827448909642</v>
      </c>
      <c r="K166" s="134">
        <v>19.352951887432877</v>
      </c>
      <c r="L166" s="134">
        <v>19.456726625176742</v>
      </c>
      <c r="M166" s="135">
        <v>19.508489358896558</v>
      </c>
      <c r="N166" s="128">
        <v>152.17025674910698</v>
      </c>
      <c r="O166" s="128">
        <v>19.021282093638373</v>
      </c>
      <c r="P166" s="190"/>
    </row>
    <row r="167" spans="3:16" s="245" customFormat="1" ht="15" customHeight="1" thickBot="1">
      <c r="C167" s="379"/>
      <c r="D167" s="138">
        <v>55</v>
      </c>
      <c r="E167" s="410" t="s">
        <v>677</v>
      </c>
      <c r="F167" s="254">
        <v>383.76111038644825</v>
      </c>
      <c r="G167" s="139">
        <v>392.27425550311199</v>
      </c>
      <c r="H167" s="139">
        <v>398.13908708979363</v>
      </c>
      <c r="I167" s="139">
        <v>402.10859378033877</v>
      </c>
      <c r="J167" s="139">
        <v>405.51068519567872</v>
      </c>
      <c r="K167" s="139">
        <v>408.65961753251923</v>
      </c>
      <c r="L167" s="139">
        <v>410.8509392948331</v>
      </c>
      <c r="M167" s="226">
        <v>411.94396836282328</v>
      </c>
      <c r="N167" s="253"/>
      <c r="O167" s="253">
        <v>401.65603214319339</v>
      </c>
      <c r="P167" s="190"/>
    </row>
    <row r="168" spans="3:16" s="245" customFormat="1" ht="15" customHeight="1">
      <c r="C168" s="379"/>
      <c r="D168" s="244"/>
      <c r="E168" s="402"/>
      <c r="F168" s="155"/>
      <c r="G168" s="155"/>
      <c r="H168" s="155"/>
      <c r="I168" s="155"/>
      <c r="J168" s="155"/>
      <c r="K168" s="155"/>
      <c r="L168" s="155"/>
      <c r="M168" s="155"/>
      <c r="N168" s="155"/>
      <c r="O168" s="155"/>
      <c r="P168" s="190"/>
    </row>
    <row r="169" spans="3:16" s="245" customFormat="1" ht="15" customHeight="1">
      <c r="C169" s="378"/>
      <c r="D169" s="244"/>
      <c r="E169" s="190"/>
      <c r="F169" s="155"/>
      <c r="G169" s="155"/>
      <c r="H169" s="155"/>
      <c r="I169" s="155"/>
      <c r="J169" s="155"/>
      <c r="K169" s="155"/>
      <c r="L169" s="155"/>
      <c r="M169" s="383"/>
      <c r="N169" s="155"/>
      <c r="O169" s="155"/>
      <c r="P169" s="190"/>
    </row>
    <row r="170" spans="3:16" s="245" customFormat="1" ht="15" customHeight="1">
      <c r="C170" s="378"/>
      <c r="D170" s="244"/>
      <c r="E170" s="190"/>
      <c r="F170" s="155"/>
      <c r="G170" s="155"/>
      <c r="H170" s="155"/>
      <c r="I170" s="155"/>
      <c r="J170" s="155"/>
      <c r="K170" s="155"/>
      <c r="L170" s="155"/>
      <c r="M170" s="383"/>
      <c r="N170" s="155"/>
      <c r="O170" s="155"/>
      <c r="P170" s="155"/>
    </row>
    <row r="171" spans="3:16" s="245" customFormat="1" ht="15" customHeight="1">
      <c r="C171" s="378"/>
      <c r="D171" s="244"/>
      <c r="E171" s="190"/>
      <c r="F171" s="155"/>
      <c r="G171" s="155"/>
      <c r="H171" s="155"/>
      <c r="I171" s="155"/>
      <c r="J171" s="155"/>
      <c r="K171" s="155"/>
      <c r="L171" s="155"/>
      <c r="M171" s="383"/>
      <c r="N171" s="155"/>
      <c r="O171" s="155"/>
      <c r="P171" s="190"/>
    </row>
    <row r="172" spans="3:16" s="245" customFormat="1" ht="15" customHeight="1">
      <c r="C172" s="378"/>
      <c r="D172" s="244"/>
      <c r="E172" s="190"/>
      <c r="F172" s="378"/>
      <c r="G172" s="378"/>
      <c r="H172" s="378"/>
      <c r="I172" s="378"/>
      <c r="J172" s="378"/>
      <c r="K172" s="378"/>
      <c r="L172" s="378"/>
      <c r="M172" s="378"/>
      <c r="N172" s="378"/>
      <c r="O172" s="378"/>
      <c r="P172" s="190"/>
    </row>
    <row r="173" spans="3:16" s="245" customFormat="1" ht="15" customHeight="1">
      <c r="C173" s="380" t="s">
        <v>806</v>
      </c>
      <c r="D173" s="380"/>
      <c r="E173" s="380"/>
      <c r="F173" s="380"/>
      <c r="G173" s="380"/>
      <c r="H173" s="380"/>
      <c r="I173" s="380"/>
      <c r="J173" s="380"/>
      <c r="K173" s="380"/>
      <c r="L173" s="380"/>
      <c r="M173" s="380"/>
      <c r="N173" s="380"/>
      <c r="O173" s="380"/>
      <c r="P173" s="155"/>
    </row>
    <row r="174" spans="3:16" s="245" customFormat="1" ht="15" customHeight="1">
      <c r="C174" s="379"/>
      <c r="D174" s="379"/>
      <c r="E174" s="379"/>
      <c r="F174" s="379"/>
      <c r="G174" s="379"/>
      <c r="H174" s="379"/>
      <c r="I174" s="379"/>
      <c r="J174" s="379"/>
      <c r="K174" s="379"/>
      <c r="L174" s="379"/>
      <c r="M174" s="379"/>
      <c r="N174" s="379"/>
      <c r="O174" s="379"/>
      <c r="P174" s="155"/>
    </row>
    <row r="175" spans="3:16" s="245" customFormat="1" ht="15" customHeight="1">
      <c r="C175" s="379"/>
      <c r="D175" s="376"/>
      <c r="E175" s="376"/>
      <c r="F175" s="377"/>
      <c r="G175" s="377"/>
      <c r="H175" s="377"/>
      <c r="I175" s="377"/>
      <c r="J175" s="377"/>
      <c r="K175" s="377"/>
      <c r="L175" s="377"/>
      <c r="M175" s="377"/>
      <c r="N175" s="376"/>
      <c r="O175" s="376"/>
      <c r="P175" s="155"/>
    </row>
    <row r="176" spans="3:16" s="245" customFormat="1" ht="15" customHeight="1">
      <c r="C176" s="379"/>
      <c r="D176" s="376"/>
      <c r="E176" s="381" t="s">
        <v>56</v>
      </c>
      <c r="F176" s="381" t="s">
        <v>234</v>
      </c>
      <c r="G176" s="377"/>
      <c r="H176" s="381" t="s">
        <v>37</v>
      </c>
      <c r="I176" s="377"/>
      <c r="J176" s="377"/>
      <c r="K176" s="377"/>
      <c r="L176" s="377"/>
      <c r="M176" s="377"/>
      <c r="N176" s="376"/>
      <c r="O176" s="376"/>
      <c r="P176" s="155"/>
    </row>
    <row r="177" spans="3:16" s="245" customFormat="1" ht="15" customHeight="1">
      <c r="C177" s="379"/>
      <c r="D177" s="118"/>
      <c r="E177" s="118" t="s">
        <v>509</v>
      </c>
      <c r="F177" s="345">
        <v>42460</v>
      </c>
      <c r="G177" s="119"/>
      <c r="H177" s="118" t="s">
        <v>851</v>
      </c>
      <c r="I177" s="119"/>
      <c r="J177" s="119"/>
      <c r="K177" s="119"/>
      <c r="L177" s="119"/>
      <c r="M177" s="119"/>
      <c r="N177" s="118"/>
      <c r="O177" s="118"/>
      <c r="P177" s="155"/>
    </row>
    <row r="178" spans="3:16" s="245" customFormat="1" ht="15" customHeight="1" thickBot="1">
      <c r="C178" s="379"/>
      <c r="D178" s="379"/>
      <c r="E178" s="379"/>
      <c r="F178" s="430"/>
      <c r="G178" s="430"/>
      <c r="H178" s="430"/>
      <c r="I178" s="430"/>
      <c r="J178" s="430"/>
      <c r="K178" s="430"/>
      <c r="L178" s="430"/>
      <c r="M178" s="430"/>
      <c r="N178" s="379"/>
      <c r="O178" s="379"/>
      <c r="P178" s="155"/>
    </row>
    <row r="179" spans="3:16" s="245" customFormat="1" ht="15" customHeight="1">
      <c r="C179" s="379"/>
      <c r="D179" s="120"/>
      <c r="E179" s="189" t="s">
        <v>231</v>
      </c>
      <c r="F179" s="181">
        <v>42460</v>
      </c>
      <c r="G179" s="182">
        <v>42825</v>
      </c>
      <c r="H179" s="182">
        <v>43190</v>
      </c>
      <c r="I179" s="182">
        <v>43555</v>
      </c>
      <c r="J179" s="182">
        <v>43921</v>
      </c>
      <c r="K179" s="182">
        <v>44286</v>
      </c>
      <c r="L179" s="182">
        <v>44651</v>
      </c>
      <c r="M179" s="183">
        <v>45016</v>
      </c>
      <c r="N179" s="243" t="s">
        <v>83</v>
      </c>
      <c r="O179" s="184" t="s">
        <v>84</v>
      </c>
      <c r="P179" s="155"/>
    </row>
    <row r="180" spans="3:16" s="245" customFormat="1" ht="15" customHeight="1">
      <c r="C180" s="379"/>
      <c r="D180" s="121"/>
      <c r="E180" s="406" t="s">
        <v>235</v>
      </c>
      <c r="F180" s="185" t="s">
        <v>728</v>
      </c>
      <c r="G180" s="186" t="s">
        <v>728</v>
      </c>
      <c r="H180" s="186" t="s">
        <v>728</v>
      </c>
      <c r="I180" s="186" t="s">
        <v>728</v>
      </c>
      <c r="J180" s="186" t="s">
        <v>728</v>
      </c>
      <c r="K180" s="186" t="s">
        <v>728</v>
      </c>
      <c r="L180" s="186" t="s">
        <v>728</v>
      </c>
      <c r="M180" s="187" t="s">
        <v>728</v>
      </c>
      <c r="N180" s="188" t="s">
        <v>728</v>
      </c>
      <c r="O180" s="188" t="s">
        <v>728</v>
      </c>
      <c r="P180" s="155"/>
    </row>
    <row r="181" spans="3:16" s="245" customFormat="1" ht="15" customHeight="1">
      <c r="C181" s="379"/>
      <c r="D181" s="122"/>
      <c r="E181" s="407" t="s">
        <v>67</v>
      </c>
      <c r="F181" s="123"/>
      <c r="G181" s="124"/>
      <c r="H181" s="124"/>
      <c r="I181" s="124"/>
      <c r="J181" s="124"/>
      <c r="K181" s="124"/>
      <c r="L181" s="124"/>
      <c r="M181" s="125"/>
      <c r="N181" s="126"/>
      <c r="O181" s="126"/>
      <c r="P181" s="155"/>
    </row>
    <row r="182" spans="3:16" s="245" customFormat="1" ht="15" customHeight="1">
      <c r="C182" s="379"/>
      <c r="D182" s="127">
        <v>1</v>
      </c>
      <c r="E182" s="406" t="s">
        <v>209</v>
      </c>
      <c r="F182" s="133">
        <v>173.27690099149669</v>
      </c>
      <c r="G182" s="134">
        <v>163.17071356316288</v>
      </c>
      <c r="H182" s="134">
        <v>159.91348510141037</v>
      </c>
      <c r="I182" s="134">
        <v>161.14095979799592</v>
      </c>
      <c r="J182" s="134">
        <v>152.64757977330765</v>
      </c>
      <c r="K182" s="134">
        <v>146.03275846783706</v>
      </c>
      <c r="L182" s="134">
        <v>135.87696046759945</v>
      </c>
      <c r="M182" s="135">
        <v>139.1560496001766</v>
      </c>
      <c r="N182" s="128">
        <v>1231.2154077629868</v>
      </c>
      <c r="O182" s="128">
        <v>153.90192597037336</v>
      </c>
      <c r="P182" s="155"/>
    </row>
    <row r="183" spans="3:16" s="245" customFormat="1" ht="15" customHeight="1">
      <c r="C183" s="379"/>
      <c r="D183" s="127">
        <v>2</v>
      </c>
      <c r="E183" s="406" t="s">
        <v>679</v>
      </c>
      <c r="F183" s="133">
        <v>67.385461496693182</v>
      </c>
      <c r="G183" s="134">
        <v>63.455277496785556</v>
      </c>
      <c r="H183" s="134">
        <v>62.188577539437375</v>
      </c>
      <c r="I183" s="134">
        <v>62.665928810331735</v>
      </c>
      <c r="J183" s="134">
        <v>59.362947689619659</v>
      </c>
      <c r="K183" s="134">
        <v>56.790517181936622</v>
      </c>
      <c r="L183" s="134">
        <v>52.841040181844221</v>
      </c>
      <c r="M183" s="135">
        <v>54.116241511179794</v>
      </c>
      <c r="N183" s="128">
        <v>478.80599190782812</v>
      </c>
      <c r="O183" s="128">
        <v>59.850748988478514</v>
      </c>
      <c r="P183" s="155"/>
    </row>
    <row r="184" spans="3:16" s="245" customFormat="1" ht="15" customHeight="1">
      <c r="C184" s="379"/>
      <c r="D184" s="127">
        <v>3</v>
      </c>
      <c r="E184" s="406" t="s">
        <v>210</v>
      </c>
      <c r="F184" s="133">
        <v>240.66236248818987</v>
      </c>
      <c r="G184" s="134">
        <v>226.62599105994843</v>
      </c>
      <c r="H184" s="134">
        <v>222.10206264084775</v>
      </c>
      <c r="I184" s="134">
        <v>223.80688860832765</v>
      </c>
      <c r="J184" s="134">
        <v>212.01052746292731</v>
      </c>
      <c r="K184" s="134">
        <v>202.82327564977368</v>
      </c>
      <c r="L184" s="134">
        <v>188.71800064944367</v>
      </c>
      <c r="M184" s="135">
        <v>193.2722911113564</v>
      </c>
      <c r="N184" s="128">
        <v>1710.0213996708148</v>
      </c>
      <c r="O184" s="128">
        <v>213.75267495885186</v>
      </c>
      <c r="P184" s="155"/>
    </row>
    <row r="185" spans="3:16" s="245" customFormat="1" ht="15" customHeight="1">
      <c r="C185" s="379"/>
      <c r="D185" s="122"/>
      <c r="E185" s="407" t="s">
        <v>15</v>
      </c>
      <c r="F185" s="123"/>
      <c r="G185" s="124"/>
      <c r="H185" s="124"/>
      <c r="I185" s="124"/>
      <c r="J185" s="124"/>
      <c r="K185" s="124"/>
      <c r="L185" s="124"/>
      <c r="M185" s="125"/>
      <c r="N185" s="126"/>
      <c r="O185" s="126"/>
      <c r="P185" s="155"/>
    </row>
    <row r="186" spans="3:16" s="245" customFormat="1" ht="15" customHeight="1">
      <c r="C186" s="379"/>
      <c r="D186" s="127">
        <v>4</v>
      </c>
      <c r="E186" s="406" t="s">
        <v>448</v>
      </c>
      <c r="F186" s="133">
        <v>1479.9367149625775</v>
      </c>
      <c r="G186" s="134">
        <v>1518.4082815199567</v>
      </c>
      <c r="H186" s="134">
        <v>1544.0336455612473</v>
      </c>
      <c r="I186" s="134">
        <v>1565.5473680624798</v>
      </c>
      <c r="J186" s="134">
        <v>1589.7316028140151</v>
      </c>
      <c r="K186" s="134">
        <v>1606.439285710652</v>
      </c>
      <c r="L186" s="134">
        <v>1617.1679007028727</v>
      </c>
      <c r="M186" s="135">
        <v>1630.317824016093</v>
      </c>
      <c r="N186" s="128"/>
      <c r="O186" s="128">
        <v>1568.9478279187365</v>
      </c>
      <c r="P186" s="155"/>
    </row>
    <row r="187" spans="3:16" s="245" customFormat="1" ht="15" customHeight="1">
      <c r="C187" s="379"/>
      <c r="D187" s="127">
        <v>5</v>
      </c>
      <c r="E187" s="406" t="s">
        <v>119</v>
      </c>
      <c r="F187" s="133">
        <v>0</v>
      </c>
      <c r="G187" s="134">
        <v>0</v>
      </c>
      <c r="H187" s="134">
        <v>0</v>
      </c>
      <c r="I187" s="134">
        <v>0</v>
      </c>
      <c r="J187" s="134">
        <v>0</v>
      </c>
      <c r="K187" s="134">
        <v>0</v>
      </c>
      <c r="L187" s="134">
        <v>0</v>
      </c>
      <c r="M187" s="135">
        <v>0</v>
      </c>
      <c r="N187" s="128">
        <v>0</v>
      </c>
      <c r="O187" s="128">
        <v>0</v>
      </c>
      <c r="P187" s="155"/>
    </row>
    <row r="188" spans="3:16" s="245" customFormat="1" ht="15" customHeight="1">
      <c r="C188" s="379"/>
      <c r="D188" s="127">
        <v>6</v>
      </c>
      <c r="E188" s="406" t="s">
        <v>449</v>
      </c>
      <c r="F188" s="133">
        <v>1479.9367149625775</v>
      </c>
      <c r="G188" s="134">
        <v>1518.4082815199567</v>
      </c>
      <c r="H188" s="134">
        <v>1544.0336455612473</v>
      </c>
      <c r="I188" s="134">
        <v>1565.5473680624798</v>
      </c>
      <c r="J188" s="134">
        <v>1589.7316028140151</v>
      </c>
      <c r="K188" s="134">
        <v>1606.439285710652</v>
      </c>
      <c r="L188" s="134">
        <v>1617.1679007028727</v>
      </c>
      <c r="M188" s="135">
        <v>1630.317824016093</v>
      </c>
      <c r="N188" s="128"/>
      <c r="O188" s="128">
        <v>1568.9478279187365</v>
      </c>
      <c r="P188" s="155"/>
    </row>
    <row r="189" spans="3:16" s="245" customFormat="1" ht="15" customHeight="1">
      <c r="C189" s="379"/>
      <c r="D189" s="127">
        <v>7</v>
      </c>
      <c r="E189" s="406" t="s">
        <v>211</v>
      </c>
      <c r="F189" s="133">
        <v>173.27690099149669</v>
      </c>
      <c r="G189" s="134">
        <v>163.17071356316288</v>
      </c>
      <c r="H189" s="134">
        <v>159.91348510141037</v>
      </c>
      <c r="I189" s="134">
        <v>161.14095979799592</v>
      </c>
      <c r="J189" s="134">
        <v>152.64757977330765</v>
      </c>
      <c r="K189" s="134">
        <v>146.03275846783706</v>
      </c>
      <c r="L189" s="134">
        <v>135.87696046759945</v>
      </c>
      <c r="M189" s="135">
        <v>139.1560496001766</v>
      </c>
      <c r="N189" s="128">
        <v>1231.2154077629868</v>
      </c>
      <c r="O189" s="128">
        <v>153.90192597037336</v>
      </c>
      <c r="P189" s="155"/>
    </row>
    <row r="190" spans="3:16" s="245" customFormat="1" ht="15" customHeight="1">
      <c r="C190" s="379"/>
      <c r="D190" s="127">
        <v>8</v>
      </c>
      <c r="E190" s="406" t="s">
        <v>0</v>
      </c>
      <c r="F190" s="133">
        <v>-134.80533443411733</v>
      </c>
      <c r="G190" s="134">
        <v>-137.54534952187242</v>
      </c>
      <c r="H190" s="134">
        <v>-138.39976260017778</v>
      </c>
      <c r="I190" s="134">
        <v>-136.95672504646058</v>
      </c>
      <c r="J190" s="134">
        <v>-135.9398968766707</v>
      </c>
      <c r="K190" s="134">
        <v>-135.30414347561654</v>
      </c>
      <c r="L190" s="134">
        <v>-122.72703715437913</v>
      </c>
      <c r="M190" s="135">
        <v>-123.26346385281205</v>
      </c>
      <c r="N190" s="128">
        <v>-1064.9417129621065</v>
      </c>
      <c r="O190" s="128">
        <v>-133.11771412026332</v>
      </c>
      <c r="P190" s="155"/>
    </row>
    <row r="191" spans="3:16" s="245" customFormat="1" ht="15" customHeight="1">
      <c r="C191" s="379"/>
      <c r="D191" s="127">
        <v>9</v>
      </c>
      <c r="E191" s="406" t="s">
        <v>16</v>
      </c>
      <c r="F191" s="133">
        <v>1518.4082815199567</v>
      </c>
      <c r="G191" s="134">
        <v>1544.0336455612473</v>
      </c>
      <c r="H191" s="134">
        <v>1565.5473680624798</v>
      </c>
      <c r="I191" s="134">
        <v>1589.7316028140151</v>
      </c>
      <c r="J191" s="134">
        <v>1606.439285710652</v>
      </c>
      <c r="K191" s="134">
        <v>1617.1679007028727</v>
      </c>
      <c r="L191" s="134">
        <v>1630.317824016093</v>
      </c>
      <c r="M191" s="135">
        <v>1646.2104097634576</v>
      </c>
      <c r="N191" s="128"/>
      <c r="O191" s="128">
        <v>1589.7320397688468</v>
      </c>
      <c r="P191" s="155"/>
    </row>
    <row r="192" spans="3:16" s="245" customFormat="1" ht="15" customHeight="1">
      <c r="C192" s="379"/>
      <c r="D192" s="122"/>
      <c r="E192" s="407" t="s">
        <v>296</v>
      </c>
      <c r="F192" s="129"/>
      <c r="G192" s="130"/>
      <c r="H192" s="130"/>
      <c r="I192" s="130"/>
      <c r="J192" s="130"/>
      <c r="K192" s="130"/>
      <c r="L192" s="130"/>
      <c r="M192" s="131"/>
      <c r="N192" s="132"/>
      <c r="O192" s="132"/>
      <c r="P192" s="155"/>
    </row>
    <row r="193" spans="3:16" s="245" customFormat="1" ht="15" customHeight="1">
      <c r="C193" s="379"/>
      <c r="D193" s="127">
        <v>10</v>
      </c>
      <c r="E193" s="406" t="s">
        <v>97</v>
      </c>
      <c r="F193" s="133">
        <v>67.385461496693182</v>
      </c>
      <c r="G193" s="134">
        <v>63.455277496785556</v>
      </c>
      <c r="H193" s="134">
        <v>62.188577539437375</v>
      </c>
      <c r="I193" s="134">
        <v>62.665928810331735</v>
      </c>
      <c r="J193" s="134">
        <v>59.362947689619659</v>
      </c>
      <c r="K193" s="134">
        <v>56.790517181936622</v>
      </c>
      <c r="L193" s="134">
        <v>52.841040181844221</v>
      </c>
      <c r="M193" s="135">
        <v>54.116241511179794</v>
      </c>
      <c r="N193" s="128">
        <v>478.80599190782812</v>
      </c>
      <c r="O193" s="128">
        <v>59.850748988478514</v>
      </c>
      <c r="P193" s="155"/>
    </row>
    <row r="194" spans="3:16" s="245" customFormat="1" ht="15" customHeight="1">
      <c r="C194" s="379"/>
      <c r="D194" s="127">
        <v>11</v>
      </c>
      <c r="E194" s="406" t="s">
        <v>600</v>
      </c>
      <c r="F194" s="133">
        <v>38.056357733819404</v>
      </c>
      <c r="G194" s="134">
        <v>38.102413030520253</v>
      </c>
      <c r="H194" s="134">
        <v>43.065019298051652</v>
      </c>
      <c r="I194" s="134">
        <v>44.473192702566919</v>
      </c>
      <c r="J194" s="134">
        <v>43.80665548566067</v>
      </c>
      <c r="K194" s="134">
        <v>43.901219892900031</v>
      </c>
      <c r="L194" s="134">
        <v>42.646882732364062</v>
      </c>
      <c r="M194" s="135">
        <v>42.684697705286197</v>
      </c>
      <c r="N194" s="128">
        <v>336.73643858116918</v>
      </c>
      <c r="O194" s="128">
        <v>42.092054822646148</v>
      </c>
      <c r="P194" s="190"/>
    </row>
    <row r="195" spans="3:16" s="245" customFormat="1" ht="15" customHeight="1">
      <c r="C195" s="379"/>
      <c r="D195" s="127">
        <v>12</v>
      </c>
      <c r="E195" s="406" t="s">
        <v>65</v>
      </c>
      <c r="F195" s="133">
        <v>134.80533443411733</v>
      </c>
      <c r="G195" s="134">
        <v>137.54534952187242</v>
      </c>
      <c r="H195" s="134">
        <v>138.39976260017778</v>
      </c>
      <c r="I195" s="134">
        <v>136.95672504646058</v>
      </c>
      <c r="J195" s="134">
        <v>135.9398968766707</v>
      </c>
      <c r="K195" s="134">
        <v>135.30414347561654</v>
      </c>
      <c r="L195" s="134">
        <v>122.72703715437913</v>
      </c>
      <c r="M195" s="135">
        <v>123.26346385281205</v>
      </c>
      <c r="N195" s="128">
        <v>1064.9417129621065</v>
      </c>
      <c r="O195" s="128">
        <v>133.11771412026332</v>
      </c>
      <c r="P195" s="190"/>
    </row>
    <row r="196" spans="3:16" s="245" customFormat="1" ht="15" customHeight="1">
      <c r="C196" s="379"/>
      <c r="D196" s="127">
        <v>13</v>
      </c>
      <c r="E196" s="406" t="s">
        <v>18</v>
      </c>
      <c r="F196" s="133">
        <v>55.298319262180108</v>
      </c>
      <c r="G196" s="134">
        <v>56.48510548326329</v>
      </c>
      <c r="H196" s="134">
        <v>57.356093668133674</v>
      </c>
      <c r="I196" s="134">
        <v>58.198189686129417</v>
      </c>
      <c r="J196" s="134">
        <v>58.955079095620881</v>
      </c>
      <c r="K196" s="134">
        <v>59.463239058488256</v>
      </c>
      <c r="L196" s="134">
        <v>59.902910215015517</v>
      </c>
      <c r="M196" s="135">
        <v>60.437733432564919</v>
      </c>
      <c r="N196" s="128">
        <v>466.09666990139613</v>
      </c>
      <c r="O196" s="128">
        <v>58.262083737674516</v>
      </c>
      <c r="P196" s="190"/>
    </row>
    <row r="197" spans="3:16" s="245" customFormat="1" ht="15" customHeight="1">
      <c r="C197" s="379"/>
      <c r="D197" s="127">
        <v>14</v>
      </c>
      <c r="E197" s="406" t="s">
        <v>102</v>
      </c>
      <c r="F197" s="133">
        <v>0</v>
      </c>
      <c r="G197" s="134">
        <v>0</v>
      </c>
      <c r="H197" s="134">
        <v>0</v>
      </c>
      <c r="I197" s="134">
        <v>0</v>
      </c>
      <c r="J197" s="134">
        <v>0</v>
      </c>
      <c r="K197" s="134">
        <v>0</v>
      </c>
      <c r="L197" s="134">
        <v>0</v>
      </c>
      <c r="M197" s="135">
        <v>0</v>
      </c>
      <c r="N197" s="128">
        <v>0</v>
      </c>
      <c r="O197" s="128">
        <v>0</v>
      </c>
      <c r="P197" s="155"/>
    </row>
    <row r="198" spans="3:16" s="245" customFormat="1" ht="15" customHeight="1">
      <c r="C198" s="379"/>
      <c r="D198" s="127">
        <v>15</v>
      </c>
      <c r="E198" s="406" t="s">
        <v>22</v>
      </c>
      <c r="F198" s="133">
        <v>-0.86626036283610952</v>
      </c>
      <c r="G198" s="134">
        <v>-0.81019773780890636</v>
      </c>
      <c r="H198" s="134">
        <v>-0.78919084241395188</v>
      </c>
      <c r="I198" s="134">
        <v>-0.79061873066036981</v>
      </c>
      <c r="J198" s="134">
        <v>-0.74432653414361061</v>
      </c>
      <c r="K198" s="134">
        <v>-0.70697274816976396</v>
      </c>
      <c r="L198" s="134">
        <v>-0.65350946162011747</v>
      </c>
      <c r="M198" s="135">
        <v>-0.66429758885743451</v>
      </c>
      <c r="N198" s="128">
        <v>-6.0253740065102637</v>
      </c>
      <c r="O198" s="128">
        <v>-0.75317175081378296</v>
      </c>
      <c r="P198" s="190"/>
    </row>
    <row r="199" spans="3:16" s="245" customFormat="1" ht="15" customHeight="1">
      <c r="C199" s="379"/>
      <c r="D199" s="127">
        <v>16</v>
      </c>
      <c r="E199" s="406" t="s">
        <v>215</v>
      </c>
      <c r="F199" s="133">
        <v>5.2127523223694094</v>
      </c>
      <c r="G199" s="134">
        <v>4.3011324364369923</v>
      </c>
      <c r="H199" s="134">
        <v>0.74241585341442251</v>
      </c>
      <c r="I199" s="134">
        <v>0.5594373879213177</v>
      </c>
      <c r="J199" s="134">
        <v>5.0607612898750078</v>
      </c>
      <c r="K199" s="134">
        <v>7.8014747518821661</v>
      </c>
      <c r="L199" s="134">
        <v>24.713373099298202</v>
      </c>
      <c r="M199" s="135">
        <v>22.345917592064644</v>
      </c>
      <c r="N199" s="128">
        <v>70.737264733262165</v>
      </c>
      <c r="O199" s="128">
        <v>8.8421580916577707</v>
      </c>
      <c r="P199" s="190"/>
    </row>
    <row r="200" spans="3:16" s="245" customFormat="1" ht="15" customHeight="1">
      <c r="C200" s="379"/>
      <c r="D200" s="127">
        <v>17</v>
      </c>
      <c r="E200" s="406" t="s">
        <v>6</v>
      </c>
      <c r="F200" s="133">
        <v>23.750413164313372</v>
      </c>
      <c r="G200" s="134">
        <v>22.886151477016458</v>
      </c>
      <c r="H200" s="134">
        <v>21.011010829740268</v>
      </c>
      <c r="I200" s="134">
        <v>19.926967430166229</v>
      </c>
      <c r="J200" s="134">
        <v>19.626299875529298</v>
      </c>
      <c r="K200" s="134">
        <v>19.460318386691849</v>
      </c>
      <c r="L200" s="134">
        <v>19.849710920063266</v>
      </c>
      <c r="M200" s="135">
        <v>19.831963222167122</v>
      </c>
      <c r="N200" s="128">
        <v>166.34283530568788</v>
      </c>
      <c r="O200" s="128">
        <v>20.792854413210986</v>
      </c>
      <c r="P200" s="190"/>
    </row>
    <row r="201" spans="3:16" s="245" customFormat="1" ht="15" customHeight="1">
      <c r="C201" s="379"/>
      <c r="D201" s="122"/>
      <c r="E201" s="407" t="s">
        <v>164</v>
      </c>
      <c r="F201" s="129"/>
      <c r="G201" s="130"/>
      <c r="H201" s="130"/>
      <c r="I201" s="130"/>
      <c r="J201" s="130"/>
      <c r="K201" s="130"/>
      <c r="L201" s="130"/>
      <c r="M201" s="131"/>
      <c r="N201" s="132"/>
      <c r="O201" s="132"/>
      <c r="P201" s="190"/>
    </row>
    <row r="202" spans="3:16" s="245" customFormat="1" ht="15" customHeight="1">
      <c r="C202" s="379"/>
      <c r="D202" s="127">
        <v>18</v>
      </c>
      <c r="E202" s="406" t="s">
        <v>97</v>
      </c>
      <c r="F202" s="133">
        <v>67.385461496693182</v>
      </c>
      <c r="G202" s="134">
        <v>63.455277496785556</v>
      </c>
      <c r="H202" s="134">
        <v>62.188577539437375</v>
      </c>
      <c r="I202" s="134">
        <v>62.665928810331735</v>
      </c>
      <c r="J202" s="134">
        <v>59.362947689619659</v>
      </c>
      <c r="K202" s="134">
        <v>56.790517181936622</v>
      </c>
      <c r="L202" s="134">
        <v>52.841040181844221</v>
      </c>
      <c r="M202" s="135">
        <v>54.116241511179794</v>
      </c>
      <c r="N202" s="128">
        <v>478.80599190782812</v>
      </c>
      <c r="O202" s="128">
        <v>59.850748988478514</v>
      </c>
      <c r="P202" s="190"/>
    </row>
    <row r="203" spans="3:16" s="245" customFormat="1" ht="15" customHeight="1">
      <c r="C203" s="379"/>
      <c r="D203" s="127">
        <v>19</v>
      </c>
      <c r="E203" s="406" t="s">
        <v>600</v>
      </c>
      <c r="F203" s="133">
        <v>38.056357733819404</v>
      </c>
      <c r="G203" s="134">
        <v>38.102413030520253</v>
      </c>
      <c r="H203" s="134">
        <v>43.065019298051652</v>
      </c>
      <c r="I203" s="134">
        <v>44.473192702566919</v>
      </c>
      <c r="J203" s="134">
        <v>43.80665548566067</v>
      </c>
      <c r="K203" s="134">
        <v>43.901219892900031</v>
      </c>
      <c r="L203" s="134">
        <v>42.646882732364062</v>
      </c>
      <c r="M203" s="135">
        <v>42.684697705286197</v>
      </c>
      <c r="N203" s="128">
        <v>336.73643858116918</v>
      </c>
      <c r="O203" s="128">
        <v>42.092054822646148</v>
      </c>
      <c r="P203" s="190"/>
    </row>
    <row r="204" spans="3:16" s="245" customFormat="1" ht="15" customHeight="1">
      <c r="C204" s="379"/>
      <c r="D204" s="127">
        <v>20</v>
      </c>
      <c r="E204" s="406" t="s">
        <v>65</v>
      </c>
      <c r="F204" s="133">
        <v>134.80533443411733</v>
      </c>
      <c r="G204" s="134">
        <v>137.54534952187242</v>
      </c>
      <c r="H204" s="134">
        <v>138.39976260017778</v>
      </c>
      <c r="I204" s="134">
        <v>136.95672504646058</v>
      </c>
      <c r="J204" s="134">
        <v>135.9398968766707</v>
      </c>
      <c r="K204" s="134">
        <v>135.30414347561654</v>
      </c>
      <c r="L204" s="134">
        <v>122.72703715437913</v>
      </c>
      <c r="M204" s="135">
        <v>123.26346385281205</v>
      </c>
      <c r="N204" s="128">
        <v>1064.9417129621065</v>
      </c>
      <c r="O204" s="128">
        <v>133.11771412026332</v>
      </c>
      <c r="P204" s="190"/>
    </row>
    <row r="205" spans="3:16" s="245" customFormat="1" ht="15" customHeight="1">
      <c r="C205" s="379"/>
      <c r="D205" s="127">
        <v>21</v>
      </c>
      <c r="E205" s="406" t="s">
        <v>18</v>
      </c>
      <c r="F205" s="133">
        <v>55.298319262180108</v>
      </c>
      <c r="G205" s="134">
        <v>56.48510548326329</v>
      </c>
      <c r="H205" s="134">
        <v>57.356093668133674</v>
      </c>
      <c r="I205" s="134">
        <v>58.198189686129417</v>
      </c>
      <c r="J205" s="134">
        <v>58.955079095620881</v>
      </c>
      <c r="K205" s="134">
        <v>59.463239058488256</v>
      </c>
      <c r="L205" s="134">
        <v>59.902910215015517</v>
      </c>
      <c r="M205" s="135">
        <v>60.437733432564919</v>
      </c>
      <c r="N205" s="128">
        <v>466.09666990139613</v>
      </c>
      <c r="O205" s="128">
        <v>58.262083737674516</v>
      </c>
      <c r="P205" s="190"/>
    </row>
    <row r="206" spans="3:16" s="245" customFormat="1" ht="15" customHeight="1">
      <c r="C206" s="379"/>
      <c r="D206" s="127">
        <v>22</v>
      </c>
      <c r="E206" s="406" t="s">
        <v>102</v>
      </c>
      <c r="F206" s="133">
        <v>0</v>
      </c>
      <c r="G206" s="134">
        <v>0</v>
      </c>
      <c r="H206" s="134">
        <v>0</v>
      </c>
      <c r="I206" s="134">
        <v>0</v>
      </c>
      <c r="J206" s="134">
        <v>0</v>
      </c>
      <c r="K206" s="134">
        <v>0</v>
      </c>
      <c r="L206" s="134">
        <v>0</v>
      </c>
      <c r="M206" s="135">
        <v>0</v>
      </c>
      <c r="N206" s="128">
        <v>0</v>
      </c>
      <c r="O206" s="128">
        <v>0</v>
      </c>
      <c r="P206" s="190"/>
    </row>
    <row r="207" spans="3:16" s="245" customFormat="1" ht="15" customHeight="1">
      <c r="C207" s="379"/>
      <c r="D207" s="127">
        <v>23</v>
      </c>
      <c r="E207" s="406" t="s">
        <v>22</v>
      </c>
      <c r="F207" s="133">
        <v>-0.86626036283610952</v>
      </c>
      <c r="G207" s="134">
        <v>-0.81019773780890636</v>
      </c>
      <c r="H207" s="134">
        <v>-0.78919084241395188</v>
      </c>
      <c r="I207" s="134">
        <v>-0.79061873066036981</v>
      </c>
      <c r="J207" s="134">
        <v>-0.74432653414361061</v>
      </c>
      <c r="K207" s="134">
        <v>-0.70697274816976396</v>
      </c>
      <c r="L207" s="134">
        <v>-0.65350946162011747</v>
      </c>
      <c r="M207" s="135">
        <v>-0.66429758885743451</v>
      </c>
      <c r="N207" s="128">
        <v>-6.0253740065102637</v>
      </c>
      <c r="O207" s="128">
        <v>-0.75317175081378296</v>
      </c>
      <c r="P207" s="155"/>
    </row>
    <row r="208" spans="3:16" s="245" customFormat="1" ht="15" customHeight="1">
      <c r="C208" s="379"/>
      <c r="D208" s="127">
        <v>24</v>
      </c>
      <c r="E208" s="406" t="s">
        <v>215</v>
      </c>
      <c r="F208" s="133">
        <v>5.2127523223694094</v>
      </c>
      <c r="G208" s="134">
        <v>4.3011324364369923</v>
      </c>
      <c r="H208" s="134">
        <v>0.74241585341442251</v>
      </c>
      <c r="I208" s="134">
        <v>0.5594373879213177</v>
      </c>
      <c r="J208" s="134">
        <v>5.0607612898750078</v>
      </c>
      <c r="K208" s="134">
        <v>7.8014747518821661</v>
      </c>
      <c r="L208" s="134">
        <v>24.713373099298202</v>
      </c>
      <c r="M208" s="135">
        <v>22.345917592064644</v>
      </c>
      <c r="N208" s="128">
        <v>70.737264733262165</v>
      </c>
      <c r="O208" s="128">
        <v>8.8421580916577707</v>
      </c>
      <c r="P208" s="155"/>
    </row>
    <row r="209" spans="3:17" s="245" customFormat="1" ht="15" customHeight="1">
      <c r="C209" s="379"/>
      <c r="D209" s="127">
        <v>25</v>
      </c>
      <c r="E209" s="406" t="s">
        <v>6</v>
      </c>
      <c r="F209" s="133">
        <v>23.750413164313372</v>
      </c>
      <c r="G209" s="134">
        <v>22.886151477016458</v>
      </c>
      <c r="H209" s="134">
        <v>21.011010829740268</v>
      </c>
      <c r="I209" s="134">
        <v>19.926967430166229</v>
      </c>
      <c r="J209" s="134">
        <v>19.626299875529298</v>
      </c>
      <c r="K209" s="134">
        <v>19.460318386691849</v>
      </c>
      <c r="L209" s="134">
        <v>19.849710920063266</v>
      </c>
      <c r="M209" s="135">
        <v>19.831963222167122</v>
      </c>
      <c r="N209" s="128">
        <v>166.34283530568788</v>
      </c>
      <c r="O209" s="128">
        <v>20.792854413210986</v>
      </c>
      <c r="P209" s="155"/>
    </row>
    <row r="210" spans="3:17" s="245" customFormat="1" ht="15" customHeight="1">
      <c r="C210" s="379"/>
      <c r="D210" s="122"/>
      <c r="E210" s="407" t="s">
        <v>19</v>
      </c>
      <c r="F210" s="129"/>
      <c r="G210" s="130"/>
      <c r="H210" s="130"/>
      <c r="I210" s="130"/>
      <c r="J210" s="130"/>
      <c r="K210" s="130"/>
      <c r="L210" s="130"/>
      <c r="M210" s="131"/>
      <c r="N210" s="408"/>
      <c r="O210" s="136"/>
      <c r="P210" s="155"/>
      <c r="Q210" s="371"/>
    </row>
    <row r="211" spans="3:17" s="245" customFormat="1" ht="15" customHeight="1">
      <c r="C211" s="379"/>
      <c r="D211" s="127">
        <v>26</v>
      </c>
      <c r="E211" s="406" t="s">
        <v>460</v>
      </c>
      <c r="F211" s="133">
        <v>323.6423780506567</v>
      </c>
      <c r="G211" s="134">
        <v>321.96523170808609</v>
      </c>
      <c r="H211" s="134">
        <v>321.97368894654119</v>
      </c>
      <c r="I211" s="134">
        <v>321.98982233291588</v>
      </c>
      <c r="J211" s="134">
        <v>322.00731377883261</v>
      </c>
      <c r="K211" s="134">
        <v>322.01393999934567</v>
      </c>
      <c r="L211" s="134">
        <v>322.02744484134433</v>
      </c>
      <c r="M211" s="135">
        <v>322.01571972721734</v>
      </c>
      <c r="N211" s="128">
        <v>2577.6355393849399</v>
      </c>
      <c r="O211" s="128">
        <v>322.20444242311748</v>
      </c>
      <c r="P211" s="155"/>
      <c r="Q211" s="371"/>
    </row>
    <row r="212" spans="3:17" s="245" customFormat="1" ht="15" customHeight="1">
      <c r="C212" s="379"/>
      <c r="D212" s="127">
        <v>27</v>
      </c>
      <c r="E212" s="406" t="s">
        <v>58</v>
      </c>
      <c r="F212" s="133">
        <v>0</v>
      </c>
      <c r="G212" s="134">
        <v>0</v>
      </c>
      <c r="H212" s="134">
        <v>0</v>
      </c>
      <c r="I212" s="134">
        <v>0</v>
      </c>
      <c r="J212" s="134">
        <v>0</v>
      </c>
      <c r="K212" s="134">
        <v>0</v>
      </c>
      <c r="L212" s="134">
        <v>0</v>
      </c>
      <c r="M212" s="135">
        <v>0</v>
      </c>
      <c r="N212" s="128">
        <v>0</v>
      </c>
      <c r="O212" s="128">
        <v>0</v>
      </c>
      <c r="P212" s="190"/>
      <c r="Q212" s="371"/>
    </row>
    <row r="213" spans="3:17" s="245" customFormat="1" ht="15" customHeight="1">
      <c r="C213" s="379"/>
      <c r="D213" s="127">
        <v>28</v>
      </c>
      <c r="E213" s="406" t="s">
        <v>43</v>
      </c>
      <c r="F213" s="137">
        <v>323.6423780506567</v>
      </c>
      <c r="G213" s="134">
        <v>321.96523170808609</v>
      </c>
      <c r="H213" s="134">
        <v>321.97368894654119</v>
      </c>
      <c r="I213" s="134">
        <v>321.98982233291588</v>
      </c>
      <c r="J213" s="134">
        <v>322.00731377883261</v>
      </c>
      <c r="K213" s="134">
        <v>322.01393999934567</v>
      </c>
      <c r="L213" s="134">
        <v>322.02744484134433</v>
      </c>
      <c r="M213" s="135">
        <v>322.01571972721734</v>
      </c>
      <c r="N213" s="128">
        <v>2577.6355393849399</v>
      </c>
      <c r="O213" s="128">
        <v>322.20444242311748</v>
      </c>
      <c r="P213" s="190"/>
      <c r="Q213" s="371"/>
    </row>
    <row r="214" spans="3:17" s="245" customFormat="1" ht="15" customHeight="1">
      <c r="C214" s="379"/>
      <c r="D214" s="127">
        <v>29</v>
      </c>
      <c r="E214" s="406" t="s">
        <v>739</v>
      </c>
      <c r="F214" s="137">
        <v>3.7128907006579066</v>
      </c>
      <c r="G214" s="134">
        <v>3.2433877446073538</v>
      </c>
      <c r="H214" s="134">
        <v>2.3952083873370666</v>
      </c>
      <c r="I214" s="134">
        <v>2.0939819897169896</v>
      </c>
      <c r="J214" s="134">
        <v>1.8086360171781042</v>
      </c>
      <c r="K214" s="134">
        <v>1.698493930927915</v>
      </c>
      <c r="L214" s="134">
        <v>1.7952765374652446</v>
      </c>
      <c r="M214" s="135">
        <v>1.8765467146809607</v>
      </c>
      <c r="N214" s="128">
        <v>18.62442202257154</v>
      </c>
      <c r="O214" s="128">
        <v>2.3280527528214425</v>
      </c>
      <c r="P214" s="190"/>
      <c r="Q214" s="371"/>
    </row>
    <row r="215" spans="3:17" s="245" customFormat="1" ht="15" customHeight="1">
      <c r="C215" s="379"/>
      <c r="D215" s="127">
        <v>30</v>
      </c>
      <c r="E215" s="406" t="s">
        <v>770</v>
      </c>
      <c r="F215" s="431">
        <v>2.8477161538850879</v>
      </c>
      <c r="G215" s="137">
        <v>-10.357690365140309</v>
      </c>
      <c r="H215" s="137">
        <v>-6.8190388210312705</v>
      </c>
      <c r="I215" s="137">
        <v>0</v>
      </c>
      <c r="J215" s="137">
        <v>0</v>
      </c>
      <c r="K215" s="137">
        <v>0</v>
      </c>
      <c r="L215" s="137">
        <v>0</v>
      </c>
      <c r="M215" s="137">
        <v>0</v>
      </c>
      <c r="N215" s="128">
        <v>-14.329013032286491</v>
      </c>
      <c r="O215" s="128">
        <v>-1.7911266290358114</v>
      </c>
      <c r="P215" s="190"/>
      <c r="Q215" s="371"/>
    </row>
    <row r="216" spans="3:17" s="245" customFormat="1" ht="15" customHeight="1">
      <c r="C216" s="379"/>
      <c r="D216" s="127">
        <v>31</v>
      </c>
      <c r="E216" s="406" t="s">
        <v>764</v>
      </c>
      <c r="F216" s="137">
        <v>8.4000000000000019E-2</v>
      </c>
      <c r="G216" s="134">
        <v>8.4000000000000019E-2</v>
      </c>
      <c r="H216" s="134">
        <v>8.4000000000000019E-2</v>
      </c>
      <c r="I216" s="134">
        <v>8.4000000000000019E-2</v>
      </c>
      <c r="J216" s="134">
        <v>8.4000000000000019E-2</v>
      </c>
      <c r="K216" s="134">
        <v>8.4000000000000019E-2</v>
      </c>
      <c r="L216" s="134">
        <v>8.4000000000000019E-2</v>
      </c>
      <c r="M216" s="135">
        <v>8.4000000000000019E-2</v>
      </c>
      <c r="N216" s="128">
        <v>0.67200000000000015</v>
      </c>
      <c r="O216" s="128">
        <v>8.4000000000000019E-2</v>
      </c>
      <c r="P216" s="190"/>
      <c r="Q216" s="371"/>
    </row>
    <row r="217" spans="3:17" s="245" customFormat="1" ht="15" customHeight="1">
      <c r="C217" s="379"/>
      <c r="D217" s="127">
        <v>32</v>
      </c>
      <c r="E217" s="406" t="s">
        <v>9</v>
      </c>
      <c r="F217" s="137">
        <v>330.28698490519969</v>
      </c>
      <c r="G217" s="134">
        <v>314.93492908755314</v>
      </c>
      <c r="H217" s="134">
        <v>317.63385851284698</v>
      </c>
      <c r="I217" s="134">
        <v>324.16780432263289</v>
      </c>
      <c r="J217" s="134">
        <v>323.89994979601073</v>
      </c>
      <c r="K217" s="134">
        <v>323.79643393027357</v>
      </c>
      <c r="L217" s="134">
        <v>323.90672137880961</v>
      </c>
      <c r="M217" s="367">
        <v>323.9762664418983</v>
      </c>
      <c r="N217" s="128">
        <v>2582.602948375225</v>
      </c>
      <c r="O217" s="128">
        <v>322.82536854690312</v>
      </c>
      <c r="P217" s="190"/>
      <c r="Q217" s="371"/>
    </row>
    <row r="218" spans="3:17" s="245" customFormat="1" ht="15" customHeight="1">
      <c r="C218" s="379"/>
      <c r="D218" s="122"/>
      <c r="E218" s="407" t="s">
        <v>173</v>
      </c>
      <c r="F218" s="129"/>
      <c r="G218" s="130"/>
      <c r="H218" s="130"/>
      <c r="I218" s="130"/>
      <c r="J218" s="130"/>
      <c r="K218" s="198"/>
      <c r="L218" s="130"/>
      <c r="M218" s="131"/>
      <c r="N218" s="408"/>
      <c r="O218" s="136"/>
      <c r="P218" s="190"/>
      <c r="Q218" s="371"/>
    </row>
    <row r="219" spans="3:17" s="245" customFormat="1" ht="15" customHeight="1">
      <c r="C219" s="379"/>
      <c r="D219" s="127">
        <v>33</v>
      </c>
      <c r="E219" s="406" t="s">
        <v>173</v>
      </c>
      <c r="F219" s="133">
        <v>323.6423780506567</v>
      </c>
      <c r="G219" s="134">
        <v>321.96523170808609</v>
      </c>
      <c r="H219" s="134">
        <v>321.97368894654119</v>
      </c>
      <c r="I219" s="134">
        <v>321.98982233291588</v>
      </c>
      <c r="J219" s="134">
        <v>322.00731377883261</v>
      </c>
      <c r="K219" s="134">
        <v>322.01393999934567</v>
      </c>
      <c r="L219" s="134">
        <v>322.02744484134433</v>
      </c>
      <c r="M219" s="135">
        <v>322.01571972721734</v>
      </c>
      <c r="N219" s="128">
        <v>2577.6355393849399</v>
      </c>
      <c r="O219" s="128">
        <v>322.20444242311748</v>
      </c>
      <c r="P219" s="190"/>
      <c r="Q219" s="371"/>
    </row>
    <row r="220" spans="3:17" s="245" customFormat="1" ht="15" customHeight="1">
      <c r="C220" s="379"/>
      <c r="D220" s="127">
        <v>34</v>
      </c>
      <c r="E220" s="406" t="s">
        <v>187</v>
      </c>
      <c r="F220" s="133">
        <v>0</v>
      </c>
      <c r="G220" s="134">
        <v>0</v>
      </c>
      <c r="H220" s="134">
        <v>0</v>
      </c>
      <c r="I220" s="134">
        <v>0</v>
      </c>
      <c r="J220" s="134">
        <v>0</v>
      </c>
      <c r="K220" s="134">
        <v>0</v>
      </c>
      <c r="L220" s="134">
        <v>0</v>
      </c>
      <c r="M220" s="135">
        <v>0</v>
      </c>
      <c r="N220" s="128">
        <v>0</v>
      </c>
      <c r="O220" s="128">
        <v>0</v>
      </c>
      <c r="P220" s="190"/>
      <c r="Q220" s="371"/>
    </row>
    <row r="221" spans="3:17" s="245" customFormat="1" ht="15" customHeight="1">
      <c r="C221" s="378"/>
      <c r="D221" s="122"/>
      <c r="E221" s="407" t="s">
        <v>297</v>
      </c>
      <c r="F221" s="129"/>
      <c r="G221" s="130"/>
      <c r="H221" s="130"/>
      <c r="I221" s="130"/>
      <c r="J221" s="130"/>
      <c r="K221" s="198"/>
      <c r="L221" s="130"/>
      <c r="M221" s="131"/>
      <c r="N221" s="408"/>
      <c r="O221" s="136"/>
      <c r="P221" s="190"/>
      <c r="Q221" s="371"/>
    </row>
    <row r="222" spans="3:17" s="245" customFormat="1" ht="15" customHeight="1">
      <c r="C222" s="378"/>
      <c r="D222" s="127">
        <v>35</v>
      </c>
      <c r="E222" s="409">
        <v>42460</v>
      </c>
      <c r="F222" s="137">
        <v>323.6423780506567</v>
      </c>
      <c r="G222" s="134">
        <v>321.96523170808609</v>
      </c>
      <c r="H222" s="134">
        <v>321.97368894654119</v>
      </c>
      <c r="I222" s="134">
        <v>321.98982233291588</v>
      </c>
      <c r="J222" s="134">
        <v>322.00731377883261</v>
      </c>
      <c r="K222" s="134">
        <v>322.01393999934567</v>
      </c>
      <c r="L222" s="134">
        <v>322.02744484134433</v>
      </c>
      <c r="M222" s="135">
        <v>322.01571972721734</v>
      </c>
      <c r="N222" s="128">
        <v>2577.6355393849399</v>
      </c>
      <c r="O222" s="128">
        <v>322.20444242311748</v>
      </c>
      <c r="P222" s="190"/>
      <c r="Q222" s="371"/>
    </row>
    <row r="223" spans="3:17" s="245" customFormat="1" ht="15" customHeight="1">
      <c r="C223" s="378"/>
      <c r="D223" s="127">
        <v>36</v>
      </c>
      <c r="E223" s="409">
        <v>42825</v>
      </c>
      <c r="F223" s="137" t="s">
        <v>196</v>
      </c>
      <c r="G223" s="134" t="s">
        <v>196</v>
      </c>
      <c r="H223" s="134" t="s">
        <v>196</v>
      </c>
      <c r="I223" s="134" t="s">
        <v>196</v>
      </c>
      <c r="J223" s="134" t="s">
        <v>196</v>
      </c>
      <c r="K223" s="134" t="s">
        <v>196</v>
      </c>
      <c r="L223" s="134" t="s">
        <v>196</v>
      </c>
      <c r="M223" s="135" t="s">
        <v>196</v>
      </c>
      <c r="N223" s="128">
        <v>0</v>
      </c>
      <c r="O223" s="128">
        <v>0</v>
      </c>
      <c r="P223" s="190"/>
      <c r="Q223" s="371"/>
    </row>
    <row r="224" spans="3:17" s="245" customFormat="1" ht="15" customHeight="1">
      <c r="C224" s="378"/>
      <c r="D224" s="127">
        <v>37</v>
      </c>
      <c r="E224" s="409">
        <v>43190</v>
      </c>
      <c r="F224" s="137" t="s">
        <v>196</v>
      </c>
      <c r="G224" s="134" t="s">
        <v>196</v>
      </c>
      <c r="H224" s="134" t="s">
        <v>196</v>
      </c>
      <c r="I224" s="134" t="s">
        <v>196</v>
      </c>
      <c r="J224" s="134" t="s">
        <v>196</v>
      </c>
      <c r="K224" s="134" t="s">
        <v>196</v>
      </c>
      <c r="L224" s="134" t="s">
        <v>196</v>
      </c>
      <c r="M224" s="135" t="s">
        <v>196</v>
      </c>
      <c r="N224" s="128">
        <v>0</v>
      </c>
      <c r="O224" s="128">
        <v>0</v>
      </c>
      <c r="P224" s="190"/>
      <c r="Q224" s="371"/>
    </row>
    <row r="225" spans="3:17" s="245" customFormat="1" ht="15" customHeight="1">
      <c r="C225" s="378"/>
      <c r="D225" s="127">
        <v>38</v>
      </c>
      <c r="E225" s="409">
        <v>43555</v>
      </c>
      <c r="F225" s="137" t="s">
        <v>196</v>
      </c>
      <c r="G225" s="134" t="s">
        <v>196</v>
      </c>
      <c r="H225" s="134" t="s">
        <v>196</v>
      </c>
      <c r="I225" s="134" t="s">
        <v>196</v>
      </c>
      <c r="J225" s="134" t="s">
        <v>196</v>
      </c>
      <c r="K225" s="134" t="s">
        <v>196</v>
      </c>
      <c r="L225" s="134" t="s">
        <v>196</v>
      </c>
      <c r="M225" s="135" t="s">
        <v>196</v>
      </c>
      <c r="N225" s="128">
        <v>0</v>
      </c>
      <c r="O225" s="128">
        <v>0</v>
      </c>
      <c r="P225" s="190"/>
      <c r="Q225" s="371"/>
    </row>
    <row r="226" spans="3:17" s="245" customFormat="1" ht="15" customHeight="1">
      <c r="C226" s="378"/>
      <c r="D226" s="127">
        <v>39</v>
      </c>
      <c r="E226" s="409">
        <v>43921</v>
      </c>
      <c r="F226" s="137" t="s">
        <v>196</v>
      </c>
      <c r="G226" s="134" t="s">
        <v>196</v>
      </c>
      <c r="H226" s="134" t="s">
        <v>196</v>
      </c>
      <c r="I226" s="134" t="s">
        <v>196</v>
      </c>
      <c r="J226" s="134" t="s">
        <v>196</v>
      </c>
      <c r="K226" s="134" t="s">
        <v>196</v>
      </c>
      <c r="L226" s="134" t="s">
        <v>196</v>
      </c>
      <c r="M226" s="135" t="s">
        <v>196</v>
      </c>
      <c r="N226" s="128">
        <v>0</v>
      </c>
      <c r="O226" s="128">
        <v>0</v>
      </c>
      <c r="P226" s="190"/>
      <c r="Q226" s="371"/>
    </row>
    <row r="227" spans="3:17" s="245" customFormat="1" ht="15" customHeight="1">
      <c r="C227" s="378"/>
      <c r="D227" s="127">
        <v>40</v>
      </c>
      <c r="E227" s="409">
        <v>44286</v>
      </c>
      <c r="F227" s="137" t="s">
        <v>196</v>
      </c>
      <c r="G227" s="134" t="s">
        <v>196</v>
      </c>
      <c r="H227" s="134" t="s">
        <v>196</v>
      </c>
      <c r="I227" s="134" t="s">
        <v>196</v>
      </c>
      <c r="J227" s="134" t="s">
        <v>196</v>
      </c>
      <c r="K227" s="134" t="s">
        <v>196</v>
      </c>
      <c r="L227" s="134" t="s">
        <v>196</v>
      </c>
      <c r="M227" s="135" t="s">
        <v>196</v>
      </c>
      <c r="N227" s="128">
        <v>0</v>
      </c>
      <c r="O227" s="128">
        <v>0</v>
      </c>
      <c r="P227" s="190"/>
      <c r="Q227" s="371"/>
    </row>
    <row r="228" spans="3:17" s="245" customFormat="1" ht="15" customHeight="1">
      <c r="C228" s="378"/>
      <c r="D228" s="127">
        <v>41</v>
      </c>
      <c r="E228" s="409">
        <v>44651</v>
      </c>
      <c r="F228" s="137" t="s">
        <v>196</v>
      </c>
      <c r="G228" s="134" t="s">
        <v>196</v>
      </c>
      <c r="H228" s="134" t="s">
        <v>196</v>
      </c>
      <c r="I228" s="134" t="s">
        <v>196</v>
      </c>
      <c r="J228" s="134" t="s">
        <v>196</v>
      </c>
      <c r="K228" s="134" t="s">
        <v>196</v>
      </c>
      <c r="L228" s="134" t="s">
        <v>196</v>
      </c>
      <c r="M228" s="135" t="s">
        <v>196</v>
      </c>
      <c r="N228" s="128">
        <v>0</v>
      </c>
      <c r="O228" s="128">
        <v>0</v>
      </c>
      <c r="P228" s="190"/>
      <c r="Q228" s="371"/>
    </row>
    <row r="229" spans="3:17" s="245" customFormat="1" ht="15" customHeight="1">
      <c r="C229" s="378"/>
      <c r="D229" s="127">
        <v>42</v>
      </c>
      <c r="E229" s="409">
        <v>45016</v>
      </c>
      <c r="F229" s="137" t="s">
        <v>196</v>
      </c>
      <c r="G229" s="134" t="s">
        <v>196</v>
      </c>
      <c r="H229" s="134" t="s">
        <v>196</v>
      </c>
      <c r="I229" s="134" t="s">
        <v>196</v>
      </c>
      <c r="J229" s="134" t="s">
        <v>196</v>
      </c>
      <c r="K229" s="134" t="s">
        <v>196</v>
      </c>
      <c r="L229" s="134" t="s">
        <v>196</v>
      </c>
      <c r="M229" s="135" t="s">
        <v>196</v>
      </c>
      <c r="N229" s="128">
        <v>0</v>
      </c>
      <c r="O229" s="128">
        <v>0</v>
      </c>
      <c r="P229" s="190"/>
      <c r="Q229" s="371"/>
    </row>
    <row r="230" spans="3:17" s="245" customFormat="1" ht="15" customHeight="1">
      <c r="C230" s="378"/>
      <c r="D230" s="122"/>
      <c r="E230" s="407" t="s">
        <v>461</v>
      </c>
      <c r="F230" s="129"/>
      <c r="G230" s="130"/>
      <c r="H230" s="130"/>
      <c r="I230" s="130"/>
      <c r="J230" s="130"/>
      <c r="K230" s="198"/>
      <c r="L230" s="130"/>
      <c r="M230" s="131"/>
      <c r="N230" s="408"/>
      <c r="O230" s="136"/>
      <c r="P230" s="190"/>
      <c r="Q230" s="371"/>
    </row>
    <row r="231" spans="3:17" s="245" customFormat="1" ht="15" customHeight="1">
      <c r="C231" s="378"/>
      <c r="D231" s="127">
        <v>43</v>
      </c>
      <c r="E231" s="409">
        <v>42460</v>
      </c>
      <c r="F231" s="137">
        <v>0</v>
      </c>
      <c r="G231" s="134">
        <v>0</v>
      </c>
      <c r="H231" s="134">
        <v>0</v>
      </c>
      <c r="I231" s="134">
        <v>0</v>
      </c>
      <c r="J231" s="134">
        <v>0</v>
      </c>
      <c r="K231" s="134">
        <v>0</v>
      </c>
      <c r="L231" s="134">
        <v>0</v>
      </c>
      <c r="M231" s="135">
        <v>0</v>
      </c>
      <c r="N231" s="128">
        <v>0</v>
      </c>
      <c r="O231" s="128"/>
      <c r="P231" s="190"/>
      <c r="Q231" s="371"/>
    </row>
    <row r="232" spans="3:17" s="245" customFormat="1" ht="15" customHeight="1">
      <c r="C232" s="378"/>
      <c r="D232" s="127">
        <v>44</v>
      </c>
      <c r="E232" s="409">
        <v>42825</v>
      </c>
      <c r="F232" s="137" t="s">
        <v>196</v>
      </c>
      <c r="G232" s="134" t="s">
        <v>196</v>
      </c>
      <c r="H232" s="134" t="s">
        <v>196</v>
      </c>
      <c r="I232" s="134" t="s">
        <v>196</v>
      </c>
      <c r="J232" s="134" t="s">
        <v>196</v>
      </c>
      <c r="K232" s="134" t="s">
        <v>196</v>
      </c>
      <c r="L232" s="134" t="s">
        <v>196</v>
      </c>
      <c r="M232" s="135" t="s">
        <v>196</v>
      </c>
      <c r="N232" s="128">
        <v>0</v>
      </c>
      <c r="O232" s="128"/>
      <c r="P232" s="190"/>
      <c r="Q232" s="371"/>
    </row>
    <row r="233" spans="3:17" s="245" customFormat="1" ht="15" customHeight="1">
      <c r="C233" s="378"/>
      <c r="D233" s="127">
        <v>45</v>
      </c>
      <c r="E233" s="409">
        <v>43190</v>
      </c>
      <c r="F233" s="137" t="s">
        <v>196</v>
      </c>
      <c r="G233" s="134" t="s">
        <v>196</v>
      </c>
      <c r="H233" s="134" t="s">
        <v>196</v>
      </c>
      <c r="I233" s="134" t="s">
        <v>196</v>
      </c>
      <c r="J233" s="134" t="s">
        <v>196</v>
      </c>
      <c r="K233" s="134" t="s">
        <v>196</v>
      </c>
      <c r="L233" s="134" t="s">
        <v>196</v>
      </c>
      <c r="M233" s="135" t="s">
        <v>196</v>
      </c>
      <c r="N233" s="128">
        <v>0</v>
      </c>
      <c r="O233" s="128"/>
      <c r="P233" s="190"/>
      <c r="Q233" s="371"/>
    </row>
    <row r="234" spans="3:17" s="245" customFormat="1" ht="15" customHeight="1">
      <c r="C234" s="378"/>
      <c r="D234" s="127">
        <v>46</v>
      </c>
      <c r="E234" s="409">
        <v>43555</v>
      </c>
      <c r="F234" s="137" t="s">
        <v>196</v>
      </c>
      <c r="G234" s="134" t="s">
        <v>196</v>
      </c>
      <c r="H234" s="134" t="s">
        <v>196</v>
      </c>
      <c r="I234" s="134" t="s">
        <v>196</v>
      </c>
      <c r="J234" s="134" t="s">
        <v>196</v>
      </c>
      <c r="K234" s="134" t="s">
        <v>196</v>
      </c>
      <c r="L234" s="134" t="s">
        <v>196</v>
      </c>
      <c r="M234" s="135" t="s">
        <v>196</v>
      </c>
      <c r="N234" s="128">
        <v>0</v>
      </c>
      <c r="O234" s="128"/>
      <c r="P234" s="190"/>
      <c r="Q234" s="371"/>
    </row>
    <row r="235" spans="3:17" s="245" customFormat="1" ht="15" customHeight="1">
      <c r="C235" s="378"/>
      <c r="D235" s="127">
        <v>47</v>
      </c>
      <c r="E235" s="409">
        <v>43921</v>
      </c>
      <c r="F235" s="137" t="s">
        <v>196</v>
      </c>
      <c r="G235" s="134" t="s">
        <v>196</v>
      </c>
      <c r="H235" s="134" t="s">
        <v>196</v>
      </c>
      <c r="I235" s="134" t="s">
        <v>196</v>
      </c>
      <c r="J235" s="134" t="s">
        <v>196</v>
      </c>
      <c r="K235" s="134" t="s">
        <v>196</v>
      </c>
      <c r="L235" s="134" t="s">
        <v>196</v>
      </c>
      <c r="M235" s="135" t="s">
        <v>196</v>
      </c>
      <c r="N235" s="128">
        <v>0</v>
      </c>
      <c r="O235" s="128"/>
      <c r="P235" s="190"/>
      <c r="Q235" s="371"/>
    </row>
    <row r="236" spans="3:17" s="245" customFormat="1" ht="15" customHeight="1">
      <c r="C236" s="378"/>
      <c r="D236" s="127">
        <v>48</v>
      </c>
      <c r="E236" s="409">
        <v>44286</v>
      </c>
      <c r="F236" s="137" t="s">
        <v>196</v>
      </c>
      <c r="G236" s="134" t="s">
        <v>196</v>
      </c>
      <c r="H236" s="134" t="s">
        <v>196</v>
      </c>
      <c r="I236" s="134" t="s">
        <v>196</v>
      </c>
      <c r="J236" s="134" t="s">
        <v>196</v>
      </c>
      <c r="K236" s="134" t="s">
        <v>196</v>
      </c>
      <c r="L236" s="134" t="s">
        <v>196</v>
      </c>
      <c r="M236" s="135" t="s">
        <v>196</v>
      </c>
      <c r="N236" s="128">
        <v>0</v>
      </c>
      <c r="O236" s="128"/>
      <c r="P236" s="190"/>
      <c r="Q236" s="371"/>
    </row>
    <row r="237" spans="3:17" s="245" customFormat="1" ht="15" customHeight="1">
      <c r="C237" s="378"/>
      <c r="D237" s="127">
        <v>49</v>
      </c>
      <c r="E237" s="409">
        <v>44651</v>
      </c>
      <c r="F237" s="137" t="s">
        <v>196</v>
      </c>
      <c r="G237" s="134" t="s">
        <v>196</v>
      </c>
      <c r="H237" s="134" t="s">
        <v>196</v>
      </c>
      <c r="I237" s="134" t="s">
        <v>196</v>
      </c>
      <c r="J237" s="134" t="s">
        <v>196</v>
      </c>
      <c r="K237" s="134" t="s">
        <v>196</v>
      </c>
      <c r="L237" s="134" t="s">
        <v>196</v>
      </c>
      <c r="M237" s="135" t="s">
        <v>196</v>
      </c>
      <c r="N237" s="128">
        <v>0</v>
      </c>
      <c r="O237" s="128"/>
      <c r="P237" s="190"/>
      <c r="Q237" s="371"/>
    </row>
    <row r="238" spans="3:17" s="245" customFormat="1" ht="15" customHeight="1">
      <c r="C238" s="378"/>
      <c r="D238" s="127">
        <v>50</v>
      </c>
      <c r="E238" s="409">
        <v>45016</v>
      </c>
      <c r="F238" s="137" t="s">
        <v>196</v>
      </c>
      <c r="G238" s="134" t="s">
        <v>196</v>
      </c>
      <c r="H238" s="134" t="s">
        <v>196</v>
      </c>
      <c r="I238" s="134" t="s">
        <v>196</v>
      </c>
      <c r="J238" s="134" t="s">
        <v>196</v>
      </c>
      <c r="K238" s="134" t="s">
        <v>196</v>
      </c>
      <c r="L238" s="134" t="s">
        <v>196</v>
      </c>
      <c r="M238" s="135" t="s">
        <v>196</v>
      </c>
      <c r="N238" s="128">
        <v>0</v>
      </c>
      <c r="O238" s="128"/>
      <c r="P238" s="190"/>
      <c r="Q238" s="371"/>
    </row>
    <row r="239" spans="3:17" s="245" customFormat="1" ht="15" customHeight="1">
      <c r="C239" s="378"/>
      <c r="D239" s="122"/>
      <c r="E239" s="407" t="s">
        <v>468</v>
      </c>
      <c r="F239" s="129"/>
      <c r="G239" s="130"/>
      <c r="H239" s="130"/>
      <c r="I239" s="130"/>
      <c r="J239" s="130"/>
      <c r="K239" s="198"/>
      <c r="L239" s="130"/>
      <c r="M239" s="131"/>
      <c r="N239" s="408"/>
      <c r="O239" s="136"/>
      <c r="P239" s="190"/>
      <c r="Q239" s="371"/>
    </row>
    <row r="240" spans="3:17" s="245" customFormat="1" ht="15" customHeight="1">
      <c r="C240" s="378"/>
      <c r="D240" s="127">
        <v>51</v>
      </c>
      <c r="E240" s="406" t="s">
        <v>445</v>
      </c>
      <c r="F240" s="133">
        <v>1471.6784900114467</v>
      </c>
      <c r="G240" s="134">
        <v>1503.2629536463951</v>
      </c>
      <c r="H240" s="134">
        <v>1526.4429452597119</v>
      </c>
      <c r="I240" s="134">
        <v>1548.854016929592</v>
      </c>
      <c r="J240" s="134">
        <v>1568.997447654581</v>
      </c>
      <c r="K240" s="134">
        <v>1582.5213322285631</v>
      </c>
      <c r="L240" s="134">
        <v>1594.2224940789226</v>
      </c>
      <c r="M240" s="135">
        <v>1608.4559795759128</v>
      </c>
      <c r="N240" s="128">
        <v>12404.435659385124</v>
      </c>
      <c r="O240" s="128">
        <v>1550.5544574231405</v>
      </c>
      <c r="P240" s="190"/>
      <c r="Q240" s="371"/>
    </row>
    <row r="241" spans="3:17" s="245" customFormat="1" ht="15" customHeight="1">
      <c r="C241" s="378"/>
      <c r="D241" s="127">
        <v>52</v>
      </c>
      <c r="E241" s="406" t="s">
        <v>446</v>
      </c>
      <c r="F241" s="222">
        <v>0.65</v>
      </c>
      <c r="G241" s="223">
        <v>0.65</v>
      </c>
      <c r="H241" s="223">
        <v>0.65</v>
      </c>
      <c r="I241" s="223">
        <v>0.65</v>
      </c>
      <c r="J241" s="223">
        <v>0.65</v>
      </c>
      <c r="K241" s="223">
        <v>0.65</v>
      </c>
      <c r="L241" s="223">
        <v>0.65</v>
      </c>
      <c r="M241" s="224">
        <v>0.65</v>
      </c>
      <c r="N241" s="225">
        <v>0.65</v>
      </c>
      <c r="O241" s="225">
        <v>0.65</v>
      </c>
      <c r="P241" s="190"/>
      <c r="Q241" s="371"/>
    </row>
    <row r="242" spans="3:17" s="245" customFormat="1" ht="15" customHeight="1">
      <c r="C242" s="379"/>
      <c r="D242" s="127">
        <v>53</v>
      </c>
      <c r="E242" s="406" t="s">
        <v>431</v>
      </c>
      <c r="F242" s="133">
        <v>515.08747150400632</v>
      </c>
      <c r="G242" s="134">
        <v>526.14203377623824</v>
      </c>
      <c r="H242" s="134">
        <v>534.25503084089917</v>
      </c>
      <c r="I242" s="134">
        <v>542.09890592535714</v>
      </c>
      <c r="J242" s="134">
        <v>549.14910667910328</v>
      </c>
      <c r="K242" s="134">
        <v>553.88246627999706</v>
      </c>
      <c r="L242" s="134">
        <v>557.97787292762291</v>
      </c>
      <c r="M242" s="135">
        <v>562.95959285156948</v>
      </c>
      <c r="N242" s="128">
        <v>4341.5524807847933</v>
      </c>
      <c r="O242" s="128">
        <v>542.69406009809916</v>
      </c>
      <c r="P242" s="190"/>
      <c r="Q242" s="371"/>
    </row>
    <row r="243" spans="3:17" s="245" customFormat="1" ht="15" customHeight="1">
      <c r="C243" s="379"/>
      <c r="D243" s="127">
        <v>54</v>
      </c>
      <c r="E243" s="406" t="s">
        <v>447</v>
      </c>
      <c r="F243" s="137">
        <v>24.393070971939729</v>
      </c>
      <c r="G243" s="134">
        <v>24.916583456688997</v>
      </c>
      <c r="H243" s="134">
        <v>25.300791817679723</v>
      </c>
      <c r="I243" s="134">
        <v>25.672255330607989</v>
      </c>
      <c r="J243" s="134">
        <v>26.00613269487468</v>
      </c>
      <c r="K243" s="134">
        <v>26.230291081688431</v>
      </c>
      <c r="L243" s="134">
        <v>26.424237839358142</v>
      </c>
      <c r="M243" s="135">
        <v>26.660157861470758</v>
      </c>
      <c r="N243" s="128">
        <v>205.60352105430843</v>
      </c>
      <c r="O243" s="128">
        <v>25.700440131788554</v>
      </c>
      <c r="P243" s="190"/>
      <c r="Q243" s="371"/>
    </row>
    <row r="244" spans="3:17" s="245" customFormat="1" ht="15" customHeight="1" thickBot="1">
      <c r="C244" s="379"/>
      <c r="D244" s="138">
        <v>55</v>
      </c>
      <c r="E244" s="410" t="s">
        <v>677</v>
      </c>
      <c r="F244" s="254">
        <v>515.08747150400632</v>
      </c>
      <c r="G244" s="139">
        <v>526.14203377623824</v>
      </c>
      <c r="H244" s="139">
        <v>534.25503084089917</v>
      </c>
      <c r="I244" s="139">
        <v>542.09890592535714</v>
      </c>
      <c r="J244" s="139">
        <v>549.14910667910328</v>
      </c>
      <c r="K244" s="139">
        <v>553.88246627999706</v>
      </c>
      <c r="L244" s="139">
        <v>557.97787292762291</v>
      </c>
      <c r="M244" s="226">
        <v>562.95959285156948</v>
      </c>
      <c r="N244" s="253"/>
      <c r="O244" s="253">
        <v>542.69406009809916</v>
      </c>
      <c r="P244" s="190"/>
      <c r="Q244" s="371"/>
    </row>
    <row r="245" spans="3:17" s="245" customFormat="1" ht="15" customHeight="1">
      <c r="C245" s="379"/>
      <c r="D245" s="244"/>
      <c r="E245" s="402"/>
      <c r="F245" s="155"/>
      <c r="G245" s="155"/>
      <c r="H245" s="155"/>
      <c r="I245" s="155"/>
      <c r="J245" s="155"/>
      <c r="K245" s="155"/>
      <c r="L245" s="155"/>
      <c r="M245" s="155"/>
      <c r="N245" s="155"/>
      <c r="O245" s="155"/>
      <c r="P245" s="190"/>
      <c r="Q245" s="371"/>
    </row>
    <row r="246" spans="3:17" s="245" customFormat="1" ht="15" customHeight="1">
      <c r="C246" s="378"/>
      <c r="D246" s="244"/>
      <c r="E246" s="190"/>
      <c r="F246" s="155"/>
      <c r="G246" s="155"/>
      <c r="H246" s="155"/>
      <c r="I246" s="155"/>
      <c r="J246" s="155"/>
      <c r="K246" s="155"/>
      <c r="L246" s="155"/>
      <c r="M246" s="383"/>
      <c r="N246" s="155"/>
      <c r="O246" s="155"/>
      <c r="P246" s="190"/>
      <c r="Q246" s="371"/>
    </row>
    <row r="247" spans="3:17" s="245" customFormat="1" ht="15" customHeight="1">
      <c r="C247" s="378"/>
      <c r="D247" s="244"/>
      <c r="E247" s="190"/>
      <c r="F247" s="155"/>
      <c r="G247" s="155"/>
      <c r="H247" s="155"/>
      <c r="I247" s="155"/>
      <c r="J247" s="155"/>
      <c r="K247" s="155"/>
      <c r="L247" s="155"/>
      <c r="M247" s="383"/>
      <c r="N247" s="155"/>
      <c r="O247" s="155"/>
      <c r="P247" s="190"/>
      <c r="Q247" s="371"/>
    </row>
    <row r="248" spans="3:17" s="245" customFormat="1" ht="15" customHeight="1">
      <c r="C248" s="378"/>
      <c r="D248" s="244"/>
      <c r="E248" s="190"/>
      <c r="F248" s="155"/>
      <c r="G248" s="155"/>
      <c r="H248" s="155"/>
      <c r="I248" s="155"/>
      <c r="J248" s="155"/>
      <c r="K248" s="155"/>
      <c r="L248" s="155"/>
      <c r="M248" s="383"/>
      <c r="N248" s="155"/>
      <c r="O248" s="155"/>
      <c r="P248" s="190"/>
      <c r="Q248" s="371"/>
    </row>
    <row r="249" spans="3:17" s="245" customFormat="1" ht="15" customHeight="1">
      <c r="C249" s="378"/>
      <c r="D249" s="244"/>
      <c r="E249" s="190"/>
      <c r="F249" s="378"/>
      <c r="G249" s="378"/>
      <c r="H249" s="378"/>
      <c r="I249" s="378"/>
      <c r="J249" s="378"/>
      <c r="K249" s="378"/>
      <c r="L249" s="378"/>
      <c r="M249" s="378"/>
      <c r="N249" s="378"/>
      <c r="O249" s="378"/>
      <c r="P249" s="190"/>
      <c r="Q249" s="371"/>
    </row>
    <row r="250" spans="3:17" s="245" customFormat="1" ht="15" hidden="1" customHeight="1">
      <c r="C250" s="380" t="s">
        <v>807</v>
      </c>
      <c r="D250" s="380"/>
      <c r="E250" s="380"/>
      <c r="F250" s="380"/>
      <c r="G250" s="380"/>
      <c r="H250" s="380"/>
      <c r="I250" s="380"/>
      <c r="J250" s="380"/>
      <c r="K250" s="380"/>
      <c r="L250" s="380"/>
      <c r="M250" s="380"/>
      <c r="N250" s="380"/>
      <c r="O250" s="380"/>
      <c r="P250" s="190"/>
      <c r="Q250" s="371"/>
    </row>
    <row r="251" spans="3:17" s="245" customFormat="1" ht="15" hidden="1" customHeight="1">
      <c r="C251" s="379"/>
      <c r="D251" s="379"/>
      <c r="E251" s="379"/>
      <c r="F251" s="379"/>
      <c r="G251" s="379"/>
      <c r="H251" s="379"/>
      <c r="I251" s="379"/>
      <c r="J251" s="379"/>
      <c r="K251" s="379"/>
      <c r="L251" s="379"/>
      <c r="M251" s="379"/>
      <c r="N251" s="379"/>
      <c r="O251" s="379"/>
      <c r="P251" s="190"/>
      <c r="Q251" s="371"/>
    </row>
    <row r="252" spans="3:17" s="245" customFormat="1" ht="15" hidden="1" customHeight="1">
      <c r="C252" s="379"/>
      <c r="D252" s="376"/>
      <c r="E252" s="376"/>
      <c r="F252" s="377"/>
      <c r="G252" s="377"/>
      <c r="H252" s="377"/>
      <c r="I252" s="377"/>
      <c r="J252" s="377"/>
      <c r="K252" s="377"/>
      <c r="L252" s="377"/>
      <c r="M252" s="377"/>
      <c r="N252" s="376"/>
      <c r="O252" s="376"/>
      <c r="P252" s="190"/>
      <c r="Q252" s="371"/>
    </row>
    <row r="253" spans="3:17" s="245" customFormat="1" ht="15" hidden="1" customHeight="1">
      <c r="C253" s="379"/>
      <c r="D253" s="376"/>
      <c r="E253" s="381" t="s">
        <v>56</v>
      </c>
      <c r="F253" s="381" t="s">
        <v>234</v>
      </c>
      <c r="G253" s="377"/>
      <c r="H253" s="381" t="s">
        <v>37</v>
      </c>
      <c r="I253" s="377"/>
      <c r="J253" s="377"/>
      <c r="K253" s="377"/>
      <c r="L253" s="377"/>
      <c r="M253" s="377"/>
      <c r="N253" s="376"/>
      <c r="O253" s="376"/>
      <c r="P253" s="190"/>
      <c r="Q253" s="371"/>
    </row>
    <row r="254" spans="3:17" s="245" customFormat="1" ht="15" hidden="1" customHeight="1">
      <c r="C254" s="379"/>
      <c r="D254" s="118"/>
      <c r="E254" s="118" t="s">
        <v>510</v>
      </c>
      <c r="F254" s="345">
        <v>42460</v>
      </c>
      <c r="G254" s="119"/>
      <c r="H254" s="118" t="s">
        <v>851</v>
      </c>
      <c r="I254" s="119"/>
      <c r="J254" s="119"/>
      <c r="K254" s="119"/>
      <c r="L254" s="119"/>
      <c r="M254" s="119"/>
      <c r="N254" s="118"/>
      <c r="O254" s="118"/>
      <c r="P254" s="190"/>
      <c r="Q254" s="371"/>
    </row>
    <row r="255" spans="3:17" s="245" customFormat="1" ht="15" hidden="1" customHeight="1" thickBot="1">
      <c r="C255" s="379"/>
      <c r="D255" s="379"/>
      <c r="E255" s="379"/>
      <c r="F255" s="430"/>
      <c r="G255" s="430"/>
      <c r="H255" s="430"/>
      <c r="I255" s="430"/>
      <c r="J255" s="430"/>
      <c r="K255" s="430"/>
      <c r="L255" s="430"/>
      <c r="M255" s="430"/>
      <c r="N255" s="379"/>
      <c r="O255" s="379"/>
      <c r="P255" s="190"/>
      <c r="Q255" s="371"/>
    </row>
    <row r="256" spans="3:17" s="245" customFormat="1" ht="15" hidden="1" customHeight="1">
      <c r="C256" s="379"/>
      <c r="D256" s="120"/>
      <c r="E256" s="189" t="s">
        <v>231</v>
      </c>
      <c r="F256" s="181">
        <v>42460</v>
      </c>
      <c r="G256" s="182">
        <v>42825</v>
      </c>
      <c r="H256" s="182">
        <v>43190</v>
      </c>
      <c r="I256" s="182">
        <v>43555</v>
      </c>
      <c r="J256" s="182">
        <v>43921</v>
      </c>
      <c r="K256" s="182">
        <v>44286</v>
      </c>
      <c r="L256" s="182">
        <v>44651</v>
      </c>
      <c r="M256" s="183">
        <v>45016</v>
      </c>
      <c r="N256" s="243" t="s">
        <v>83</v>
      </c>
      <c r="O256" s="184" t="s">
        <v>84</v>
      </c>
      <c r="P256" s="190"/>
      <c r="Q256" s="371"/>
    </row>
    <row r="257" spans="3:17" s="245" customFormat="1" ht="15" hidden="1" customHeight="1">
      <c r="C257" s="379"/>
      <c r="D257" s="121"/>
      <c r="E257" s="406" t="s">
        <v>235</v>
      </c>
      <c r="F257" s="185" t="s">
        <v>728</v>
      </c>
      <c r="G257" s="186" t="s">
        <v>728</v>
      </c>
      <c r="H257" s="186" t="s">
        <v>728</v>
      </c>
      <c r="I257" s="186" t="s">
        <v>728</v>
      </c>
      <c r="J257" s="186" t="s">
        <v>728</v>
      </c>
      <c r="K257" s="186" t="s">
        <v>728</v>
      </c>
      <c r="L257" s="186" t="s">
        <v>728</v>
      </c>
      <c r="M257" s="187" t="s">
        <v>728</v>
      </c>
      <c r="N257" s="188" t="s">
        <v>728</v>
      </c>
      <c r="O257" s="188" t="s">
        <v>728</v>
      </c>
      <c r="P257" s="155"/>
      <c r="Q257" s="371"/>
    </row>
    <row r="258" spans="3:17" s="245" customFormat="1" ht="15" hidden="1" customHeight="1">
      <c r="C258" s="379"/>
      <c r="D258" s="122"/>
      <c r="E258" s="407" t="s">
        <v>67</v>
      </c>
      <c r="F258" s="123"/>
      <c r="G258" s="124"/>
      <c r="H258" s="124"/>
      <c r="I258" s="124"/>
      <c r="J258" s="124"/>
      <c r="K258" s="124"/>
      <c r="L258" s="124"/>
      <c r="M258" s="125"/>
      <c r="N258" s="126"/>
      <c r="O258" s="126"/>
      <c r="P258" s="190"/>
      <c r="Q258" s="371"/>
    </row>
    <row r="259" spans="3:17" s="245" customFormat="1" ht="15" hidden="1" customHeight="1">
      <c r="C259" s="379"/>
      <c r="D259" s="127">
        <v>1</v>
      </c>
      <c r="E259" s="406" t="s">
        <v>209</v>
      </c>
      <c r="F259" s="133">
        <v>0</v>
      </c>
      <c r="G259" s="134">
        <v>0</v>
      </c>
      <c r="H259" s="134">
        <v>0</v>
      </c>
      <c r="I259" s="134">
        <v>0</v>
      </c>
      <c r="J259" s="134">
        <v>0</v>
      </c>
      <c r="K259" s="134">
        <v>0</v>
      </c>
      <c r="L259" s="134">
        <v>0</v>
      </c>
      <c r="M259" s="135">
        <v>0</v>
      </c>
      <c r="N259" s="128">
        <v>0</v>
      </c>
      <c r="O259" s="128">
        <v>0</v>
      </c>
      <c r="P259" s="190"/>
      <c r="Q259" s="371"/>
    </row>
    <row r="260" spans="3:17" s="245" customFormat="1" ht="15" hidden="1" customHeight="1">
      <c r="C260" s="379"/>
      <c r="D260" s="127">
        <v>2</v>
      </c>
      <c r="E260" s="406" t="s">
        <v>679</v>
      </c>
      <c r="F260" s="133">
        <v>0</v>
      </c>
      <c r="G260" s="134">
        <v>0</v>
      </c>
      <c r="H260" s="134">
        <v>0</v>
      </c>
      <c r="I260" s="134">
        <v>0</v>
      </c>
      <c r="J260" s="134">
        <v>0</v>
      </c>
      <c r="K260" s="134">
        <v>0</v>
      </c>
      <c r="L260" s="134">
        <v>0</v>
      </c>
      <c r="M260" s="135">
        <v>0</v>
      </c>
      <c r="N260" s="128">
        <v>0</v>
      </c>
      <c r="O260" s="128">
        <v>0</v>
      </c>
      <c r="P260" s="155"/>
      <c r="Q260" s="371"/>
    </row>
    <row r="261" spans="3:17" s="245" customFormat="1" ht="15" hidden="1" customHeight="1">
      <c r="C261" s="379"/>
      <c r="D261" s="127">
        <v>3</v>
      </c>
      <c r="E261" s="406" t="s">
        <v>210</v>
      </c>
      <c r="F261" s="133">
        <v>0</v>
      </c>
      <c r="G261" s="134">
        <v>0</v>
      </c>
      <c r="H261" s="134">
        <v>0</v>
      </c>
      <c r="I261" s="134">
        <v>0</v>
      </c>
      <c r="J261" s="134">
        <v>0</v>
      </c>
      <c r="K261" s="134">
        <v>0</v>
      </c>
      <c r="L261" s="134">
        <v>0</v>
      </c>
      <c r="M261" s="135">
        <v>0</v>
      </c>
      <c r="N261" s="128">
        <v>0</v>
      </c>
      <c r="O261" s="128">
        <v>0</v>
      </c>
      <c r="P261" s="155"/>
      <c r="Q261" s="371"/>
    </row>
    <row r="262" spans="3:17" s="245" customFormat="1" ht="15" hidden="1" customHeight="1">
      <c r="C262" s="379"/>
      <c r="D262" s="122"/>
      <c r="E262" s="407" t="s">
        <v>15</v>
      </c>
      <c r="F262" s="123"/>
      <c r="G262" s="124"/>
      <c r="H262" s="124"/>
      <c r="I262" s="124"/>
      <c r="J262" s="124"/>
      <c r="K262" s="124"/>
      <c r="L262" s="124"/>
      <c r="M262" s="125"/>
      <c r="N262" s="126"/>
      <c r="O262" s="126"/>
      <c r="P262" s="155"/>
      <c r="Q262" s="371"/>
    </row>
    <row r="263" spans="3:17" s="245" customFormat="1" ht="15" hidden="1" customHeight="1">
      <c r="C263" s="379"/>
      <c r="D263" s="127">
        <v>4</v>
      </c>
      <c r="E263" s="406" t="s">
        <v>448</v>
      </c>
      <c r="F263" s="133" t="e">
        <v>#DIV/0!</v>
      </c>
      <c r="G263" s="134" t="e">
        <v>#DIV/0!</v>
      </c>
      <c r="H263" s="134" t="e">
        <v>#DIV/0!</v>
      </c>
      <c r="I263" s="134" t="e">
        <v>#DIV/0!</v>
      </c>
      <c r="J263" s="134" t="e">
        <v>#DIV/0!</v>
      </c>
      <c r="K263" s="134" t="e">
        <v>#DIV/0!</v>
      </c>
      <c r="L263" s="134" t="e">
        <v>#DIV/0!</v>
      </c>
      <c r="M263" s="135" t="e">
        <v>#DIV/0!</v>
      </c>
      <c r="N263" s="128"/>
      <c r="O263" s="128">
        <v>0</v>
      </c>
      <c r="P263" s="155"/>
      <c r="Q263" s="371"/>
    </row>
    <row r="264" spans="3:17" s="245" customFormat="1" ht="15" hidden="1" customHeight="1">
      <c r="C264" s="379"/>
      <c r="D264" s="127">
        <v>5</v>
      </c>
      <c r="E264" s="406" t="s">
        <v>119</v>
      </c>
      <c r="F264" s="133">
        <v>0</v>
      </c>
      <c r="G264" s="134">
        <v>0</v>
      </c>
      <c r="H264" s="134">
        <v>0</v>
      </c>
      <c r="I264" s="134">
        <v>0</v>
      </c>
      <c r="J264" s="134">
        <v>0</v>
      </c>
      <c r="K264" s="134">
        <v>0</v>
      </c>
      <c r="L264" s="134">
        <v>0</v>
      </c>
      <c r="M264" s="135">
        <v>0</v>
      </c>
      <c r="N264" s="128">
        <v>0</v>
      </c>
      <c r="O264" s="128">
        <v>0</v>
      </c>
      <c r="P264" s="155"/>
      <c r="Q264" s="371"/>
    </row>
    <row r="265" spans="3:17" s="245" customFormat="1" ht="15" hidden="1" customHeight="1">
      <c r="C265" s="379"/>
      <c r="D265" s="127">
        <v>6</v>
      </c>
      <c r="E265" s="406" t="s">
        <v>449</v>
      </c>
      <c r="F265" s="133" t="e">
        <v>#DIV/0!</v>
      </c>
      <c r="G265" s="134" t="e">
        <v>#DIV/0!</v>
      </c>
      <c r="H265" s="134" t="e">
        <v>#DIV/0!</v>
      </c>
      <c r="I265" s="134" t="e">
        <v>#DIV/0!</v>
      </c>
      <c r="J265" s="134" t="e">
        <v>#DIV/0!</v>
      </c>
      <c r="K265" s="134" t="e">
        <v>#DIV/0!</v>
      </c>
      <c r="L265" s="134" t="e">
        <v>#DIV/0!</v>
      </c>
      <c r="M265" s="135" t="e">
        <v>#DIV/0!</v>
      </c>
      <c r="N265" s="128"/>
      <c r="O265" s="128">
        <v>0</v>
      </c>
      <c r="P265" s="155"/>
      <c r="Q265" s="371"/>
    </row>
    <row r="266" spans="3:17" s="245" customFormat="1" ht="15" hidden="1" customHeight="1">
      <c r="C266" s="379"/>
      <c r="D266" s="127">
        <v>7</v>
      </c>
      <c r="E266" s="406" t="s">
        <v>211</v>
      </c>
      <c r="F266" s="133">
        <v>0</v>
      </c>
      <c r="G266" s="134">
        <v>0</v>
      </c>
      <c r="H266" s="134">
        <v>0</v>
      </c>
      <c r="I266" s="134">
        <v>0</v>
      </c>
      <c r="J266" s="134">
        <v>0</v>
      </c>
      <c r="K266" s="134">
        <v>0</v>
      </c>
      <c r="L266" s="134">
        <v>0</v>
      </c>
      <c r="M266" s="135">
        <v>0</v>
      </c>
      <c r="N266" s="128">
        <v>0</v>
      </c>
      <c r="O266" s="128">
        <v>0</v>
      </c>
      <c r="P266" s="155"/>
      <c r="Q266" s="371"/>
    </row>
    <row r="267" spans="3:17" s="245" customFormat="1" ht="15" hidden="1" customHeight="1">
      <c r="C267" s="379"/>
      <c r="D267" s="127">
        <v>8</v>
      </c>
      <c r="E267" s="406" t="s">
        <v>0</v>
      </c>
      <c r="F267" s="133" t="e">
        <v>#DIV/0!</v>
      </c>
      <c r="G267" s="134" t="e">
        <v>#DIV/0!</v>
      </c>
      <c r="H267" s="134" t="e">
        <v>#DIV/0!</v>
      </c>
      <c r="I267" s="134" t="e">
        <v>#DIV/0!</v>
      </c>
      <c r="J267" s="134" t="e">
        <v>#DIV/0!</v>
      </c>
      <c r="K267" s="134" t="e">
        <v>#DIV/0!</v>
      </c>
      <c r="L267" s="134" t="e">
        <v>#DIV/0!</v>
      </c>
      <c r="M267" s="135" t="e">
        <v>#DIV/0!</v>
      </c>
      <c r="N267" s="128" t="e">
        <v>#DIV/0!</v>
      </c>
      <c r="O267" s="128">
        <v>0</v>
      </c>
      <c r="P267" s="155"/>
      <c r="Q267" s="371"/>
    </row>
    <row r="268" spans="3:17" s="245" customFormat="1" ht="15" hidden="1" customHeight="1">
      <c r="C268" s="379"/>
      <c r="D268" s="127">
        <v>9</v>
      </c>
      <c r="E268" s="406" t="s">
        <v>16</v>
      </c>
      <c r="F268" s="133" t="e">
        <v>#DIV/0!</v>
      </c>
      <c r="G268" s="134" t="e">
        <v>#DIV/0!</v>
      </c>
      <c r="H268" s="134" t="e">
        <v>#DIV/0!</v>
      </c>
      <c r="I268" s="134" t="e">
        <v>#DIV/0!</v>
      </c>
      <c r="J268" s="134" t="e">
        <v>#DIV/0!</v>
      </c>
      <c r="K268" s="134" t="e">
        <v>#DIV/0!</v>
      </c>
      <c r="L268" s="134" t="e">
        <v>#DIV/0!</v>
      </c>
      <c r="M268" s="135" t="e">
        <v>#DIV/0!</v>
      </c>
      <c r="N268" s="128"/>
      <c r="O268" s="128">
        <v>0</v>
      </c>
      <c r="P268" s="155"/>
      <c r="Q268" s="371"/>
    </row>
    <row r="269" spans="3:17" s="245" customFormat="1" ht="15" hidden="1" customHeight="1">
      <c r="C269" s="379"/>
      <c r="D269" s="122"/>
      <c r="E269" s="407" t="s">
        <v>296</v>
      </c>
      <c r="F269" s="129"/>
      <c r="G269" s="130"/>
      <c r="H269" s="130"/>
      <c r="I269" s="130"/>
      <c r="J269" s="130"/>
      <c r="K269" s="130"/>
      <c r="L269" s="130"/>
      <c r="M269" s="131"/>
      <c r="N269" s="132"/>
      <c r="O269" s="132"/>
      <c r="P269" s="155"/>
      <c r="Q269" s="371"/>
    </row>
    <row r="270" spans="3:17" s="245" customFormat="1" ht="15" hidden="1" customHeight="1">
      <c r="C270" s="379"/>
      <c r="D270" s="127">
        <v>10</v>
      </c>
      <c r="E270" s="406" t="s">
        <v>97</v>
      </c>
      <c r="F270" s="133">
        <v>0</v>
      </c>
      <c r="G270" s="134">
        <v>0</v>
      </c>
      <c r="H270" s="134">
        <v>0</v>
      </c>
      <c r="I270" s="134">
        <v>0</v>
      </c>
      <c r="J270" s="134">
        <v>0</v>
      </c>
      <c r="K270" s="134">
        <v>0</v>
      </c>
      <c r="L270" s="134">
        <v>0</v>
      </c>
      <c r="M270" s="135">
        <v>0</v>
      </c>
      <c r="N270" s="128">
        <v>0</v>
      </c>
      <c r="O270" s="128">
        <v>0</v>
      </c>
      <c r="P270" s="155"/>
      <c r="Q270" s="371"/>
    </row>
    <row r="271" spans="3:17" s="245" customFormat="1" ht="15" hidden="1" customHeight="1">
      <c r="C271" s="379"/>
      <c r="D271" s="127">
        <v>11</v>
      </c>
      <c r="E271" s="406" t="s">
        <v>600</v>
      </c>
      <c r="F271" s="133">
        <v>0</v>
      </c>
      <c r="G271" s="134">
        <v>0</v>
      </c>
      <c r="H271" s="134">
        <v>0</v>
      </c>
      <c r="I271" s="134">
        <v>0</v>
      </c>
      <c r="J271" s="134">
        <v>0</v>
      </c>
      <c r="K271" s="134">
        <v>0</v>
      </c>
      <c r="L271" s="134">
        <v>0</v>
      </c>
      <c r="M271" s="135">
        <v>0</v>
      </c>
      <c r="N271" s="128">
        <v>0</v>
      </c>
      <c r="O271" s="128">
        <v>0</v>
      </c>
      <c r="P271" s="155"/>
      <c r="Q271" s="371"/>
    </row>
    <row r="272" spans="3:17" s="245" customFormat="1" ht="15" hidden="1" customHeight="1">
      <c r="C272" s="379"/>
      <c r="D272" s="127">
        <v>12</v>
      </c>
      <c r="E272" s="406" t="s">
        <v>65</v>
      </c>
      <c r="F272" s="133" t="e">
        <v>#DIV/0!</v>
      </c>
      <c r="G272" s="134" t="e">
        <v>#DIV/0!</v>
      </c>
      <c r="H272" s="134" t="e">
        <v>#DIV/0!</v>
      </c>
      <c r="I272" s="134" t="e">
        <v>#DIV/0!</v>
      </c>
      <c r="J272" s="134" t="e">
        <v>#DIV/0!</v>
      </c>
      <c r="K272" s="134" t="e">
        <v>#DIV/0!</v>
      </c>
      <c r="L272" s="134" t="e">
        <v>#DIV/0!</v>
      </c>
      <c r="M272" s="135" t="e">
        <v>#DIV/0!</v>
      </c>
      <c r="N272" s="128" t="e">
        <v>#DIV/0!</v>
      </c>
      <c r="O272" s="128">
        <v>0</v>
      </c>
      <c r="P272" s="155"/>
      <c r="Q272" s="371"/>
    </row>
    <row r="273" spans="3:17" s="245" customFormat="1" ht="15" hidden="1" customHeight="1">
      <c r="C273" s="379"/>
      <c r="D273" s="127">
        <v>13</v>
      </c>
      <c r="E273" s="406" t="s">
        <v>18</v>
      </c>
      <c r="F273" s="133" t="e">
        <v>#DIV/0!</v>
      </c>
      <c r="G273" s="134" t="e">
        <v>#DIV/0!</v>
      </c>
      <c r="H273" s="134" t="e">
        <v>#DIV/0!</v>
      </c>
      <c r="I273" s="134" t="e">
        <v>#DIV/0!</v>
      </c>
      <c r="J273" s="134" t="e">
        <v>#DIV/0!</v>
      </c>
      <c r="K273" s="134" t="e">
        <v>#DIV/0!</v>
      </c>
      <c r="L273" s="134" t="e">
        <v>#DIV/0!</v>
      </c>
      <c r="M273" s="135" t="e">
        <v>#DIV/0!</v>
      </c>
      <c r="N273" s="128" t="e">
        <v>#DIV/0!</v>
      </c>
      <c r="O273" s="128">
        <v>0</v>
      </c>
      <c r="P273" s="155"/>
      <c r="Q273" s="371"/>
    </row>
    <row r="274" spans="3:17" s="245" customFormat="1" ht="15" hidden="1" customHeight="1">
      <c r="C274" s="379"/>
      <c r="D274" s="127">
        <v>14</v>
      </c>
      <c r="E274" s="406" t="s">
        <v>102</v>
      </c>
      <c r="F274" s="133" t="e">
        <v>#DIV/0!</v>
      </c>
      <c r="G274" s="134" t="e">
        <v>#DIV/0!</v>
      </c>
      <c r="H274" s="134" t="e">
        <v>#DIV/0!</v>
      </c>
      <c r="I274" s="134" t="e">
        <v>#DIV/0!</v>
      </c>
      <c r="J274" s="134" t="e">
        <v>#DIV/0!</v>
      </c>
      <c r="K274" s="134" t="e">
        <v>#DIV/0!</v>
      </c>
      <c r="L274" s="134" t="e">
        <v>#DIV/0!</v>
      </c>
      <c r="M274" s="135" t="e">
        <v>#DIV/0!</v>
      </c>
      <c r="N274" s="128" t="e">
        <v>#DIV/0!</v>
      </c>
      <c r="O274" s="128">
        <v>0</v>
      </c>
      <c r="P274" s="155"/>
      <c r="Q274" s="371"/>
    </row>
    <row r="275" spans="3:17" s="245" customFormat="1" ht="15" hidden="1" customHeight="1">
      <c r="C275" s="379"/>
      <c r="D275" s="127">
        <v>15</v>
      </c>
      <c r="E275" s="406" t="s">
        <v>22</v>
      </c>
      <c r="F275" s="133" t="e">
        <v>#DIV/0!</v>
      </c>
      <c r="G275" s="134" t="e">
        <v>#DIV/0!</v>
      </c>
      <c r="H275" s="134" t="e">
        <v>#DIV/0!</v>
      </c>
      <c r="I275" s="134" t="e">
        <v>#DIV/0!</v>
      </c>
      <c r="J275" s="134" t="e">
        <v>#DIV/0!</v>
      </c>
      <c r="K275" s="134" t="e">
        <v>#DIV/0!</v>
      </c>
      <c r="L275" s="134" t="e">
        <v>#DIV/0!</v>
      </c>
      <c r="M275" s="135" t="e">
        <v>#DIV/0!</v>
      </c>
      <c r="N275" s="128" t="e">
        <v>#DIV/0!</v>
      </c>
      <c r="O275" s="128">
        <v>0</v>
      </c>
      <c r="P275" s="155"/>
      <c r="Q275" s="371"/>
    </row>
    <row r="276" spans="3:17" s="245" customFormat="1" ht="15" hidden="1" customHeight="1">
      <c r="C276" s="379"/>
      <c r="D276" s="127">
        <v>16</v>
      </c>
      <c r="E276" s="406" t="s">
        <v>215</v>
      </c>
      <c r="F276" s="133">
        <v>0</v>
      </c>
      <c r="G276" s="134">
        <v>0</v>
      </c>
      <c r="H276" s="134">
        <v>0</v>
      </c>
      <c r="I276" s="134">
        <v>0</v>
      </c>
      <c r="J276" s="134">
        <v>0</v>
      </c>
      <c r="K276" s="134">
        <v>0</v>
      </c>
      <c r="L276" s="134">
        <v>0</v>
      </c>
      <c r="M276" s="135">
        <v>0</v>
      </c>
      <c r="N276" s="128">
        <v>0</v>
      </c>
      <c r="O276" s="128">
        <v>0</v>
      </c>
      <c r="P276" s="155"/>
    </row>
    <row r="277" spans="3:17" s="245" customFormat="1" ht="15" hidden="1" customHeight="1">
      <c r="C277" s="379"/>
      <c r="D277" s="127">
        <v>17</v>
      </c>
      <c r="E277" s="406" t="s">
        <v>6</v>
      </c>
      <c r="F277" s="133" t="e">
        <v>#DIV/0!</v>
      </c>
      <c r="G277" s="134" t="e">
        <v>#DIV/0!</v>
      </c>
      <c r="H277" s="134" t="e">
        <v>#DIV/0!</v>
      </c>
      <c r="I277" s="134" t="e">
        <v>#DIV/0!</v>
      </c>
      <c r="J277" s="134" t="e">
        <v>#DIV/0!</v>
      </c>
      <c r="K277" s="134" t="e">
        <v>#DIV/0!</v>
      </c>
      <c r="L277" s="134" t="e">
        <v>#DIV/0!</v>
      </c>
      <c r="M277" s="135" t="e">
        <v>#DIV/0!</v>
      </c>
      <c r="N277" s="128" t="e">
        <v>#DIV/0!</v>
      </c>
      <c r="O277" s="128">
        <v>0</v>
      </c>
      <c r="P277" s="155"/>
    </row>
    <row r="278" spans="3:17" s="245" customFormat="1" ht="15" hidden="1" customHeight="1">
      <c r="C278" s="379"/>
      <c r="D278" s="122"/>
      <c r="E278" s="407" t="s">
        <v>164</v>
      </c>
      <c r="F278" s="129"/>
      <c r="G278" s="130"/>
      <c r="H278" s="130"/>
      <c r="I278" s="130"/>
      <c r="J278" s="130"/>
      <c r="K278" s="130"/>
      <c r="L278" s="130"/>
      <c r="M278" s="131"/>
      <c r="N278" s="132"/>
      <c r="O278" s="132"/>
      <c r="P278" s="155"/>
    </row>
    <row r="279" spans="3:17" s="245" customFormat="1" ht="15" hidden="1" customHeight="1">
      <c r="C279" s="379"/>
      <c r="D279" s="127">
        <v>18</v>
      </c>
      <c r="E279" s="406" t="s">
        <v>97</v>
      </c>
      <c r="F279" s="133">
        <v>0</v>
      </c>
      <c r="G279" s="134">
        <v>0</v>
      </c>
      <c r="H279" s="134">
        <v>0</v>
      </c>
      <c r="I279" s="134">
        <v>0</v>
      </c>
      <c r="J279" s="134">
        <v>0</v>
      </c>
      <c r="K279" s="134">
        <v>0</v>
      </c>
      <c r="L279" s="134">
        <v>0</v>
      </c>
      <c r="M279" s="135">
        <v>0</v>
      </c>
      <c r="N279" s="128">
        <v>0</v>
      </c>
      <c r="O279" s="128">
        <v>0</v>
      </c>
      <c r="P279" s="155"/>
    </row>
    <row r="280" spans="3:17" s="245" customFormat="1" ht="15" hidden="1" customHeight="1">
      <c r="C280" s="379"/>
      <c r="D280" s="127">
        <v>19</v>
      </c>
      <c r="E280" s="406" t="s">
        <v>600</v>
      </c>
      <c r="F280" s="133">
        <v>0</v>
      </c>
      <c r="G280" s="134">
        <v>0</v>
      </c>
      <c r="H280" s="134">
        <v>0</v>
      </c>
      <c r="I280" s="134">
        <v>0</v>
      </c>
      <c r="J280" s="134">
        <v>0</v>
      </c>
      <c r="K280" s="134">
        <v>0</v>
      </c>
      <c r="L280" s="134">
        <v>0</v>
      </c>
      <c r="M280" s="135">
        <v>0</v>
      </c>
      <c r="N280" s="128">
        <v>0</v>
      </c>
      <c r="O280" s="128">
        <v>0</v>
      </c>
      <c r="P280" s="155"/>
    </row>
    <row r="281" spans="3:17" s="245" customFormat="1" ht="15" hidden="1" customHeight="1">
      <c r="C281" s="379"/>
      <c r="D281" s="127">
        <v>20</v>
      </c>
      <c r="E281" s="406" t="s">
        <v>65</v>
      </c>
      <c r="F281" s="133" t="e">
        <v>#DIV/0!</v>
      </c>
      <c r="G281" s="134" t="e">
        <v>#DIV/0!</v>
      </c>
      <c r="H281" s="134" t="e">
        <v>#DIV/0!</v>
      </c>
      <c r="I281" s="134" t="e">
        <v>#DIV/0!</v>
      </c>
      <c r="J281" s="134" t="e">
        <v>#DIV/0!</v>
      </c>
      <c r="K281" s="134" t="e">
        <v>#DIV/0!</v>
      </c>
      <c r="L281" s="134" t="e">
        <v>#DIV/0!</v>
      </c>
      <c r="M281" s="135" t="e">
        <v>#DIV/0!</v>
      </c>
      <c r="N281" s="128" t="e">
        <v>#DIV/0!</v>
      </c>
      <c r="O281" s="128">
        <v>0</v>
      </c>
      <c r="P281" s="190"/>
    </row>
    <row r="282" spans="3:17" s="245" customFormat="1" ht="15" hidden="1" customHeight="1">
      <c r="C282" s="379"/>
      <c r="D282" s="127">
        <v>21</v>
      </c>
      <c r="E282" s="406" t="s">
        <v>18</v>
      </c>
      <c r="F282" s="133" t="e">
        <v>#DIV/0!</v>
      </c>
      <c r="G282" s="134" t="e">
        <v>#DIV/0!</v>
      </c>
      <c r="H282" s="134" t="e">
        <v>#DIV/0!</v>
      </c>
      <c r="I282" s="134" t="e">
        <v>#DIV/0!</v>
      </c>
      <c r="J282" s="134" t="e">
        <v>#DIV/0!</v>
      </c>
      <c r="K282" s="134" t="e">
        <v>#DIV/0!</v>
      </c>
      <c r="L282" s="134" t="e">
        <v>#DIV/0!</v>
      </c>
      <c r="M282" s="135" t="e">
        <v>#DIV/0!</v>
      </c>
      <c r="N282" s="128" t="e">
        <v>#DIV/0!</v>
      </c>
      <c r="O282" s="128">
        <v>0</v>
      </c>
      <c r="P282" s="190"/>
    </row>
    <row r="283" spans="3:17" s="245" customFormat="1" ht="15" hidden="1" customHeight="1">
      <c r="C283" s="379"/>
      <c r="D283" s="127">
        <v>22</v>
      </c>
      <c r="E283" s="406" t="s">
        <v>102</v>
      </c>
      <c r="F283" s="133" t="e">
        <v>#DIV/0!</v>
      </c>
      <c r="G283" s="134" t="e">
        <v>#DIV/0!</v>
      </c>
      <c r="H283" s="134" t="e">
        <v>#DIV/0!</v>
      </c>
      <c r="I283" s="134" t="e">
        <v>#DIV/0!</v>
      </c>
      <c r="J283" s="134" t="e">
        <v>#DIV/0!</v>
      </c>
      <c r="K283" s="134" t="e">
        <v>#DIV/0!</v>
      </c>
      <c r="L283" s="134" t="e">
        <v>#DIV/0!</v>
      </c>
      <c r="M283" s="135" t="e">
        <v>#DIV/0!</v>
      </c>
      <c r="N283" s="128" t="e">
        <v>#DIV/0!</v>
      </c>
      <c r="O283" s="128">
        <v>0</v>
      </c>
      <c r="P283" s="190"/>
    </row>
    <row r="284" spans="3:17" s="245" customFormat="1" ht="15" hidden="1" customHeight="1">
      <c r="C284" s="379"/>
      <c r="D284" s="127">
        <v>23</v>
      </c>
      <c r="E284" s="406" t="s">
        <v>22</v>
      </c>
      <c r="F284" s="133" t="e">
        <v>#DIV/0!</v>
      </c>
      <c r="G284" s="134" t="e">
        <v>#DIV/0!</v>
      </c>
      <c r="H284" s="134" t="e">
        <v>#DIV/0!</v>
      </c>
      <c r="I284" s="134" t="e">
        <v>#DIV/0!</v>
      </c>
      <c r="J284" s="134" t="e">
        <v>#DIV/0!</v>
      </c>
      <c r="K284" s="134" t="e">
        <v>#DIV/0!</v>
      </c>
      <c r="L284" s="134" t="e">
        <v>#DIV/0!</v>
      </c>
      <c r="M284" s="135" t="e">
        <v>#DIV/0!</v>
      </c>
      <c r="N284" s="128" t="e">
        <v>#DIV/0!</v>
      </c>
      <c r="O284" s="128">
        <v>0</v>
      </c>
      <c r="P284" s="155"/>
    </row>
    <row r="285" spans="3:17" s="245" customFormat="1" ht="15" hidden="1" customHeight="1">
      <c r="C285" s="379"/>
      <c r="D285" s="127">
        <v>24</v>
      </c>
      <c r="E285" s="406" t="s">
        <v>215</v>
      </c>
      <c r="F285" s="133">
        <v>0</v>
      </c>
      <c r="G285" s="134">
        <v>0</v>
      </c>
      <c r="H285" s="134">
        <v>0</v>
      </c>
      <c r="I285" s="134">
        <v>0</v>
      </c>
      <c r="J285" s="134">
        <v>0</v>
      </c>
      <c r="K285" s="134">
        <v>0</v>
      </c>
      <c r="L285" s="134">
        <v>0</v>
      </c>
      <c r="M285" s="135">
        <v>0</v>
      </c>
      <c r="N285" s="128">
        <v>0</v>
      </c>
      <c r="O285" s="128">
        <v>0</v>
      </c>
      <c r="P285" s="190"/>
    </row>
    <row r="286" spans="3:17" s="245" customFormat="1" ht="15" hidden="1" customHeight="1">
      <c r="C286" s="379"/>
      <c r="D286" s="127">
        <v>25</v>
      </c>
      <c r="E286" s="406" t="s">
        <v>6</v>
      </c>
      <c r="F286" s="133" t="e">
        <v>#DIV/0!</v>
      </c>
      <c r="G286" s="134" t="e">
        <v>#DIV/0!</v>
      </c>
      <c r="H286" s="134" t="e">
        <v>#DIV/0!</v>
      </c>
      <c r="I286" s="134" t="e">
        <v>#DIV/0!</v>
      </c>
      <c r="J286" s="134" t="e">
        <v>#DIV/0!</v>
      </c>
      <c r="K286" s="134" t="e">
        <v>#DIV/0!</v>
      </c>
      <c r="L286" s="134" t="e">
        <v>#DIV/0!</v>
      </c>
      <c r="M286" s="135" t="e">
        <v>#DIV/0!</v>
      </c>
      <c r="N286" s="128" t="e">
        <v>#DIV/0!</v>
      </c>
      <c r="O286" s="128">
        <v>0</v>
      </c>
      <c r="P286" s="190"/>
    </row>
    <row r="287" spans="3:17" s="245" customFormat="1" ht="15" hidden="1" customHeight="1">
      <c r="C287" s="379"/>
      <c r="D287" s="122"/>
      <c r="E287" s="407" t="s">
        <v>19</v>
      </c>
      <c r="F287" s="129"/>
      <c r="G287" s="130"/>
      <c r="H287" s="130"/>
      <c r="I287" s="130"/>
      <c r="J287" s="130"/>
      <c r="K287" s="130"/>
      <c r="L287" s="130"/>
      <c r="M287" s="131"/>
      <c r="N287" s="408"/>
      <c r="O287" s="136"/>
      <c r="P287" s="190"/>
    </row>
    <row r="288" spans="3:17" s="245" customFormat="1" ht="15" hidden="1" customHeight="1">
      <c r="C288" s="379"/>
      <c r="D288" s="127">
        <v>26</v>
      </c>
      <c r="E288" s="406" t="s">
        <v>460</v>
      </c>
      <c r="F288" s="133" t="e">
        <v>#DIV/0!</v>
      </c>
      <c r="G288" s="134" t="e">
        <v>#DIV/0!</v>
      </c>
      <c r="H288" s="134" t="e">
        <v>#DIV/0!</v>
      </c>
      <c r="I288" s="134" t="e">
        <v>#DIV/0!</v>
      </c>
      <c r="J288" s="134" t="e">
        <v>#DIV/0!</v>
      </c>
      <c r="K288" s="134" t="e">
        <v>#DIV/0!</v>
      </c>
      <c r="L288" s="134" t="e">
        <v>#DIV/0!</v>
      </c>
      <c r="M288" s="135" t="e">
        <v>#DIV/0!</v>
      </c>
      <c r="N288" s="128" t="e">
        <v>#DIV/0!</v>
      </c>
      <c r="O288" s="128">
        <v>0</v>
      </c>
      <c r="P288" s="190"/>
    </row>
    <row r="289" spans="3:16" s="245" customFormat="1" ht="15" hidden="1" customHeight="1">
      <c r="C289" s="379"/>
      <c r="D289" s="127">
        <v>27</v>
      </c>
      <c r="E289" s="406" t="s">
        <v>58</v>
      </c>
      <c r="F289" s="133">
        <v>0</v>
      </c>
      <c r="G289" s="134">
        <v>0</v>
      </c>
      <c r="H289" s="134">
        <v>0</v>
      </c>
      <c r="I289" s="134">
        <v>0</v>
      </c>
      <c r="J289" s="134">
        <v>0</v>
      </c>
      <c r="K289" s="134">
        <v>0</v>
      </c>
      <c r="L289" s="134">
        <v>0</v>
      </c>
      <c r="M289" s="135">
        <v>0</v>
      </c>
      <c r="N289" s="128">
        <v>0</v>
      </c>
      <c r="O289" s="128">
        <v>0</v>
      </c>
      <c r="P289" s="190"/>
    </row>
    <row r="290" spans="3:16" s="245" customFormat="1" ht="15" hidden="1" customHeight="1">
      <c r="C290" s="379"/>
      <c r="D290" s="127">
        <v>28</v>
      </c>
      <c r="E290" s="406" t="s">
        <v>43</v>
      </c>
      <c r="F290" s="137" t="e">
        <v>#DIV/0!</v>
      </c>
      <c r="G290" s="134" t="e">
        <v>#DIV/0!</v>
      </c>
      <c r="H290" s="134" t="e">
        <v>#DIV/0!</v>
      </c>
      <c r="I290" s="134" t="e">
        <v>#DIV/0!</v>
      </c>
      <c r="J290" s="134" t="e">
        <v>#DIV/0!</v>
      </c>
      <c r="K290" s="134" t="e">
        <v>#DIV/0!</v>
      </c>
      <c r="L290" s="134" t="e">
        <v>#DIV/0!</v>
      </c>
      <c r="M290" s="135" t="e">
        <v>#DIV/0!</v>
      </c>
      <c r="N290" s="128" t="e">
        <v>#DIV/0!</v>
      </c>
      <c r="O290" s="128">
        <v>0</v>
      </c>
      <c r="P290" s="190"/>
    </row>
    <row r="291" spans="3:16" s="245" customFormat="1" ht="15" hidden="1" customHeight="1">
      <c r="C291" s="379"/>
      <c r="D291" s="127">
        <v>29</v>
      </c>
      <c r="E291" s="406" t="s">
        <v>739</v>
      </c>
      <c r="F291" s="137">
        <v>0</v>
      </c>
      <c r="G291" s="134">
        <v>0</v>
      </c>
      <c r="H291" s="134">
        <v>0</v>
      </c>
      <c r="I291" s="134">
        <v>0</v>
      </c>
      <c r="J291" s="134">
        <v>0</v>
      </c>
      <c r="K291" s="134">
        <v>0</v>
      </c>
      <c r="L291" s="134">
        <v>0</v>
      </c>
      <c r="M291" s="135">
        <v>0</v>
      </c>
      <c r="N291" s="128">
        <v>0</v>
      </c>
      <c r="O291" s="128">
        <v>0</v>
      </c>
      <c r="P291" s="190"/>
    </row>
    <row r="292" spans="3:16" s="245" customFormat="1" ht="15" hidden="1" customHeight="1">
      <c r="C292" s="379"/>
      <c r="D292" s="127">
        <v>30</v>
      </c>
      <c r="E292" s="406" t="s">
        <v>770</v>
      </c>
      <c r="F292" s="431">
        <v>0</v>
      </c>
      <c r="G292" s="137">
        <v>0</v>
      </c>
      <c r="H292" s="137">
        <v>0</v>
      </c>
      <c r="I292" s="137">
        <v>0</v>
      </c>
      <c r="J292" s="137">
        <v>0</v>
      </c>
      <c r="K292" s="137">
        <v>0</v>
      </c>
      <c r="L292" s="137">
        <v>0</v>
      </c>
      <c r="M292" s="137">
        <v>0</v>
      </c>
      <c r="N292" s="128">
        <v>0</v>
      </c>
      <c r="O292" s="128">
        <v>0</v>
      </c>
      <c r="P292" s="190"/>
    </row>
    <row r="293" spans="3:16" s="245" customFormat="1" ht="15" hidden="1" customHeight="1">
      <c r="C293" s="379"/>
      <c r="D293" s="127">
        <v>31</v>
      </c>
      <c r="E293" s="406" t="s">
        <v>764</v>
      </c>
      <c r="F293" s="137">
        <v>0</v>
      </c>
      <c r="G293" s="134">
        <v>0</v>
      </c>
      <c r="H293" s="134">
        <v>0</v>
      </c>
      <c r="I293" s="134">
        <v>0</v>
      </c>
      <c r="J293" s="134">
        <v>0</v>
      </c>
      <c r="K293" s="134">
        <v>0</v>
      </c>
      <c r="L293" s="134">
        <v>0</v>
      </c>
      <c r="M293" s="135">
        <v>0</v>
      </c>
      <c r="N293" s="128">
        <v>0</v>
      </c>
      <c r="O293" s="128">
        <v>0</v>
      </c>
      <c r="P293" s="190"/>
    </row>
    <row r="294" spans="3:16" s="245" customFormat="1" ht="15" hidden="1" customHeight="1">
      <c r="C294" s="379"/>
      <c r="D294" s="127">
        <v>32</v>
      </c>
      <c r="E294" s="406" t="s">
        <v>9</v>
      </c>
      <c r="F294" s="137" t="e">
        <v>#DIV/0!</v>
      </c>
      <c r="G294" s="134" t="e">
        <v>#DIV/0!</v>
      </c>
      <c r="H294" s="134" t="e">
        <v>#DIV/0!</v>
      </c>
      <c r="I294" s="134" t="e">
        <v>#DIV/0!</v>
      </c>
      <c r="J294" s="134" t="e">
        <v>#DIV/0!</v>
      </c>
      <c r="K294" s="134" t="e">
        <v>#DIV/0!</v>
      </c>
      <c r="L294" s="134" t="e">
        <v>#DIV/0!</v>
      </c>
      <c r="M294" s="367" t="e">
        <v>#DIV/0!</v>
      </c>
      <c r="N294" s="128" t="e">
        <v>#DIV/0!</v>
      </c>
      <c r="O294" s="128">
        <v>0</v>
      </c>
      <c r="P294" s="155"/>
    </row>
    <row r="295" spans="3:16" s="245" customFormat="1" ht="15" hidden="1" customHeight="1">
      <c r="C295" s="379"/>
      <c r="D295" s="122"/>
      <c r="E295" s="407" t="s">
        <v>173</v>
      </c>
      <c r="F295" s="129"/>
      <c r="G295" s="130"/>
      <c r="H295" s="130"/>
      <c r="I295" s="130"/>
      <c r="J295" s="130"/>
      <c r="K295" s="198"/>
      <c r="L295" s="130"/>
      <c r="M295" s="131"/>
      <c r="N295" s="408"/>
      <c r="O295" s="136"/>
      <c r="P295" s="155"/>
    </row>
    <row r="296" spans="3:16" s="245" customFormat="1" ht="15" hidden="1" customHeight="1">
      <c r="C296" s="379"/>
      <c r="D296" s="127">
        <v>33</v>
      </c>
      <c r="E296" s="406" t="s">
        <v>173</v>
      </c>
      <c r="F296" s="133" t="e">
        <v>#DIV/0!</v>
      </c>
      <c r="G296" s="134" t="e">
        <v>#DIV/0!</v>
      </c>
      <c r="H296" s="134" t="e">
        <v>#DIV/0!</v>
      </c>
      <c r="I296" s="134" t="e">
        <v>#DIV/0!</v>
      </c>
      <c r="J296" s="134" t="e">
        <v>#DIV/0!</v>
      </c>
      <c r="K296" s="134" t="e">
        <v>#DIV/0!</v>
      </c>
      <c r="L296" s="134" t="e">
        <v>#DIV/0!</v>
      </c>
      <c r="M296" s="135" t="e">
        <v>#DIV/0!</v>
      </c>
      <c r="N296" s="128" t="e">
        <v>#DIV/0!</v>
      </c>
      <c r="O296" s="128">
        <v>0</v>
      </c>
      <c r="P296" s="155"/>
    </row>
    <row r="297" spans="3:16" s="245" customFormat="1" ht="15" hidden="1" customHeight="1">
      <c r="C297" s="379"/>
      <c r="D297" s="127">
        <v>34</v>
      </c>
      <c r="E297" s="406" t="s">
        <v>187</v>
      </c>
      <c r="F297" s="133">
        <v>0</v>
      </c>
      <c r="G297" s="134">
        <v>0</v>
      </c>
      <c r="H297" s="134">
        <v>0</v>
      </c>
      <c r="I297" s="134">
        <v>0</v>
      </c>
      <c r="J297" s="134">
        <v>0</v>
      </c>
      <c r="K297" s="134">
        <v>0</v>
      </c>
      <c r="L297" s="134">
        <v>0</v>
      </c>
      <c r="M297" s="135">
        <v>0</v>
      </c>
      <c r="N297" s="128">
        <v>0</v>
      </c>
      <c r="O297" s="128">
        <v>0</v>
      </c>
      <c r="P297" s="155"/>
    </row>
    <row r="298" spans="3:16" s="245" customFormat="1" ht="15" hidden="1" customHeight="1">
      <c r="C298" s="378"/>
      <c r="D298" s="122"/>
      <c r="E298" s="407" t="s">
        <v>297</v>
      </c>
      <c r="F298" s="129"/>
      <c r="G298" s="130"/>
      <c r="H298" s="130"/>
      <c r="I298" s="130"/>
      <c r="J298" s="130"/>
      <c r="K298" s="198"/>
      <c r="L298" s="130"/>
      <c r="M298" s="131"/>
      <c r="N298" s="408"/>
      <c r="O298" s="136"/>
      <c r="P298" s="155"/>
    </row>
    <row r="299" spans="3:16" s="245" customFormat="1" ht="15" hidden="1" customHeight="1">
      <c r="C299" s="378"/>
      <c r="D299" s="127">
        <v>35</v>
      </c>
      <c r="E299" s="409">
        <v>42460</v>
      </c>
      <c r="F299" s="137" t="e">
        <v>#DIV/0!</v>
      </c>
      <c r="G299" s="134" t="e">
        <v>#DIV/0!</v>
      </c>
      <c r="H299" s="134" t="e">
        <v>#DIV/0!</v>
      </c>
      <c r="I299" s="134" t="e">
        <v>#DIV/0!</v>
      </c>
      <c r="J299" s="134" t="e">
        <v>#DIV/0!</v>
      </c>
      <c r="K299" s="134" t="e">
        <v>#DIV/0!</v>
      </c>
      <c r="L299" s="134" t="e">
        <v>#DIV/0!</v>
      </c>
      <c r="M299" s="135" t="e">
        <v>#DIV/0!</v>
      </c>
      <c r="N299" s="128" t="e">
        <v>#DIV/0!</v>
      </c>
      <c r="O299" s="128">
        <v>0</v>
      </c>
      <c r="P299" s="190"/>
    </row>
    <row r="300" spans="3:16" s="245" customFormat="1" ht="15" hidden="1" customHeight="1">
      <c r="C300" s="378"/>
      <c r="D300" s="127">
        <v>36</v>
      </c>
      <c r="E300" s="409">
        <v>42825</v>
      </c>
      <c r="F300" s="137" t="s">
        <v>196</v>
      </c>
      <c r="G300" s="134" t="s">
        <v>196</v>
      </c>
      <c r="H300" s="134" t="s">
        <v>196</v>
      </c>
      <c r="I300" s="134" t="s">
        <v>196</v>
      </c>
      <c r="J300" s="134" t="s">
        <v>196</v>
      </c>
      <c r="K300" s="134" t="s">
        <v>196</v>
      </c>
      <c r="L300" s="134" t="s">
        <v>196</v>
      </c>
      <c r="M300" s="135" t="s">
        <v>196</v>
      </c>
      <c r="N300" s="128">
        <v>0</v>
      </c>
      <c r="O300" s="128">
        <v>0</v>
      </c>
      <c r="P300" s="190"/>
    </row>
    <row r="301" spans="3:16" s="245" customFormat="1" ht="15" hidden="1" customHeight="1">
      <c r="C301" s="378"/>
      <c r="D301" s="127">
        <v>37</v>
      </c>
      <c r="E301" s="409">
        <v>43190</v>
      </c>
      <c r="F301" s="137" t="s">
        <v>196</v>
      </c>
      <c r="G301" s="134" t="s">
        <v>196</v>
      </c>
      <c r="H301" s="134" t="s">
        <v>196</v>
      </c>
      <c r="I301" s="134" t="s">
        <v>196</v>
      </c>
      <c r="J301" s="134" t="s">
        <v>196</v>
      </c>
      <c r="K301" s="134" t="s">
        <v>196</v>
      </c>
      <c r="L301" s="134" t="s">
        <v>196</v>
      </c>
      <c r="M301" s="135" t="s">
        <v>196</v>
      </c>
      <c r="N301" s="128">
        <v>0</v>
      </c>
      <c r="O301" s="128">
        <v>0</v>
      </c>
      <c r="P301" s="190"/>
    </row>
    <row r="302" spans="3:16" s="245" customFormat="1" ht="15" hidden="1" customHeight="1">
      <c r="C302" s="378"/>
      <c r="D302" s="127">
        <v>38</v>
      </c>
      <c r="E302" s="409">
        <v>43555</v>
      </c>
      <c r="F302" s="137" t="s">
        <v>196</v>
      </c>
      <c r="G302" s="134" t="s">
        <v>196</v>
      </c>
      <c r="H302" s="134" t="s">
        <v>196</v>
      </c>
      <c r="I302" s="134" t="s">
        <v>196</v>
      </c>
      <c r="J302" s="134" t="s">
        <v>196</v>
      </c>
      <c r="K302" s="134" t="s">
        <v>196</v>
      </c>
      <c r="L302" s="134" t="s">
        <v>196</v>
      </c>
      <c r="M302" s="135" t="s">
        <v>196</v>
      </c>
      <c r="N302" s="128">
        <v>0</v>
      </c>
      <c r="O302" s="128">
        <v>0</v>
      </c>
      <c r="P302" s="190"/>
    </row>
    <row r="303" spans="3:16" s="245" customFormat="1" ht="15" hidden="1" customHeight="1">
      <c r="C303" s="378"/>
      <c r="D303" s="127">
        <v>39</v>
      </c>
      <c r="E303" s="409">
        <v>43921</v>
      </c>
      <c r="F303" s="137" t="s">
        <v>196</v>
      </c>
      <c r="G303" s="134" t="s">
        <v>196</v>
      </c>
      <c r="H303" s="134" t="s">
        <v>196</v>
      </c>
      <c r="I303" s="134" t="s">
        <v>196</v>
      </c>
      <c r="J303" s="134" t="s">
        <v>196</v>
      </c>
      <c r="K303" s="134" t="s">
        <v>196</v>
      </c>
      <c r="L303" s="134" t="s">
        <v>196</v>
      </c>
      <c r="M303" s="135" t="s">
        <v>196</v>
      </c>
      <c r="N303" s="128">
        <v>0</v>
      </c>
      <c r="O303" s="128">
        <v>0</v>
      </c>
      <c r="P303" s="190"/>
    </row>
    <row r="304" spans="3:16" s="245" customFormat="1" ht="15" hidden="1" customHeight="1">
      <c r="C304" s="378"/>
      <c r="D304" s="127">
        <v>40</v>
      </c>
      <c r="E304" s="409">
        <v>44286</v>
      </c>
      <c r="F304" s="137" t="s">
        <v>196</v>
      </c>
      <c r="G304" s="134" t="s">
        <v>196</v>
      </c>
      <c r="H304" s="134" t="s">
        <v>196</v>
      </c>
      <c r="I304" s="134" t="s">
        <v>196</v>
      </c>
      <c r="J304" s="134" t="s">
        <v>196</v>
      </c>
      <c r="K304" s="134" t="s">
        <v>196</v>
      </c>
      <c r="L304" s="134" t="s">
        <v>196</v>
      </c>
      <c r="M304" s="135" t="s">
        <v>196</v>
      </c>
      <c r="N304" s="128">
        <v>0</v>
      </c>
      <c r="O304" s="128">
        <v>0</v>
      </c>
      <c r="P304" s="190"/>
    </row>
    <row r="305" spans="3:16" s="245" customFormat="1" ht="15" hidden="1" customHeight="1">
      <c r="C305" s="378"/>
      <c r="D305" s="127">
        <v>41</v>
      </c>
      <c r="E305" s="409">
        <v>44651</v>
      </c>
      <c r="F305" s="137" t="s">
        <v>196</v>
      </c>
      <c r="G305" s="134" t="s">
        <v>196</v>
      </c>
      <c r="H305" s="134" t="s">
        <v>196</v>
      </c>
      <c r="I305" s="134" t="s">
        <v>196</v>
      </c>
      <c r="J305" s="134" t="s">
        <v>196</v>
      </c>
      <c r="K305" s="134" t="s">
        <v>196</v>
      </c>
      <c r="L305" s="134" t="s">
        <v>196</v>
      </c>
      <c r="M305" s="135" t="s">
        <v>196</v>
      </c>
      <c r="N305" s="128">
        <v>0</v>
      </c>
      <c r="O305" s="128">
        <v>0</v>
      </c>
      <c r="P305" s="190"/>
    </row>
    <row r="306" spans="3:16" s="245" customFormat="1" ht="15" hidden="1" customHeight="1">
      <c r="C306" s="378"/>
      <c r="D306" s="127">
        <v>42</v>
      </c>
      <c r="E306" s="409">
        <v>45016</v>
      </c>
      <c r="F306" s="137" t="s">
        <v>196</v>
      </c>
      <c r="G306" s="134" t="s">
        <v>196</v>
      </c>
      <c r="H306" s="134" t="s">
        <v>196</v>
      </c>
      <c r="I306" s="134" t="s">
        <v>196</v>
      </c>
      <c r="J306" s="134" t="s">
        <v>196</v>
      </c>
      <c r="K306" s="134" t="s">
        <v>196</v>
      </c>
      <c r="L306" s="134" t="s">
        <v>196</v>
      </c>
      <c r="M306" s="135" t="s">
        <v>196</v>
      </c>
      <c r="N306" s="128">
        <v>0</v>
      </c>
      <c r="O306" s="128">
        <v>0</v>
      </c>
      <c r="P306" s="190"/>
    </row>
    <row r="307" spans="3:16" s="245" customFormat="1" ht="15" hidden="1" customHeight="1">
      <c r="C307" s="378"/>
      <c r="D307" s="122"/>
      <c r="E307" s="407" t="s">
        <v>461</v>
      </c>
      <c r="F307" s="129"/>
      <c r="G307" s="130"/>
      <c r="H307" s="130"/>
      <c r="I307" s="130"/>
      <c r="J307" s="130"/>
      <c r="K307" s="198"/>
      <c r="L307" s="130"/>
      <c r="M307" s="131"/>
      <c r="N307" s="408"/>
      <c r="O307" s="136"/>
      <c r="P307" s="190"/>
    </row>
    <row r="308" spans="3:16" s="245" customFormat="1" ht="15" hidden="1" customHeight="1">
      <c r="C308" s="378"/>
      <c r="D308" s="127">
        <v>43</v>
      </c>
      <c r="E308" s="409">
        <v>42460</v>
      </c>
      <c r="F308" s="137">
        <v>0</v>
      </c>
      <c r="G308" s="134">
        <v>0</v>
      </c>
      <c r="H308" s="134">
        <v>0</v>
      </c>
      <c r="I308" s="134">
        <v>0</v>
      </c>
      <c r="J308" s="134">
        <v>0</v>
      </c>
      <c r="K308" s="134">
        <v>0</v>
      </c>
      <c r="L308" s="134">
        <v>0</v>
      </c>
      <c r="M308" s="135">
        <v>0</v>
      </c>
      <c r="N308" s="128">
        <v>0</v>
      </c>
      <c r="O308" s="128"/>
      <c r="P308" s="190"/>
    </row>
    <row r="309" spans="3:16" s="245" customFormat="1" ht="15" hidden="1" customHeight="1">
      <c r="C309" s="378"/>
      <c r="D309" s="127">
        <v>44</v>
      </c>
      <c r="E309" s="409">
        <v>42825</v>
      </c>
      <c r="F309" s="137" t="s">
        <v>196</v>
      </c>
      <c r="G309" s="134" t="s">
        <v>196</v>
      </c>
      <c r="H309" s="134" t="s">
        <v>196</v>
      </c>
      <c r="I309" s="134" t="s">
        <v>196</v>
      </c>
      <c r="J309" s="134" t="s">
        <v>196</v>
      </c>
      <c r="K309" s="134" t="s">
        <v>196</v>
      </c>
      <c r="L309" s="134" t="s">
        <v>196</v>
      </c>
      <c r="M309" s="135" t="s">
        <v>196</v>
      </c>
      <c r="N309" s="128">
        <v>0</v>
      </c>
      <c r="O309" s="128"/>
      <c r="P309" s="190"/>
    </row>
    <row r="310" spans="3:16" s="245" customFormat="1" ht="15" hidden="1" customHeight="1">
      <c r="C310" s="378"/>
      <c r="D310" s="127">
        <v>45</v>
      </c>
      <c r="E310" s="409">
        <v>43190</v>
      </c>
      <c r="F310" s="137" t="s">
        <v>196</v>
      </c>
      <c r="G310" s="134" t="s">
        <v>196</v>
      </c>
      <c r="H310" s="134" t="s">
        <v>196</v>
      </c>
      <c r="I310" s="134" t="s">
        <v>196</v>
      </c>
      <c r="J310" s="134" t="s">
        <v>196</v>
      </c>
      <c r="K310" s="134" t="s">
        <v>196</v>
      </c>
      <c r="L310" s="134" t="s">
        <v>196</v>
      </c>
      <c r="M310" s="135" t="s">
        <v>196</v>
      </c>
      <c r="N310" s="128">
        <v>0</v>
      </c>
      <c r="O310" s="128"/>
      <c r="P310" s="190"/>
    </row>
    <row r="311" spans="3:16" s="245" customFormat="1" ht="15" hidden="1" customHeight="1">
      <c r="C311" s="378"/>
      <c r="D311" s="127">
        <v>46</v>
      </c>
      <c r="E311" s="409">
        <v>43555</v>
      </c>
      <c r="F311" s="137" t="s">
        <v>196</v>
      </c>
      <c r="G311" s="134" t="s">
        <v>196</v>
      </c>
      <c r="H311" s="134" t="s">
        <v>196</v>
      </c>
      <c r="I311" s="134" t="s">
        <v>196</v>
      </c>
      <c r="J311" s="134" t="s">
        <v>196</v>
      </c>
      <c r="K311" s="134" t="s">
        <v>196</v>
      </c>
      <c r="L311" s="134" t="s">
        <v>196</v>
      </c>
      <c r="M311" s="135" t="s">
        <v>196</v>
      </c>
      <c r="N311" s="128">
        <v>0</v>
      </c>
      <c r="O311" s="128"/>
      <c r="P311" s="190"/>
    </row>
    <row r="312" spans="3:16" s="245" customFormat="1" ht="15" hidden="1" customHeight="1">
      <c r="C312" s="378"/>
      <c r="D312" s="127">
        <v>47</v>
      </c>
      <c r="E312" s="409">
        <v>43921</v>
      </c>
      <c r="F312" s="137" t="s">
        <v>196</v>
      </c>
      <c r="G312" s="134" t="s">
        <v>196</v>
      </c>
      <c r="H312" s="134" t="s">
        <v>196</v>
      </c>
      <c r="I312" s="134" t="s">
        <v>196</v>
      </c>
      <c r="J312" s="134" t="s">
        <v>196</v>
      </c>
      <c r="K312" s="134" t="s">
        <v>196</v>
      </c>
      <c r="L312" s="134" t="s">
        <v>196</v>
      </c>
      <c r="M312" s="135" t="s">
        <v>196</v>
      </c>
      <c r="N312" s="128">
        <v>0</v>
      </c>
      <c r="O312" s="128"/>
      <c r="P312" s="190"/>
    </row>
    <row r="313" spans="3:16" s="245" customFormat="1" ht="15" hidden="1" customHeight="1">
      <c r="C313" s="378"/>
      <c r="D313" s="127">
        <v>48</v>
      </c>
      <c r="E313" s="409">
        <v>44286</v>
      </c>
      <c r="F313" s="137" t="s">
        <v>196</v>
      </c>
      <c r="G313" s="134" t="s">
        <v>196</v>
      </c>
      <c r="H313" s="134" t="s">
        <v>196</v>
      </c>
      <c r="I313" s="134" t="s">
        <v>196</v>
      </c>
      <c r="J313" s="134" t="s">
        <v>196</v>
      </c>
      <c r="K313" s="134" t="s">
        <v>196</v>
      </c>
      <c r="L313" s="134" t="s">
        <v>196</v>
      </c>
      <c r="M313" s="135" t="s">
        <v>196</v>
      </c>
      <c r="N313" s="128">
        <v>0</v>
      </c>
      <c r="O313" s="128"/>
      <c r="P313" s="190"/>
    </row>
    <row r="314" spans="3:16" s="245" customFormat="1" ht="15" hidden="1" customHeight="1">
      <c r="C314" s="378"/>
      <c r="D314" s="127">
        <v>49</v>
      </c>
      <c r="E314" s="409">
        <v>44651</v>
      </c>
      <c r="F314" s="137" t="s">
        <v>196</v>
      </c>
      <c r="G314" s="134" t="s">
        <v>196</v>
      </c>
      <c r="H314" s="134" t="s">
        <v>196</v>
      </c>
      <c r="I314" s="134" t="s">
        <v>196</v>
      </c>
      <c r="J314" s="134" t="s">
        <v>196</v>
      </c>
      <c r="K314" s="134" t="s">
        <v>196</v>
      </c>
      <c r="L314" s="134" t="s">
        <v>196</v>
      </c>
      <c r="M314" s="135" t="s">
        <v>196</v>
      </c>
      <c r="N314" s="128">
        <v>0</v>
      </c>
      <c r="O314" s="128"/>
      <c r="P314" s="190"/>
    </row>
    <row r="315" spans="3:16" s="245" customFormat="1" ht="15" hidden="1" customHeight="1">
      <c r="C315" s="378"/>
      <c r="D315" s="127">
        <v>50</v>
      </c>
      <c r="E315" s="409">
        <v>45016</v>
      </c>
      <c r="F315" s="137" t="s">
        <v>196</v>
      </c>
      <c r="G315" s="134" t="s">
        <v>196</v>
      </c>
      <c r="H315" s="134" t="s">
        <v>196</v>
      </c>
      <c r="I315" s="134" t="s">
        <v>196</v>
      </c>
      <c r="J315" s="134" t="s">
        <v>196</v>
      </c>
      <c r="K315" s="134" t="s">
        <v>196</v>
      </c>
      <c r="L315" s="134" t="s">
        <v>196</v>
      </c>
      <c r="M315" s="135" t="s">
        <v>196</v>
      </c>
      <c r="N315" s="128">
        <v>0</v>
      </c>
      <c r="O315" s="128"/>
      <c r="P315" s="190"/>
    </row>
    <row r="316" spans="3:16" s="245" customFormat="1" ht="15" hidden="1" customHeight="1">
      <c r="C316" s="378"/>
      <c r="D316" s="122"/>
      <c r="E316" s="407" t="s">
        <v>468</v>
      </c>
      <c r="F316" s="129"/>
      <c r="G316" s="130"/>
      <c r="H316" s="130"/>
      <c r="I316" s="130"/>
      <c r="J316" s="130"/>
      <c r="K316" s="198"/>
      <c r="L316" s="130"/>
      <c r="M316" s="131"/>
      <c r="N316" s="408"/>
      <c r="O316" s="136"/>
      <c r="P316" s="190"/>
    </row>
    <row r="317" spans="3:16" s="245" customFormat="1" ht="15" hidden="1" customHeight="1">
      <c r="C317" s="378"/>
      <c r="D317" s="127">
        <v>51</v>
      </c>
      <c r="E317" s="406" t="s">
        <v>445</v>
      </c>
      <c r="F317" s="133" t="e">
        <v>#DIV/0!</v>
      </c>
      <c r="G317" s="134" t="e">
        <v>#DIV/0!</v>
      </c>
      <c r="H317" s="134" t="e">
        <v>#DIV/0!</v>
      </c>
      <c r="I317" s="134" t="e">
        <v>#DIV/0!</v>
      </c>
      <c r="J317" s="134" t="e">
        <v>#DIV/0!</v>
      </c>
      <c r="K317" s="134" t="e">
        <v>#DIV/0!</v>
      </c>
      <c r="L317" s="134" t="e">
        <v>#DIV/0!</v>
      </c>
      <c r="M317" s="135" t="e">
        <v>#DIV/0!</v>
      </c>
      <c r="N317" s="128" t="e">
        <v>#DIV/0!</v>
      </c>
      <c r="O317" s="128">
        <v>0</v>
      </c>
      <c r="P317" s="190"/>
    </row>
    <row r="318" spans="3:16" s="245" customFormat="1" ht="15" hidden="1" customHeight="1">
      <c r="C318" s="378"/>
      <c r="D318" s="127">
        <v>52</v>
      </c>
      <c r="E318" s="406" t="s">
        <v>446</v>
      </c>
      <c r="F318" s="222">
        <v>0</v>
      </c>
      <c r="G318" s="223">
        <v>0</v>
      </c>
      <c r="H318" s="223">
        <v>0</v>
      </c>
      <c r="I318" s="223">
        <v>0</v>
      </c>
      <c r="J318" s="223">
        <v>0</v>
      </c>
      <c r="K318" s="223">
        <v>0</v>
      </c>
      <c r="L318" s="223">
        <v>0</v>
      </c>
      <c r="M318" s="224">
        <v>0</v>
      </c>
      <c r="N318" s="225" t="e">
        <v>#DIV/0!</v>
      </c>
      <c r="O318" s="225">
        <v>0</v>
      </c>
      <c r="P318" s="190"/>
    </row>
    <row r="319" spans="3:16" s="245" customFormat="1" ht="15" hidden="1" customHeight="1">
      <c r="C319" s="379"/>
      <c r="D319" s="127">
        <v>53</v>
      </c>
      <c r="E319" s="406" t="s">
        <v>431</v>
      </c>
      <c r="F319" s="133" t="e">
        <v>#DIV/0!</v>
      </c>
      <c r="G319" s="134" t="e">
        <v>#DIV/0!</v>
      </c>
      <c r="H319" s="134" t="e">
        <v>#DIV/0!</v>
      </c>
      <c r="I319" s="134" t="e">
        <v>#DIV/0!</v>
      </c>
      <c r="J319" s="134" t="e">
        <v>#DIV/0!</v>
      </c>
      <c r="K319" s="134" t="e">
        <v>#DIV/0!</v>
      </c>
      <c r="L319" s="134" t="e">
        <v>#DIV/0!</v>
      </c>
      <c r="M319" s="135" t="e">
        <v>#DIV/0!</v>
      </c>
      <c r="N319" s="128" t="e">
        <v>#DIV/0!</v>
      </c>
      <c r="O319" s="128">
        <v>0</v>
      </c>
      <c r="P319" s="190"/>
    </row>
    <row r="320" spans="3:16" s="245" customFormat="1" ht="15" hidden="1" customHeight="1">
      <c r="C320" s="379"/>
      <c r="D320" s="127">
        <v>54</v>
      </c>
      <c r="E320" s="406" t="s">
        <v>447</v>
      </c>
      <c r="F320" s="137" t="e">
        <v>#DIV/0!</v>
      </c>
      <c r="G320" s="134" t="e">
        <v>#DIV/0!</v>
      </c>
      <c r="H320" s="134" t="e">
        <v>#DIV/0!</v>
      </c>
      <c r="I320" s="134" t="e">
        <v>#DIV/0!</v>
      </c>
      <c r="J320" s="134" t="e">
        <v>#DIV/0!</v>
      </c>
      <c r="K320" s="134" t="e">
        <v>#DIV/0!</v>
      </c>
      <c r="L320" s="134" t="e">
        <v>#DIV/0!</v>
      </c>
      <c r="M320" s="135" t="e">
        <v>#DIV/0!</v>
      </c>
      <c r="N320" s="128" t="e">
        <v>#DIV/0!</v>
      </c>
      <c r="O320" s="128">
        <v>0</v>
      </c>
      <c r="P320" s="190"/>
    </row>
    <row r="321" spans="3:16" s="245" customFormat="1" ht="15" hidden="1" customHeight="1" thickBot="1">
      <c r="C321" s="379"/>
      <c r="D321" s="138">
        <v>55</v>
      </c>
      <c r="E321" s="410" t="s">
        <v>677</v>
      </c>
      <c r="F321" s="254" t="e">
        <v>#DIV/0!</v>
      </c>
      <c r="G321" s="139" t="e">
        <v>#DIV/0!</v>
      </c>
      <c r="H321" s="139" t="e">
        <v>#DIV/0!</v>
      </c>
      <c r="I321" s="139" t="e">
        <v>#DIV/0!</v>
      </c>
      <c r="J321" s="139" t="e">
        <v>#DIV/0!</v>
      </c>
      <c r="K321" s="139" t="e">
        <v>#DIV/0!</v>
      </c>
      <c r="L321" s="139" t="e">
        <v>#DIV/0!</v>
      </c>
      <c r="M321" s="226" t="e">
        <v>#DIV/0!</v>
      </c>
      <c r="N321" s="253"/>
      <c r="O321" s="253">
        <v>0</v>
      </c>
      <c r="P321" s="190"/>
    </row>
    <row r="322" spans="3:16" s="245" customFormat="1" ht="15" hidden="1" customHeight="1">
      <c r="C322" s="379"/>
      <c r="D322" s="244"/>
      <c r="E322" s="402"/>
      <c r="F322" s="155"/>
      <c r="G322" s="155"/>
      <c r="H322" s="155"/>
      <c r="I322" s="155"/>
      <c r="J322" s="155"/>
      <c r="K322" s="155"/>
      <c r="L322" s="155"/>
      <c r="M322" s="155"/>
      <c r="N322" s="155"/>
      <c r="O322" s="155"/>
      <c r="P322" s="190"/>
    </row>
    <row r="323" spans="3:16" s="245" customFormat="1" ht="15" hidden="1" customHeight="1">
      <c r="C323" s="378"/>
      <c r="D323" s="244"/>
      <c r="E323" s="190"/>
      <c r="F323" s="155"/>
      <c r="G323" s="155"/>
      <c r="H323" s="155"/>
      <c r="I323" s="155"/>
      <c r="J323" s="155"/>
      <c r="K323" s="155"/>
      <c r="L323" s="155"/>
      <c r="M323" s="383"/>
      <c r="N323" s="155"/>
      <c r="O323" s="155"/>
      <c r="P323" s="190"/>
    </row>
    <row r="324" spans="3:16" s="245" customFormat="1" ht="15" hidden="1" customHeight="1">
      <c r="C324" s="378"/>
      <c r="D324" s="244"/>
      <c r="E324" s="190"/>
      <c r="F324" s="155"/>
      <c r="G324" s="155"/>
      <c r="H324" s="155"/>
      <c r="I324" s="155"/>
      <c r="J324" s="155"/>
      <c r="K324" s="155"/>
      <c r="L324" s="155"/>
      <c r="M324" s="383"/>
      <c r="N324" s="155"/>
      <c r="O324" s="155"/>
      <c r="P324" s="190"/>
    </row>
    <row r="325" spans="3:16" s="245" customFormat="1" ht="15" hidden="1" customHeight="1">
      <c r="C325" s="378"/>
      <c r="D325" s="244"/>
      <c r="E325" s="190"/>
      <c r="F325" s="155"/>
      <c r="G325" s="155"/>
      <c r="H325" s="155"/>
      <c r="I325" s="155"/>
      <c r="J325" s="155"/>
      <c r="K325" s="155"/>
      <c r="L325" s="155"/>
      <c r="M325" s="383"/>
      <c r="N325" s="155"/>
      <c r="O325" s="155"/>
      <c r="P325" s="190"/>
    </row>
    <row r="326" spans="3:16" s="245" customFormat="1" ht="15" hidden="1" customHeight="1">
      <c r="C326" s="378"/>
      <c r="D326" s="244"/>
      <c r="E326" s="190"/>
      <c r="F326" s="378"/>
      <c r="G326" s="378"/>
      <c r="H326" s="378"/>
      <c r="I326" s="378"/>
      <c r="J326" s="378"/>
      <c r="K326" s="378"/>
      <c r="L326" s="378"/>
      <c r="M326" s="378"/>
      <c r="N326" s="378"/>
      <c r="O326" s="378"/>
      <c r="P326" s="190"/>
    </row>
    <row r="327" spans="3:16" s="245" customFormat="1" ht="15" hidden="1" customHeight="1">
      <c r="C327" s="380" t="s">
        <v>808</v>
      </c>
      <c r="D327" s="380"/>
      <c r="E327" s="380"/>
      <c r="F327" s="380"/>
      <c r="G327" s="380"/>
      <c r="H327" s="380"/>
      <c r="I327" s="380"/>
      <c r="J327" s="380"/>
      <c r="K327" s="380"/>
      <c r="L327" s="380"/>
      <c r="M327" s="380"/>
      <c r="N327" s="380"/>
      <c r="O327" s="380"/>
      <c r="P327" s="190"/>
    </row>
    <row r="328" spans="3:16" s="245" customFormat="1" ht="15" hidden="1" customHeight="1">
      <c r="C328" s="379"/>
      <c r="D328" s="379"/>
      <c r="E328" s="379"/>
      <c r="F328" s="379"/>
      <c r="G328" s="379"/>
      <c r="H328" s="379"/>
      <c r="I328" s="379"/>
      <c r="J328" s="379"/>
      <c r="K328" s="379"/>
      <c r="L328" s="379"/>
      <c r="M328" s="379"/>
      <c r="N328" s="379"/>
      <c r="O328" s="379"/>
      <c r="P328" s="190"/>
    </row>
    <row r="329" spans="3:16" s="245" customFormat="1" ht="15" hidden="1" customHeight="1">
      <c r="C329" s="379"/>
      <c r="D329" s="376"/>
      <c r="E329" s="376"/>
      <c r="F329" s="377"/>
      <c r="G329" s="377"/>
      <c r="H329" s="377"/>
      <c r="I329" s="377"/>
      <c r="J329" s="377"/>
      <c r="K329" s="377"/>
      <c r="L329" s="377"/>
      <c r="M329" s="377"/>
      <c r="N329" s="376"/>
      <c r="O329" s="376"/>
      <c r="P329" s="190"/>
    </row>
    <row r="330" spans="3:16" s="245" customFormat="1" ht="15" hidden="1" customHeight="1">
      <c r="C330" s="379"/>
      <c r="D330" s="376"/>
      <c r="E330" s="381" t="s">
        <v>56</v>
      </c>
      <c r="F330" s="381" t="s">
        <v>234</v>
      </c>
      <c r="G330" s="377"/>
      <c r="H330" s="381" t="s">
        <v>37</v>
      </c>
      <c r="I330" s="377"/>
      <c r="J330" s="377"/>
      <c r="K330" s="377"/>
      <c r="L330" s="377"/>
      <c r="M330" s="377"/>
      <c r="N330" s="376"/>
      <c r="O330" s="376"/>
      <c r="P330" s="190"/>
    </row>
    <row r="331" spans="3:16" s="245" customFormat="1" ht="15" hidden="1" customHeight="1">
      <c r="C331" s="379"/>
      <c r="D331" s="118"/>
      <c r="E331" s="118" t="s">
        <v>511</v>
      </c>
      <c r="F331" s="345">
        <v>42460</v>
      </c>
      <c r="G331" s="119"/>
      <c r="H331" s="118" t="s">
        <v>851</v>
      </c>
      <c r="I331" s="119"/>
      <c r="J331" s="119"/>
      <c r="K331" s="119"/>
      <c r="L331" s="119"/>
      <c r="M331" s="119"/>
      <c r="N331" s="118"/>
      <c r="O331" s="118"/>
      <c r="P331" s="190"/>
    </row>
    <row r="332" spans="3:16" s="245" customFormat="1" ht="15" hidden="1" customHeight="1" thickBot="1">
      <c r="C332" s="379"/>
      <c r="D332" s="379"/>
      <c r="E332" s="379"/>
      <c r="F332" s="430"/>
      <c r="G332" s="430"/>
      <c r="H332" s="430"/>
      <c r="I332" s="430"/>
      <c r="J332" s="430"/>
      <c r="K332" s="430"/>
      <c r="L332" s="430"/>
      <c r="M332" s="430"/>
      <c r="N332" s="379"/>
      <c r="O332" s="379"/>
      <c r="P332" s="190"/>
    </row>
    <row r="333" spans="3:16" s="245" customFormat="1" ht="15" hidden="1" customHeight="1">
      <c r="C333" s="379"/>
      <c r="D333" s="120"/>
      <c r="E333" s="189" t="s">
        <v>231</v>
      </c>
      <c r="F333" s="181">
        <v>42460</v>
      </c>
      <c r="G333" s="182">
        <v>42825</v>
      </c>
      <c r="H333" s="182">
        <v>43190</v>
      </c>
      <c r="I333" s="182">
        <v>43555</v>
      </c>
      <c r="J333" s="182">
        <v>43921</v>
      </c>
      <c r="K333" s="182">
        <v>44286</v>
      </c>
      <c r="L333" s="182">
        <v>44651</v>
      </c>
      <c r="M333" s="183">
        <v>45016</v>
      </c>
      <c r="N333" s="243" t="s">
        <v>83</v>
      </c>
      <c r="O333" s="184" t="s">
        <v>84</v>
      </c>
      <c r="P333" s="190"/>
    </row>
    <row r="334" spans="3:16" s="245" customFormat="1" ht="15" hidden="1" customHeight="1">
      <c r="C334" s="379"/>
      <c r="D334" s="121"/>
      <c r="E334" s="406" t="s">
        <v>235</v>
      </c>
      <c r="F334" s="185" t="s">
        <v>728</v>
      </c>
      <c r="G334" s="186" t="s">
        <v>728</v>
      </c>
      <c r="H334" s="186" t="s">
        <v>728</v>
      </c>
      <c r="I334" s="186" t="s">
        <v>728</v>
      </c>
      <c r="J334" s="186" t="s">
        <v>728</v>
      </c>
      <c r="K334" s="186" t="s">
        <v>728</v>
      </c>
      <c r="L334" s="186" t="s">
        <v>728</v>
      </c>
      <c r="M334" s="187" t="s">
        <v>728</v>
      </c>
      <c r="N334" s="188" t="s">
        <v>728</v>
      </c>
      <c r="O334" s="188" t="s">
        <v>728</v>
      </c>
      <c r="P334" s="190"/>
    </row>
    <row r="335" spans="3:16" s="245" customFormat="1" ht="15" hidden="1" customHeight="1">
      <c r="C335" s="379"/>
      <c r="D335" s="122"/>
      <c r="E335" s="407" t="s">
        <v>67</v>
      </c>
      <c r="F335" s="123"/>
      <c r="G335" s="124"/>
      <c r="H335" s="124"/>
      <c r="I335" s="124"/>
      <c r="J335" s="124"/>
      <c r="K335" s="124"/>
      <c r="L335" s="124"/>
      <c r="M335" s="125"/>
      <c r="N335" s="126"/>
      <c r="O335" s="126"/>
      <c r="P335" s="190"/>
    </row>
    <row r="336" spans="3:16" s="245" customFormat="1" ht="15" hidden="1" customHeight="1">
      <c r="C336" s="379"/>
      <c r="D336" s="127">
        <v>1</v>
      </c>
      <c r="E336" s="406" t="s">
        <v>209</v>
      </c>
      <c r="F336" s="133">
        <v>0</v>
      </c>
      <c r="G336" s="134">
        <v>0</v>
      </c>
      <c r="H336" s="134">
        <v>0</v>
      </c>
      <c r="I336" s="134">
        <v>0</v>
      </c>
      <c r="J336" s="134">
        <v>0</v>
      </c>
      <c r="K336" s="134">
        <v>0</v>
      </c>
      <c r="L336" s="134">
        <v>0</v>
      </c>
      <c r="M336" s="135">
        <v>0</v>
      </c>
      <c r="N336" s="128">
        <v>0</v>
      </c>
      <c r="O336" s="128">
        <v>0</v>
      </c>
      <c r="P336" s="190"/>
    </row>
    <row r="337" spans="3:16" s="245" customFormat="1" ht="15" hidden="1" customHeight="1">
      <c r="C337" s="379"/>
      <c r="D337" s="127">
        <v>2</v>
      </c>
      <c r="E337" s="406" t="s">
        <v>679</v>
      </c>
      <c r="F337" s="133">
        <v>0</v>
      </c>
      <c r="G337" s="134">
        <v>0</v>
      </c>
      <c r="H337" s="134">
        <v>0</v>
      </c>
      <c r="I337" s="134">
        <v>0</v>
      </c>
      <c r="J337" s="134">
        <v>0</v>
      </c>
      <c r="K337" s="134">
        <v>0</v>
      </c>
      <c r="L337" s="134">
        <v>0</v>
      </c>
      <c r="M337" s="135">
        <v>0</v>
      </c>
      <c r="N337" s="128">
        <v>0</v>
      </c>
      <c r="O337" s="128">
        <v>0</v>
      </c>
      <c r="P337" s="190"/>
    </row>
    <row r="338" spans="3:16" s="245" customFormat="1" ht="15" hidden="1" customHeight="1">
      <c r="C338" s="379"/>
      <c r="D338" s="127">
        <v>3</v>
      </c>
      <c r="E338" s="406" t="s">
        <v>210</v>
      </c>
      <c r="F338" s="133">
        <v>0</v>
      </c>
      <c r="G338" s="134">
        <v>0</v>
      </c>
      <c r="H338" s="134">
        <v>0</v>
      </c>
      <c r="I338" s="134">
        <v>0</v>
      </c>
      <c r="J338" s="134">
        <v>0</v>
      </c>
      <c r="K338" s="134">
        <v>0</v>
      </c>
      <c r="L338" s="134">
        <v>0</v>
      </c>
      <c r="M338" s="135">
        <v>0</v>
      </c>
      <c r="N338" s="128">
        <v>0</v>
      </c>
      <c r="O338" s="128">
        <v>0</v>
      </c>
      <c r="P338" s="190"/>
    </row>
    <row r="339" spans="3:16" s="245" customFormat="1" ht="15" hidden="1" customHeight="1">
      <c r="C339" s="379"/>
      <c r="D339" s="122"/>
      <c r="E339" s="407" t="s">
        <v>15</v>
      </c>
      <c r="F339" s="123"/>
      <c r="G339" s="124"/>
      <c r="H339" s="124"/>
      <c r="I339" s="124"/>
      <c r="J339" s="124"/>
      <c r="K339" s="124"/>
      <c r="L339" s="124"/>
      <c r="M339" s="125"/>
      <c r="N339" s="126"/>
      <c r="O339" s="126"/>
      <c r="P339" s="190"/>
    </row>
    <row r="340" spans="3:16" s="245" customFormat="1" ht="15" hidden="1" customHeight="1">
      <c r="C340" s="379"/>
      <c r="D340" s="127">
        <v>4</v>
      </c>
      <c r="E340" s="406" t="s">
        <v>448</v>
      </c>
      <c r="F340" s="133" t="e">
        <v>#DIV/0!</v>
      </c>
      <c r="G340" s="134" t="e">
        <v>#DIV/0!</v>
      </c>
      <c r="H340" s="134" t="e">
        <v>#DIV/0!</v>
      </c>
      <c r="I340" s="134" t="e">
        <v>#DIV/0!</v>
      </c>
      <c r="J340" s="134" t="e">
        <v>#DIV/0!</v>
      </c>
      <c r="K340" s="134" t="e">
        <v>#DIV/0!</v>
      </c>
      <c r="L340" s="134" t="e">
        <v>#DIV/0!</v>
      </c>
      <c r="M340" s="135" t="e">
        <v>#DIV/0!</v>
      </c>
      <c r="N340" s="128"/>
      <c r="O340" s="128">
        <v>0</v>
      </c>
      <c r="P340" s="190"/>
    </row>
    <row r="341" spans="3:16" s="245" customFormat="1" ht="15" hidden="1" customHeight="1">
      <c r="C341" s="379"/>
      <c r="D341" s="127">
        <v>5</v>
      </c>
      <c r="E341" s="406" t="s">
        <v>119</v>
      </c>
      <c r="F341" s="133">
        <v>0</v>
      </c>
      <c r="G341" s="134">
        <v>0</v>
      </c>
      <c r="H341" s="134">
        <v>0</v>
      </c>
      <c r="I341" s="134">
        <v>0</v>
      </c>
      <c r="J341" s="134">
        <v>0</v>
      </c>
      <c r="K341" s="134">
        <v>0</v>
      </c>
      <c r="L341" s="134">
        <v>0</v>
      </c>
      <c r="M341" s="135">
        <v>0</v>
      </c>
      <c r="N341" s="128">
        <v>0</v>
      </c>
      <c r="O341" s="128">
        <v>0</v>
      </c>
      <c r="P341" s="190"/>
    </row>
    <row r="342" spans="3:16" s="245" customFormat="1" ht="15" hidden="1" customHeight="1">
      <c r="C342" s="379"/>
      <c r="D342" s="127">
        <v>6</v>
      </c>
      <c r="E342" s="406" t="s">
        <v>449</v>
      </c>
      <c r="F342" s="133" t="e">
        <v>#DIV/0!</v>
      </c>
      <c r="G342" s="134" t="e">
        <v>#DIV/0!</v>
      </c>
      <c r="H342" s="134" t="e">
        <v>#DIV/0!</v>
      </c>
      <c r="I342" s="134" t="e">
        <v>#DIV/0!</v>
      </c>
      <c r="J342" s="134" t="e">
        <v>#DIV/0!</v>
      </c>
      <c r="K342" s="134" t="e">
        <v>#DIV/0!</v>
      </c>
      <c r="L342" s="134" t="e">
        <v>#DIV/0!</v>
      </c>
      <c r="M342" s="135" t="e">
        <v>#DIV/0!</v>
      </c>
      <c r="N342" s="128"/>
      <c r="O342" s="128">
        <v>0</v>
      </c>
      <c r="P342" s="190"/>
    </row>
    <row r="343" spans="3:16" s="245" customFormat="1" ht="15" hidden="1" customHeight="1">
      <c r="C343" s="379"/>
      <c r="D343" s="127">
        <v>7</v>
      </c>
      <c r="E343" s="406" t="s">
        <v>211</v>
      </c>
      <c r="F343" s="133">
        <v>0</v>
      </c>
      <c r="G343" s="134">
        <v>0</v>
      </c>
      <c r="H343" s="134">
        <v>0</v>
      </c>
      <c r="I343" s="134">
        <v>0</v>
      </c>
      <c r="J343" s="134">
        <v>0</v>
      </c>
      <c r="K343" s="134">
        <v>0</v>
      </c>
      <c r="L343" s="134">
        <v>0</v>
      </c>
      <c r="M343" s="135">
        <v>0</v>
      </c>
      <c r="N343" s="128">
        <v>0</v>
      </c>
      <c r="O343" s="128">
        <v>0</v>
      </c>
      <c r="P343" s="190"/>
    </row>
    <row r="344" spans="3:16" s="245" customFormat="1" ht="15" hidden="1" customHeight="1">
      <c r="C344" s="379"/>
      <c r="D344" s="127">
        <v>8</v>
      </c>
      <c r="E344" s="406" t="s">
        <v>0</v>
      </c>
      <c r="F344" s="133" t="e">
        <v>#DIV/0!</v>
      </c>
      <c r="G344" s="134" t="e">
        <v>#DIV/0!</v>
      </c>
      <c r="H344" s="134" t="e">
        <v>#DIV/0!</v>
      </c>
      <c r="I344" s="134" t="e">
        <v>#DIV/0!</v>
      </c>
      <c r="J344" s="134" t="e">
        <v>#DIV/0!</v>
      </c>
      <c r="K344" s="134" t="e">
        <v>#DIV/0!</v>
      </c>
      <c r="L344" s="134" t="e">
        <v>#DIV/0!</v>
      </c>
      <c r="M344" s="135" t="e">
        <v>#DIV/0!</v>
      </c>
      <c r="N344" s="128" t="e">
        <v>#DIV/0!</v>
      </c>
      <c r="O344" s="128">
        <v>0</v>
      </c>
      <c r="P344" s="155"/>
    </row>
    <row r="345" spans="3:16" s="245" customFormat="1" ht="15" hidden="1" customHeight="1">
      <c r="C345" s="379"/>
      <c r="D345" s="127">
        <v>9</v>
      </c>
      <c r="E345" s="406" t="s">
        <v>16</v>
      </c>
      <c r="F345" s="133" t="e">
        <v>#DIV/0!</v>
      </c>
      <c r="G345" s="134" t="e">
        <v>#DIV/0!</v>
      </c>
      <c r="H345" s="134" t="e">
        <v>#DIV/0!</v>
      </c>
      <c r="I345" s="134" t="e">
        <v>#DIV/0!</v>
      </c>
      <c r="J345" s="134" t="e">
        <v>#DIV/0!</v>
      </c>
      <c r="K345" s="134" t="e">
        <v>#DIV/0!</v>
      </c>
      <c r="L345" s="134" t="e">
        <v>#DIV/0!</v>
      </c>
      <c r="M345" s="135" t="e">
        <v>#DIV/0!</v>
      </c>
      <c r="N345" s="128"/>
      <c r="O345" s="128">
        <v>0</v>
      </c>
      <c r="P345" s="190"/>
    </row>
    <row r="346" spans="3:16" s="245" customFormat="1" ht="15" hidden="1" customHeight="1">
      <c r="C346" s="379"/>
      <c r="D346" s="122"/>
      <c r="E346" s="407" t="s">
        <v>296</v>
      </c>
      <c r="F346" s="129"/>
      <c r="G346" s="130"/>
      <c r="H346" s="130"/>
      <c r="I346" s="130"/>
      <c r="J346" s="130"/>
      <c r="K346" s="130"/>
      <c r="L346" s="130"/>
      <c r="M346" s="131"/>
      <c r="N346" s="132"/>
      <c r="O346" s="132"/>
      <c r="P346" s="190"/>
    </row>
    <row r="347" spans="3:16" s="245" customFormat="1" ht="15" hidden="1" customHeight="1">
      <c r="C347" s="379"/>
      <c r="D347" s="127">
        <v>10</v>
      </c>
      <c r="E347" s="406" t="s">
        <v>97</v>
      </c>
      <c r="F347" s="133">
        <v>0</v>
      </c>
      <c r="G347" s="134">
        <v>0</v>
      </c>
      <c r="H347" s="134">
        <v>0</v>
      </c>
      <c r="I347" s="134">
        <v>0</v>
      </c>
      <c r="J347" s="134">
        <v>0</v>
      </c>
      <c r="K347" s="134">
        <v>0</v>
      </c>
      <c r="L347" s="134">
        <v>0</v>
      </c>
      <c r="M347" s="135">
        <v>0</v>
      </c>
      <c r="N347" s="128">
        <v>0</v>
      </c>
      <c r="O347" s="128">
        <v>0</v>
      </c>
      <c r="P347" s="155"/>
    </row>
    <row r="348" spans="3:16" s="245" customFormat="1" ht="15" hidden="1" customHeight="1">
      <c r="C348" s="379"/>
      <c r="D348" s="127">
        <v>11</v>
      </c>
      <c r="E348" s="406" t="s">
        <v>600</v>
      </c>
      <c r="F348" s="133">
        <v>0</v>
      </c>
      <c r="G348" s="134">
        <v>0</v>
      </c>
      <c r="H348" s="134">
        <v>0</v>
      </c>
      <c r="I348" s="134">
        <v>0</v>
      </c>
      <c r="J348" s="134">
        <v>0</v>
      </c>
      <c r="K348" s="134">
        <v>0</v>
      </c>
      <c r="L348" s="134">
        <v>0</v>
      </c>
      <c r="M348" s="135">
        <v>0</v>
      </c>
      <c r="N348" s="128">
        <v>0</v>
      </c>
      <c r="O348" s="128">
        <v>0</v>
      </c>
      <c r="P348" s="155"/>
    </row>
    <row r="349" spans="3:16" s="245" customFormat="1" ht="15" hidden="1" customHeight="1">
      <c r="C349" s="379"/>
      <c r="D349" s="127">
        <v>12</v>
      </c>
      <c r="E349" s="406" t="s">
        <v>65</v>
      </c>
      <c r="F349" s="133" t="e">
        <v>#DIV/0!</v>
      </c>
      <c r="G349" s="134" t="e">
        <v>#DIV/0!</v>
      </c>
      <c r="H349" s="134" t="e">
        <v>#DIV/0!</v>
      </c>
      <c r="I349" s="134" t="e">
        <v>#DIV/0!</v>
      </c>
      <c r="J349" s="134" t="e">
        <v>#DIV/0!</v>
      </c>
      <c r="K349" s="134" t="e">
        <v>#DIV/0!</v>
      </c>
      <c r="L349" s="134" t="e">
        <v>#DIV/0!</v>
      </c>
      <c r="M349" s="135" t="e">
        <v>#DIV/0!</v>
      </c>
      <c r="N349" s="128" t="e">
        <v>#DIV/0!</v>
      </c>
      <c r="O349" s="128">
        <v>0</v>
      </c>
      <c r="P349" s="155"/>
    </row>
    <row r="350" spans="3:16" s="245" customFormat="1" ht="15" hidden="1" customHeight="1">
      <c r="C350" s="379"/>
      <c r="D350" s="127">
        <v>13</v>
      </c>
      <c r="E350" s="406" t="s">
        <v>18</v>
      </c>
      <c r="F350" s="133" t="e">
        <v>#DIV/0!</v>
      </c>
      <c r="G350" s="134" t="e">
        <v>#DIV/0!</v>
      </c>
      <c r="H350" s="134" t="e">
        <v>#DIV/0!</v>
      </c>
      <c r="I350" s="134" t="e">
        <v>#DIV/0!</v>
      </c>
      <c r="J350" s="134" t="e">
        <v>#DIV/0!</v>
      </c>
      <c r="K350" s="134" t="e">
        <v>#DIV/0!</v>
      </c>
      <c r="L350" s="134" t="e">
        <v>#DIV/0!</v>
      </c>
      <c r="M350" s="135" t="e">
        <v>#DIV/0!</v>
      </c>
      <c r="N350" s="128" t="e">
        <v>#DIV/0!</v>
      </c>
      <c r="O350" s="128">
        <v>0</v>
      </c>
      <c r="P350" s="155"/>
    </row>
    <row r="351" spans="3:16" s="245" customFormat="1" ht="15" hidden="1" customHeight="1">
      <c r="C351" s="379"/>
      <c r="D351" s="127">
        <v>14</v>
      </c>
      <c r="E351" s="406" t="s">
        <v>102</v>
      </c>
      <c r="F351" s="133" t="e">
        <v>#DIV/0!</v>
      </c>
      <c r="G351" s="134" t="e">
        <v>#DIV/0!</v>
      </c>
      <c r="H351" s="134" t="e">
        <v>#DIV/0!</v>
      </c>
      <c r="I351" s="134" t="e">
        <v>#DIV/0!</v>
      </c>
      <c r="J351" s="134" t="e">
        <v>#DIV/0!</v>
      </c>
      <c r="K351" s="134" t="e">
        <v>#DIV/0!</v>
      </c>
      <c r="L351" s="134" t="e">
        <v>#DIV/0!</v>
      </c>
      <c r="M351" s="135" t="e">
        <v>#DIV/0!</v>
      </c>
      <c r="N351" s="128" t="e">
        <v>#DIV/0!</v>
      </c>
      <c r="O351" s="128">
        <v>0</v>
      </c>
      <c r="P351" s="155"/>
    </row>
    <row r="352" spans="3:16" s="245" customFormat="1" ht="15" hidden="1" customHeight="1">
      <c r="C352" s="379"/>
      <c r="D352" s="127">
        <v>15</v>
      </c>
      <c r="E352" s="406" t="s">
        <v>22</v>
      </c>
      <c r="F352" s="133" t="e">
        <v>#DIV/0!</v>
      </c>
      <c r="G352" s="134" t="e">
        <v>#DIV/0!</v>
      </c>
      <c r="H352" s="134" t="e">
        <v>#DIV/0!</v>
      </c>
      <c r="I352" s="134" t="e">
        <v>#DIV/0!</v>
      </c>
      <c r="J352" s="134" t="e">
        <v>#DIV/0!</v>
      </c>
      <c r="K352" s="134" t="e">
        <v>#DIV/0!</v>
      </c>
      <c r="L352" s="134" t="e">
        <v>#DIV/0!</v>
      </c>
      <c r="M352" s="135" t="e">
        <v>#DIV/0!</v>
      </c>
      <c r="N352" s="128" t="e">
        <v>#DIV/0!</v>
      </c>
      <c r="O352" s="128">
        <v>0</v>
      </c>
      <c r="P352" s="155"/>
    </row>
    <row r="353" spans="3:16" s="245" customFormat="1" ht="15" hidden="1" customHeight="1">
      <c r="C353" s="379"/>
      <c r="D353" s="127">
        <v>16</v>
      </c>
      <c r="E353" s="406" t="s">
        <v>215</v>
      </c>
      <c r="F353" s="133">
        <v>0</v>
      </c>
      <c r="G353" s="134">
        <v>0</v>
      </c>
      <c r="H353" s="134">
        <v>0</v>
      </c>
      <c r="I353" s="134">
        <v>0</v>
      </c>
      <c r="J353" s="134">
        <v>0</v>
      </c>
      <c r="K353" s="134">
        <v>0</v>
      </c>
      <c r="L353" s="134">
        <v>0</v>
      </c>
      <c r="M353" s="135">
        <v>0</v>
      </c>
      <c r="N353" s="128">
        <v>0</v>
      </c>
      <c r="O353" s="128">
        <v>0</v>
      </c>
      <c r="P353" s="155"/>
    </row>
    <row r="354" spans="3:16" s="245" customFormat="1" ht="15" hidden="1" customHeight="1">
      <c r="C354" s="379"/>
      <c r="D354" s="127">
        <v>17</v>
      </c>
      <c r="E354" s="406" t="s">
        <v>6</v>
      </c>
      <c r="F354" s="133" t="e">
        <v>#DIV/0!</v>
      </c>
      <c r="G354" s="134" t="e">
        <v>#DIV/0!</v>
      </c>
      <c r="H354" s="134" t="e">
        <v>#DIV/0!</v>
      </c>
      <c r="I354" s="134" t="e">
        <v>#DIV/0!</v>
      </c>
      <c r="J354" s="134" t="e">
        <v>#DIV/0!</v>
      </c>
      <c r="K354" s="134" t="e">
        <v>#DIV/0!</v>
      </c>
      <c r="L354" s="134" t="e">
        <v>#DIV/0!</v>
      </c>
      <c r="M354" s="135" t="e">
        <v>#DIV/0!</v>
      </c>
      <c r="N354" s="128" t="e">
        <v>#DIV/0!</v>
      </c>
      <c r="O354" s="128">
        <v>0</v>
      </c>
      <c r="P354" s="155"/>
    </row>
    <row r="355" spans="3:16" s="245" customFormat="1" ht="15" hidden="1" customHeight="1">
      <c r="C355" s="379"/>
      <c r="D355" s="122"/>
      <c r="E355" s="407" t="s">
        <v>164</v>
      </c>
      <c r="F355" s="129"/>
      <c r="G355" s="130"/>
      <c r="H355" s="130"/>
      <c r="I355" s="130"/>
      <c r="J355" s="130"/>
      <c r="K355" s="130"/>
      <c r="L355" s="130"/>
      <c r="M355" s="131"/>
      <c r="N355" s="132"/>
      <c r="O355" s="132"/>
      <c r="P355" s="155"/>
    </row>
    <row r="356" spans="3:16" s="245" customFormat="1" ht="15" hidden="1" customHeight="1">
      <c r="C356" s="379"/>
      <c r="D356" s="127">
        <v>18</v>
      </c>
      <c r="E356" s="406" t="s">
        <v>97</v>
      </c>
      <c r="F356" s="133">
        <v>0</v>
      </c>
      <c r="G356" s="134">
        <v>0</v>
      </c>
      <c r="H356" s="134">
        <v>0</v>
      </c>
      <c r="I356" s="134">
        <v>0</v>
      </c>
      <c r="J356" s="134">
        <v>0</v>
      </c>
      <c r="K356" s="134">
        <v>0</v>
      </c>
      <c r="L356" s="134">
        <v>0</v>
      </c>
      <c r="M356" s="135">
        <v>0</v>
      </c>
      <c r="N356" s="128">
        <v>0</v>
      </c>
      <c r="O356" s="128">
        <v>0</v>
      </c>
      <c r="P356" s="155"/>
    </row>
    <row r="357" spans="3:16" s="245" customFormat="1" ht="15" hidden="1" customHeight="1">
      <c r="C357" s="379"/>
      <c r="D357" s="127">
        <v>19</v>
      </c>
      <c r="E357" s="406" t="s">
        <v>600</v>
      </c>
      <c r="F357" s="133">
        <v>0</v>
      </c>
      <c r="G357" s="134">
        <v>0</v>
      </c>
      <c r="H357" s="134">
        <v>0</v>
      </c>
      <c r="I357" s="134">
        <v>0</v>
      </c>
      <c r="J357" s="134">
        <v>0</v>
      </c>
      <c r="K357" s="134">
        <v>0</v>
      </c>
      <c r="L357" s="134">
        <v>0</v>
      </c>
      <c r="M357" s="135">
        <v>0</v>
      </c>
      <c r="N357" s="128">
        <v>0</v>
      </c>
      <c r="O357" s="128">
        <v>0</v>
      </c>
      <c r="P357" s="155"/>
    </row>
    <row r="358" spans="3:16" s="245" customFormat="1" ht="15" hidden="1" customHeight="1">
      <c r="C358" s="379"/>
      <c r="D358" s="127">
        <v>20</v>
      </c>
      <c r="E358" s="406" t="s">
        <v>65</v>
      </c>
      <c r="F358" s="133" t="e">
        <v>#DIV/0!</v>
      </c>
      <c r="G358" s="134" t="e">
        <v>#DIV/0!</v>
      </c>
      <c r="H358" s="134" t="e">
        <v>#DIV/0!</v>
      </c>
      <c r="I358" s="134" t="e">
        <v>#DIV/0!</v>
      </c>
      <c r="J358" s="134" t="e">
        <v>#DIV/0!</v>
      </c>
      <c r="K358" s="134" t="e">
        <v>#DIV/0!</v>
      </c>
      <c r="L358" s="134" t="e">
        <v>#DIV/0!</v>
      </c>
      <c r="M358" s="135" t="e">
        <v>#DIV/0!</v>
      </c>
      <c r="N358" s="128" t="e">
        <v>#DIV/0!</v>
      </c>
      <c r="O358" s="128">
        <v>0</v>
      </c>
      <c r="P358" s="155"/>
    </row>
    <row r="359" spans="3:16" s="245" customFormat="1" ht="15" hidden="1" customHeight="1">
      <c r="C359" s="379"/>
      <c r="D359" s="127">
        <v>21</v>
      </c>
      <c r="E359" s="406" t="s">
        <v>18</v>
      </c>
      <c r="F359" s="133" t="e">
        <v>#DIV/0!</v>
      </c>
      <c r="G359" s="134" t="e">
        <v>#DIV/0!</v>
      </c>
      <c r="H359" s="134" t="e">
        <v>#DIV/0!</v>
      </c>
      <c r="I359" s="134" t="e">
        <v>#DIV/0!</v>
      </c>
      <c r="J359" s="134" t="e">
        <v>#DIV/0!</v>
      </c>
      <c r="K359" s="134" t="e">
        <v>#DIV/0!</v>
      </c>
      <c r="L359" s="134" t="e">
        <v>#DIV/0!</v>
      </c>
      <c r="M359" s="135" t="e">
        <v>#DIV/0!</v>
      </c>
      <c r="N359" s="128" t="e">
        <v>#DIV/0!</v>
      </c>
      <c r="O359" s="128">
        <v>0</v>
      </c>
      <c r="P359" s="155"/>
    </row>
    <row r="360" spans="3:16" s="245" customFormat="1" ht="15" hidden="1" customHeight="1">
      <c r="C360" s="379"/>
      <c r="D360" s="127">
        <v>22</v>
      </c>
      <c r="E360" s="406" t="s">
        <v>102</v>
      </c>
      <c r="F360" s="133" t="e">
        <v>#DIV/0!</v>
      </c>
      <c r="G360" s="134" t="e">
        <v>#DIV/0!</v>
      </c>
      <c r="H360" s="134" t="e">
        <v>#DIV/0!</v>
      </c>
      <c r="I360" s="134" t="e">
        <v>#DIV/0!</v>
      </c>
      <c r="J360" s="134" t="e">
        <v>#DIV/0!</v>
      </c>
      <c r="K360" s="134" t="e">
        <v>#DIV/0!</v>
      </c>
      <c r="L360" s="134" t="e">
        <v>#DIV/0!</v>
      </c>
      <c r="M360" s="135" t="e">
        <v>#DIV/0!</v>
      </c>
      <c r="N360" s="128" t="e">
        <v>#DIV/0!</v>
      </c>
      <c r="O360" s="128">
        <v>0</v>
      </c>
      <c r="P360" s="155"/>
    </row>
    <row r="361" spans="3:16" s="245" customFormat="1" ht="15" hidden="1" customHeight="1">
      <c r="C361" s="379"/>
      <c r="D361" s="127">
        <v>23</v>
      </c>
      <c r="E361" s="406" t="s">
        <v>22</v>
      </c>
      <c r="F361" s="133" t="e">
        <v>#DIV/0!</v>
      </c>
      <c r="G361" s="134" t="e">
        <v>#DIV/0!</v>
      </c>
      <c r="H361" s="134" t="e">
        <v>#DIV/0!</v>
      </c>
      <c r="I361" s="134" t="e">
        <v>#DIV/0!</v>
      </c>
      <c r="J361" s="134" t="e">
        <v>#DIV/0!</v>
      </c>
      <c r="K361" s="134" t="e">
        <v>#DIV/0!</v>
      </c>
      <c r="L361" s="134" t="e">
        <v>#DIV/0!</v>
      </c>
      <c r="M361" s="135" t="e">
        <v>#DIV/0!</v>
      </c>
      <c r="N361" s="128" t="e">
        <v>#DIV/0!</v>
      </c>
      <c r="O361" s="128">
        <v>0</v>
      </c>
      <c r="P361" s="155"/>
    </row>
    <row r="362" spans="3:16" s="245" customFormat="1" ht="15" hidden="1" customHeight="1">
      <c r="C362" s="379"/>
      <c r="D362" s="127">
        <v>24</v>
      </c>
      <c r="E362" s="406" t="s">
        <v>215</v>
      </c>
      <c r="F362" s="133">
        <v>0</v>
      </c>
      <c r="G362" s="134">
        <v>0</v>
      </c>
      <c r="H362" s="134">
        <v>0</v>
      </c>
      <c r="I362" s="134">
        <v>0</v>
      </c>
      <c r="J362" s="134">
        <v>0</v>
      </c>
      <c r="K362" s="134">
        <v>0</v>
      </c>
      <c r="L362" s="134">
        <v>0</v>
      </c>
      <c r="M362" s="135">
        <v>0</v>
      </c>
      <c r="N362" s="128">
        <v>0</v>
      </c>
      <c r="O362" s="128">
        <v>0</v>
      </c>
      <c r="P362" s="155"/>
    </row>
    <row r="363" spans="3:16" s="245" customFormat="1" ht="15" hidden="1" customHeight="1">
      <c r="C363" s="379"/>
      <c r="D363" s="127">
        <v>25</v>
      </c>
      <c r="E363" s="406" t="s">
        <v>6</v>
      </c>
      <c r="F363" s="133" t="e">
        <v>#DIV/0!</v>
      </c>
      <c r="G363" s="134" t="e">
        <v>#DIV/0!</v>
      </c>
      <c r="H363" s="134" t="e">
        <v>#DIV/0!</v>
      </c>
      <c r="I363" s="134" t="e">
        <v>#DIV/0!</v>
      </c>
      <c r="J363" s="134" t="e">
        <v>#DIV/0!</v>
      </c>
      <c r="K363" s="134" t="e">
        <v>#DIV/0!</v>
      </c>
      <c r="L363" s="134" t="e">
        <v>#DIV/0!</v>
      </c>
      <c r="M363" s="135" t="e">
        <v>#DIV/0!</v>
      </c>
      <c r="N363" s="128" t="e">
        <v>#DIV/0!</v>
      </c>
      <c r="O363" s="128">
        <v>0</v>
      </c>
      <c r="P363" s="155"/>
    </row>
    <row r="364" spans="3:16" s="245" customFormat="1" ht="15" hidden="1" customHeight="1">
      <c r="C364" s="379"/>
      <c r="D364" s="122"/>
      <c r="E364" s="407" t="s">
        <v>19</v>
      </c>
      <c r="F364" s="129"/>
      <c r="G364" s="130"/>
      <c r="H364" s="130"/>
      <c r="I364" s="130"/>
      <c r="J364" s="130"/>
      <c r="K364" s="130"/>
      <c r="L364" s="130"/>
      <c r="M364" s="131"/>
      <c r="N364" s="408"/>
      <c r="O364" s="136"/>
      <c r="P364" s="155"/>
    </row>
    <row r="365" spans="3:16" s="245" customFormat="1" ht="15" hidden="1" customHeight="1">
      <c r="C365" s="379"/>
      <c r="D365" s="127">
        <v>26</v>
      </c>
      <c r="E365" s="406" t="s">
        <v>460</v>
      </c>
      <c r="F365" s="133" t="e">
        <v>#DIV/0!</v>
      </c>
      <c r="G365" s="134" t="e">
        <v>#DIV/0!</v>
      </c>
      <c r="H365" s="134" t="e">
        <v>#DIV/0!</v>
      </c>
      <c r="I365" s="134" t="e">
        <v>#DIV/0!</v>
      </c>
      <c r="J365" s="134" t="e">
        <v>#DIV/0!</v>
      </c>
      <c r="K365" s="134" t="e">
        <v>#DIV/0!</v>
      </c>
      <c r="L365" s="134" t="e">
        <v>#DIV/0!</v>
      </c>
      <c r="M365" s="135" t="e">
        <v>#DIV/0!</v>
      </c>
      <c r="N365" s="128" t="e">
        <v>#DIV/0!</v>
      </c>
      <c r="O365" s="128">
        <v>0</v>
      </c>
      <c r="P365" s="155"/>
    </row>
    <row r="366" spans="3:16" s="245" customFormat="1" ht="15" hidden="1" customHeight="1">
      <c r="C366" s="379"/>
      <c r="D366" s="127">
        <v>27</v>
      </c>
      <c r="E366" s="406" t="s">
        <v>58</v>
      </c>
      <c r="F366" s="133">
        <v>0</v>
      </c>
      <c r="G366" s="134">
        <v>0</v>
      </c>
      <c r="H366" s="134">
        <v>0</v>
      </c>
      <c r="I366" s="134">
        <v>0</v>
      </c>
      <c r="J366" s="134">
        <v>0</v>
      </c>
      <c r="K366" s="134">
        <v>0</v>
      </c>
      <c r="L366" s="134">
        <v>0</v>
      </c>
      <c r="M366" s="135">
        <v>0</v>
      </c>
      <c r="N366" s="128">
        <v>0</v>
      </c>
      <c r="O366" s="128">
        <v>0</v>
      </c>
      <c r="P366" s="155"/>
    </row>
    <row r="367" spans="3:16" s="245" customFormat="1" ht="15" hidden="1" customHeight="1">
      <c r="C367" s="379"/>
      <c r="D367" s="127">
        <v>28</v>
      </c>
      <c r="E367" s="406" t="s">
        <v>43</v>
      </c>
      <c r="F367" s="137" t="e">
        <v>#DIV/0!</v>
      </c>
      <c r="G367" s="134" t="e">
        <v>#DIV/0!</v>
      </c>
      <c r="H367" s="134" t="e">
        <v>#DIV/0!</v>
      </c>
      <c r="I367" s="134" t="e">
        <v>#DIV/0!</v>
      </c>
      <c r="J367" s="134" t="e">
        <v>#DIV/0!</v>
      </c>
      <c r="K367" s="134" t="e">
        <v>#DIV/0!</v>
      </c>
      <c r="L367" s="134" t="e">
        <v>#DIV/0!</v>
      </c>
      <c r="M367" s="135" t="e">
        <v>#DIV/0!</v>
      </c>
      <c r="N367" s="128" t="e">
        <v>#DIV/0!</v>
      </c>
      <c r="O367" s="128">
        <v>0</v>
      </c>
      <c r="P367" s="155"/>
    </row>
    <row r="368" spans="3:16" s="245" customFormat="1" ht="15" hidden="1" customHeight="1">
      <c r="C368" s="379"/>
      <c r="D368" s="127">
        <v>29</v>
      </c>
      <c r="E368" s="406" t="s">
        <v>739</v>
      </c>
      <c r="F368" s="137">
        <v>0</v>
      </c>
      <c r="G368" s="134">
        <v>0</v>
      </c>
      <c r="H368" s="134">
        <v>0</v>
      </c>
      <c r="I368" s="134">
        <v>0</v>
      </c>
      <c r="J368" s="134">
        <v>0</v>
      </c>
      <c r="K368" s="134">
        <v>0</v>
      </c>
      <c r="L368" s="134">
        <v>0</v>
      </c>
      <c r="M368" s="135">
        <v>0</v>
      </c>
      <c r="N368" s="128">
        <v>0</v>
      </c>
      <c r="O368" s="128">
        <v>0</v>
      </c>
      <c r="P368" s="190"/>
    </row>
    <row r="369" spans="3:16" s="245" customFormat="1" ht="15" hidden="1" customHeight="1">
      <c r="C369" s="379"/>
      <c r="D369" s="127">
        <v>30</v>
      </c>
      <c r="E369" s="406" t="s">
        <v>770</v>
      </c>
      <c r="F369" s="431">
        <v>0</v>
      </c>
      <c r="G369" s="137">
        <v>0</v>
      </c>
      <c r="H369" s="137">
        <v>0</v>
      </c>
      <c r="I369" s="137">
        <v>0</v>
      </c>
      <c r="J369" s="137">
        <v>0</v>
      </c>
      <c r="K369" s="137">
        <v>0</v>
      </c>
      <c r="L369" s="137">
        <v>0</v>
      </c>
      <c r="M369" s="137">
        <v>0</v>
      </c>
      <c r="N369" s="128">
        <v>0</v>
      </c>
      <c r="O369" s="128">
        <v>0</v>
      </c>
      <c r="P369" s="190"/>
    </row>
    <row r="370" spans="3:16" s="245" customFormat="1" ht="15" hidden="1" customHeight="1">
      <c r="C370" s="379"/>
      <c r="D370" s="127">
        <v>31</v>
      </c>
      <c r="E370" s="406" t="s">
        <v>764</v>
      </c>
      <c r="F370" s="137">
        <v>0</v>
      </c>
      <c r="G370" s="134">
        <v>0</v>
      </c>
      <c r="H370" s="134">
        <v>0</v>
      </c>
      <c r="I370" s="134">
        <v>0</v>
      </c>
      <c r="J370" s="134">
        <v>0</v>
      </c>
      <c r="K370" s="134">
        <v>0</v>
      </c>
      <c r="L370" s="134">
        <v>0</v>
      </c>
      <c r="M370" s="135">
        <v>0</v>
      </c>
      <c r="N370" s="128">
        <v>0</v>
      </c>
      <c r="O370" s="128">
        <v>0</v>
      </c>
      <c r="P370" s="190"/>
    </row>
    <row r="371" spans="3:16" s="245" customFormat="1" ht="15" hidden="1" customHeight="1">
      <c r="C371" s="379"/>
      <c r="D371" s="127">
        <v>32</v>
      </c>
      <c r="E371" s="406" t="s">
        <v>9</v>
      </c>
      <c r="F371" s="137" t="e">
        <v>#DIV/0!</v>
      </c>
      <c r="G371" s="134" t="e">
        <v>#DIV/0!</v>
      </c>
      <c r="H371" s="134" t="e">
        <v>#DIV/0!</v>
      </c>
      <c r="I371" s="134" t="e">
        <v>#DIV/0!</v>
      </c>
      <c r="J371" s="134" t="e">
        <v>#DIV/0!</v>
      </c>
      <c r="K371" s="134" t="e">
        <v>#DIV/0!</v>
      </c>
      <c r="L371" s="134" t="e">
        <v>#DIV/0!</v>
      </c>
      <c r="M371" s="367" t="e">
        <v>#DIV/0!</v>
      </c>
      <c r="N371" s="128" t="e">
        <v>#DIV/0!</v>
      </c>
      <c r="O371" s="128">
        <v>0</v>
      </c>
      <c r="P371" s="155"/>
    </row>
    <row r="372" spans="3:16" s="245" customFormat="1" ht="15" hidden="1" customHeight="1">
      <c r="C372" s="379"/>
      <c r="D372" s="122"/>
      <c r="E372" s="407" t="s">
        <v>173</v>
      </c>
      <c r="F372" s="129"/>
      <c r="G372" s="130"/>
      <c r="H372" s="130"/>
      <c r="I372" s="130"/>
      <c r="J372" s="130"/>
      <c r="K372" s="198"/>
      <c r="L372" s="130"/>
      <c r="M372" s="131"/>
      <c r="N372" s="408"/>
      <c r="O372" s="136"/>
      <c r="P372" s="190"/>
    </row>
    <row r="373" spans="3:16" s="245" customFormat="1" ht="15" hidden="1" customHeight="1">
      <c r="C373" s="379"/>
      <c r="D373" s="127">
        <v>33</v>
      </c>
      <c r="E373" s="406" t="s">
        <v>173</v>
      </c>
      <c r="F373" s="133" t="e">
        <v>#DIV/0!</v>
      </c>
      <c r="G373" s="134" t="e">
        <v>#DIV/0!</v>
      </c>
      <c r="H373" s="134" t="e">
        <v>#DIV/0!</v>
      </c>
      <c r="I373" s="134" t="e">
        <v>#DIV/0!</v>
      </c>
      <c r="J373" s="134" t="e">
        <v>#DIV/0!</v>
      </c>
      <c r="K373" s="134" t="e">
        <v>#DIV/0!</v>
      </c>
      <c r="L373" s="134" t="e">
        <v>#DIV/0!</v>
      </c>
      <c r="M373" s="135" t="e">
        <v>#DIV/0!</v>
      </c>
      <c r="N373" s="128" t="e">
        <v>#DIV/0!</v>
      </c>
      <c r="O373" s="128">
        <v>0</v>
      </c>
      <c r="P373" s="190"/>
    </row>
    <row r="374" spans="3:16" s="245" customFormat="1" ht="15" hidden="1" customHeight="1">
      <c r="C374" s="379"/>
      <c r="D374" s="127">
        <v>34</v>
      </c>
      <c r="E374" s="406" t="s">
        <v>187</v>
      </c>
      <c r="F374" s="133">
        <v>0</v>
      </c>
      <c r="G374" s="134">
        <v>0</v>
      </c>
      <c r="H374" s="134">
        <v>0</v>
      </c>
      <c r="I374" s="134">
        <v>0</v>
      </c>
      <c r="J374" s="134">
        <v>0</v>
      </c>
      <c r="K374" s="134">
        <v>0</v>
      </c>
      <c r="L374" s="134">
        <v>0</v>
      </c>
      <c r="M374" s="135">
        <v>0</v>
      </c>
      <c r="N374" s="128">
        <v>0</v>
      </c>
      <c r="O374" s="128">
        <v>0</v>
      </c>
      <c r="P374" s="190"/>
    </row>
    <row r="375" spans="3:16" s="245" customFormat="1" ht="15" hidden="1" customHeight="1">
      <c r="C375" s="378"/>
      <c r="D375" s="122"/>
      <c r="E375" s="407" t="s">
        <v>297</v>
      </c>
      <c r="F375" s="129"/>
      <c r="G375" s="130"/>
      <c r="H375" s="130"/>
      <c r="I375" s="130"/>
      <c r="J375" s="130"/>
      <c r="K375" s="198"/>
      <c r="L375" s="130"/>
      <c r="M375" s="131"/>
      <c r="N375" s="408"/>
      <c r="O375" s="136"/>
      <c r="P375" s="190"/>
    </row>
    <row r="376" spans="3:16" s="245" customFormat="1" ht="15" hidden="1" customHeight="1">
      <c r="C376" s="378"/>
      <c r="D376" s="127">
        <v>35</v>
      </c>
      <c r="E376" s="409">
        <v>42460</v>
      </c>
      <c r="F376" s="137" t="e">
        <v>#DIV/0!</v>
      </c>
      <c r="G376" s="134" t="e">
        <v>#DIV/0!</v>
      </c>
      <c r="H376" s="134" t="e">
        <v>#DIV/0!</v>
      </c>
      <c r="I376" s="134" t="e">
        <v>#DIV/0!</v>
      </c>
      <c r="J376" s="134" t="e">
        <v>#DIV/0!</v>
      </c>
      <c r="K376" s="134" t="e">
        <v>#DIV/0!</v>
      </c>
      <c r="L376" s="134" t="e">
        <v>#DIV/0!</v>
      </c>
      <c r="M376" s="135" t="e">
        <v>#DIV/0!</v>
      </c>
      <c r="N376" s="128" t="e">
        <v>#DIV/0!</v>
      </c>
      <c r="O376" s="128">
        <v>0</v>
      </c>
      <c r="P376" s="190"/>
    </row>
    <row r="377" spans="3:16" s="245" customFormat="1" ht="15" hidden="1" customHeight="1">
      <c r="C377" s="378"/>
      <c r="D377" s="127">
        <v>36</v>
      </c>
      <c r="E377" s="409">
        <v>42825</v>
      </c>
      <c r="F377" s="137" t="s">
        <v>196</v>
      </c>
      <c r="G377" s="134" t="s">
        <v>196</v>
      </c>
      <c r="H377" s="134" t="s">
        <v>196</v>
      </c>
      <c r="I377" s="134" t="s">
        <v>196</v>
      </c>
      <c r="J377" s="134" t="s">
        <v>196</v>
      </c>
      <c r="K377" s="134" t="s">
        <v>196</v>
      </c>
      <c r="L377" s="134" t="s">
        <v>196</v>
      </c>
      <c r="M377" s="135" t="s">
        <v>196</v>
      </c>
      <c r="N377" s="128">
        <v>0</v>
      </c>
      <c r="O377" s="128">
        <v>0</v>
      </c>
      <c r="P377" s="190"/>
    </row>
    <row r="378" spans="3:16" s="245" customFormat="1" ht="15" hidden="1" customHeight="1">
      <c r="C378" s="378"/>
      <c r="D378" s="127">
        <v>37</v>
      </c>
      <c r="E378" s="409">
        <v>43190</v>
      </c>
      <c r="F378" s="137" t="s">
        <v>196</v>
      </c>
      <c r="G378" s="134" t="s">
        <v>196</v>
      </c>
      <c r="H378" s="134" t="s">
        <v>196</v>
      </c>
      <c r="I378" s="134" t="s">
        <v>196</v>
      </c>
      <c r="J378" s="134" t="s">
        <v>196</v>
      </c>
      <c r="K378" s="134" t="s">
        <v>196</v>
      </c>
      <c r="L378" s="134" t="s">
        <v>196</v>
      </c>
      <c r="M378" s="135" t="s">
        <v>196</v>
      </c>
      <c r="N378" s="128">
        <v>0</v>
      </c>
      <c r="O378" s="128">
        <v>0</v>
      </c>
      <c r="P378" s="190"/>
    </row>
    <row r="379" spans="3:16" s="245" customFormat="1" ht="15" hidden="1" customHeight="1">
      <c r="C379" s="378"/>
      <c r="D379" s="127">
        <v>38</v>
      </c>
      <c r="E379" s="409">
        <v>43555</v>
      </c>
      <c r="F379" s="137" t="s">
        <v>196</v>
      </c>
      <c r="G379" s="134" t="s">
        <v>196</v>
      </c>
      <c r="H379" s="134" t="s">
        <v>196</v>
      </c>
      <c r="I379" s="134" t="s">
        <v>196</v>
      </c>
      <c r="J379" s="134" t="s">
        <v>196</v>
      </c>
      <c r="K379" s="134" t="s">
        <v>196</v>
      </c>
      <c r="L379" s="134" t="s">
        <v>196</v>
      </c>
      <c r="M379" s="135" t="s">
        <v>196</v>
      </c>
      <c r="N379" s="128">
        <v>0</v>
      </c>
      <c r="O379" s="128">
        <v>0</v>
      </c>
      <c r="P379" s="190"/>
    </row>
    <row r="380" spans="3:16" s="245" customFormat="1" ht="15" hidden="1" customHeight="1">
      <c r="C380" s="378"/>
      <c r="D380" s="127">
        <v>39</v>
      </c>
      <c r="E380" s="409">
        <v>43921</v>
      </c>
      <c r="F380" s="137" t="s">
        <v>196</v>
      </c>
      <c r="G380" s="134" t="s">
        <v>196</v>
      </c>
      <c r="H380" s="134" t="s">
        <v>196</v>
      </c>
      <c r="I380" s="134" t="s">
        <v>196</v>
      </c>
      <c r="J380" s="134" t="s">
        <v>196</v>
      </c>
      <c r="K380" s="134" t="s">
        <v>196</v>
      </c>
      <c r="L380" s="134" t="s">
        <v>196</v>
      </c>
      <c r="M380" s="135" t="s">
        <v>196</v>
      </c>
      <c r="N380" s="128">
        <v>0</v>
      </c>
      <c r="O380" s="128">
        <v>0</v>
      </c>
      <c r="P380" s="190"/>
    </row>
    <row r="381" spans="3:16" s="245" customFormat="1" ht="15" hidden="1" customHeight="1">
      <c r="C381" s="378"/>
      <c r="D381" s="127">
        <v>40</v>
      </c>
      <c r="E381" s="409">
        <v>44286</v>
      </c>
      <c r="F381" s="137" t="s">
        <v>196</v>
      </c>
      <c r="G381" s="134" t="s">
        <v>196</v>
      </c>
      <c r="H381" s="134" t="s">
        <v>196</v>
      </c>
      <c r="I381" s="134" t="s">
        <v>196</v>
      </c>
      <c r="J381" s="134" t="s">
        <v>196</v>
      </c>
      <c r="K381" s="134" t="s">
        <v>196</v>
      </c>
      <c r="L381" s="134" t="s">
        <v>196</v>
      </c>
      <c r="M381" s="135" t="s">
        <v>196</v>
      </c>
      <c r="N381" s="128">
        <v>0</v>
      </c>
      <c r="O381" s="128">
        <v>0</v>
      </c>
      <c r="P381" s="155"/>
    </row>
    <row r="382" spans="3:16" s="245" customFormat="1" ht="15" hidden="1" customHeight="1">
      <c r="C382" s="378"/>
      <c r="D382" s="127">
        <v>41</v>
      </c>
      <c r="E382" s="409">
        <v>44651</v>
      </c>
      <c r="F382" s="137" t="s">
        <v>196</v>
      </c>
      <c r="G382" s="134" t="s">
        <v>196</v>
      </c>
      <c r="H382" s="134" t="s">
        <v>196</v>
      </c>
      <c r="I382" s="134" t="s">
        <v>196</v>
      </c>
      <c r="J382" s="134" t="s">
        <v>196</v>
      </c>
      <c r="K382" s="134" t="s">
        <v>196</v>
      </c>
      <c r="L382" s="134" t="s">
        <v>196</v>
      </c>
      <c r="M382" s="135" t="s">
        <v>196</v>
      </c>
      <c r="N382" s="128">
        <v>0</v>
      </c>
      <c r="O382" s="128">
        <v>0</v>
      </c>
      <c r="P382" s="155"/>
    </row>
    <row r="383" spans="3:16" s="245" customFormat="1" ht="15" hidden="1" customHeight="1">
      <c r="C383" s="378"/>
      <c r="D383" s="127">
        <v>42</v>
      </c>
      <c r="E383" s="409">
        <v>45016</v>
      </c>
      <c r="F383" s="137" t="s">
        <v>196</v>
      </c>
      <c r="G383" s="134" t="s">
        <v>196</v>
      </c>
      <c r="H383" s="134" t="s">
        <v>196</v>
      </c>
      <c r="I383" s="134" t="s">
        <v>196</v>
      </c>
      <c r="J383" s="134" t="s">
        <v>196</v>
      </c>
      <c r="K383" s="134" t="s">
        <v>196</v>
      </c>
      <c r="L383" s="134" t="s">
        <v>196</v>
      </c>
      <c r="M383" s="135" t="s">
        <v>196</v>
      </c>
      <c r="N383" s="128">
        <v>0</v>
      </c>
      <c r="O383" s="128">
        <v>0</v>
      </c>
      <c r="P383" s="155"/>
    </row>
    <row r="384" spans="3:16" s="245" customFormat="1" ht="15" hidden="1" customHeight="1">
      <c r="C384" s="378"/>
      <c r="D384" s="122"/>
      <c r="E384" s="407" t="s">
        <v>461</v>
      </c>
      <c r="F384" s="129"/>
      <c r="G384" s="130"/>
      <c r="H384" s="130"/>
      <c r="I384" s="130"/>
      <c r="J384" s="130"/>
      <c r="K384" s="198"/>
      <c r="L384" s="130"/>
      <c r="M384" s="131"/>
      <c r="N384" s="408"/>
      <c r="O384" s="136"/>
      <c r="P384" s="155"/>
    </row>
    <row r="385" spans="3:16" s="245" customFormat="1" ht="15" hidden="1" customHeight="1">
      <c r="C385" s="378"/>
      <c r="D385" s="127">
        <v>43</v>
      </c>
      <c r="E385" s="409">
        <v>42460</v>
      </c>
      <c r="F385" s="137">
        <v>0</v>
      </c>
      <c r="G385" s="134">
        <v>0</v>
      </c>
      <c r="H385" s="134">
        <v>0</v>
      </c>
      <c r="I385" s="134">
        <v>0</v>
      </c>
      <c r="J385" s="134">
        <v>0</v>
      </c>
      <c r="K385" s="134">
        <v>0</v>
      </c>
      <c r="L385" s="134">
        <v>0</v>
      </c>
      <c r="M385" s="135">
        <v>0</v>
      </c>
      <c r="N385" s="128">
        <v>0</v>
      </c>
      <c r="O385" s="128"/>
      <c r="P385" s="155"/>
    </row>
    <row r="386" spans="3:16" s="245" customFormat="1" ht="15" hidden="1" customHeight="1">
      <c r="C386" s="378"/>
      <c r="D386" s="127">
        <v>44</v>
      </c>
      <c r="E386" s="409">
        <v>42825</v>
      </c>
      <c r="F386" s="137" t="s">
        <v>196</v>
      </c>
      <c r="G386" s="134" t="s">
        <v>196</v>
      </c>
      <c r="H386" s="134" t="s">
        <v>196</v>
      </c>
      <c r="I386" s="134" t="s">
        <v>196</v>
      </c>
      <c r="J386" s="134" t="s">
        <v>196</v>
      </c>
      <c r="K386" s="134" t="s">
        <v>196</v>
      </c>
      <c r="L386" s="134" t="s">
        <v>196</v>
      </c>
      <c r="M386" s="135" t="s">
        <v>196</v>
      </c>
      <c r="N386" s="128">
        <v>0</v>
      </c>
      <c r="O386" s="128"/>
      <c r="P386" s="190"/>
    </row>
    <row r="387" spans="3:16" s="245" customFormat="1" ht="15" hidden="1" customHeight="1">
      <c r="C387" s="378"/>
      <c r="D387" s="127">
        <v>45</v>
      </c>
      <c r="E387" s="409">
        <v>43190</v>
      </c>
      <c r="F387" s="137" t="s">
        <v>196</v>
      </c>
      <c r="G387" s="134" t="s">
        <v>196</v>
      </c>
      <c r="H387" s="134" t="s">
        <v>196</v>
      </c>
      <c r="I387" s="134" t="s">
        <v>196</v>
      </c>
      <c r="J387" s="134" t="s">
        <v>196</v>
      </c>
      <c r="K387" s="134" t="s">
        <v>196</v>
      </c>
      <c r="L387" s="134" t="s">
        <v>196</v>
      </c>
      <c r="M387" s="135" t="s">
        <v>196</v>
      </c>
      <c r="N387" s="128">
        <v>0</v>
      </c>
      <c r="O387" s="128"/>
      <c r="P387" s="190"/>
    </row>
    <row r="388" spans="3:16" s="245" customFormat="1" ht="15" hidden="1" customHeight="1">
      <c r="C388" s="378"/>
      <c r="D388" s="127">
        <v>46</v>
      </c>
      <c r="E388" s="409">
        <v>43555</v>
      </c>
      <c r="F388" s="137" t="s">
        <v>196</v>
      </c>
      <c r="G388" s="134" t="s">
        <v>196</v>
      </c>
      <c r="H388" s="134" t="s">
        <v>196</v>
      </c>
      <c r="I388" s="134" t="s">
        <v>196</v>
      </c>
      <c r="J388" s="134" t="s">
        <v>196</v>
      </c>
      <c r="K388" s="134" t="s">
        <v>196</v>
      </c>
      <c r="L388" s="134" t="s">
        <v>196</v>
      </c>
      <c r="M388" s="135" t="s">
        <v>196</v>
      </c>
      <c r="N388" s="128">
        <v>0</v>
      </c>
      <c r="O388" s="128"/>
      <c r="P388" s="190"/>
    </row>
    <row r="389" spans="3:16" s="245" customFormat="1" ht="15" hidden="1" customHeight="1">
      <c r="C389" s="378"/>
      <c r="D389" s="127">
        <v>47</v>
      </c>
      <c r="E389" s="409">
        <v>43921</v>
      </c>
      <c r="F389" s="137" t="s">
        <v>196</v>
      </c>
      <c r="G389" s="134" t="s">
        <v>196</v>
      </c>
      <c r="H389" s="134" t="s">
        <v>196</v>
      </c>
      <c r="I389" s="134" t="s">
        <v>196</v>
      </c>
      <c r="J389" s="134" t="s">
        <v>196</v>
      </c>
      <c r="K389" s="134" t="s">
        <v>196</v>
      </c>
      <c r="L389" s="134" t="s">
        <v>196</v>
      </c>
      <c r="M389" s="135" t="s">
        <v>196</v>
      </c>
      <c r="N389" s="128">
        <v>0</v>
      </c>
      <c r="O389" s="128"/>
      <c r="P389" s="190"/>
    </row>
    <row r="390" spans="3:16" s="245" customFormat="1" ht="15" hidden="1" customHeight="1">
      <c r="C390" s="378"/>
      <c r="D390" s="127">
        <v>48</v>
      </c>
      <c r="E390" s="409">
        <v>44286</v>
      </c>
      <c r="F390" s="137" t="s">
        <v>196</v>
      </c>
      <c r="G390" s="134" t="s">
        <v>196</v>
      </c>
      <c r="H390" s="134" t="s">
        <v>196</v>
      </c>
      <c r="I390" s="134" t="s">
        <v>196</v>
      </c>
      <c r="J390" s="134" t="s">
        <v>196</v>
      </c>
      <c r="K390" s="134" t="s">
        <v>196</v>
      </c>
      <c r="L390" s="134" t="s">
        <v>196</v>
      </c>
      <c r="M390" s="135" t="s">
        <v>196</v>
      </c>
      <c r="N390" s="128">
        <v>0</v>
      </c>
      <c r="O390" s="128"/>
      <c r="P390" s="190"/>
    </row>
    <row r="391" spans="3:16" s="245" customFormat="1" ht="15" hidden="1" customHeight="1">
      <c r="C391" s="378"/>
      <c r="D391" s="127">
        <v>49</v>
      </c>
      <c r="E391" s="409">
        <v>44651</v>
      </c>
      <c r="F391" s="137" t="s">
        <v>196</v>
      </c>
      <c r="G391" s="134" t="s">
        <v>196</v>
      </c>
      <c r="H391" s="134" t="s">
        <v>196</v>
      </c>
      <c r="I391" s="134" t="s">
        <v>196</v>
      </c>
      <c r="J391" s="134" t="s">
        <v>196</v>
      </c>
      <c r="K391" s="134" t="s">
        <v>196</v>
      </c>
      <c r="L391" s="134" t="s">
        <v>196</v>
      </c>
      <c r="M391" s="135" t="s">
        <v>196</v>
      </c>
      <c r="N391" s="128">
        <v>0</v>
      </c>
      <c r="O391" s="128"/>
      <c r="P391" s="190"/>
    </row>
    <row r="392" spans="3:16" s="245" customFormat="1" ht="15" hidden="1" customHeight="1">
      <c r="C392" s="378"/>
      <c r="D392" s="127">
        <v>50</v>
      </c>
      <c r="E392" s="409">
        <v>45016</v>
      </c>
      <c r="F392" s="137" t="s">
        <v>196</v>
      </c>
      <c r="G392" s="134" t="s">
        <v>196</v>
      </c>
      <c r="H392" s="134" t="s">
        <v>196</v>
      </c>
      <c r="I392" s="134" t="s">
        <v>196</v>
      </c>
      <c r="J392" s="134" t="s">
        <v>196</v>
      </c>
      <c r="K392" s="134" t="s">
        <v>196</v>
      </c>
      <c r="L392" s="134" t="s">
        <v>196</v>
      </c>
      <c r="M392" s="135" t="s">
        <v>196</v>
      </c>
      <c r="N392" s="128">
        <v>0</v>
      </c>
      <c r="O392" s="128"/>
      <c r="P392" s="190"/>
    </row>
    <row r="393" spans="3:16" s="245" customFormat="1" ht="15" hidden="1" customHeight="1">
      <c r="C393" s="378"/>
      <c r="D393" s="122"/>
      <c r="E393" s="407" t="s">
        <v>468</v>
      </c>
      <c r="F393" s="129"/>
      <c r="G393" s="130"/>
      <c r="H393" s="130"/>
      <c r="I393" s="130"/>
      <c r="J393" s="130"/>
      <c r="K393" s="198"/>
      <c r="L393" s="130"/>
      <c r="M393" s="131"/>
      <c r="N393" s="408"/>
      <c r="O393" s="136"/>
      <c r="P393" s="190"/>
    </row>
    <row r="394" spans="3:16" s="245" customFormat="1" ht="15" hidden="1" customHeight="1">
      <c r="C394" s="378"/>
      <c r="D394" s="127">
        <v>51</v>
      </c>
      <c r="E394" s="406" t="s">
        <v>445</v>
      </c>
      <c r="F394" s="133" t="e">
        <v>#DIV/0!</v>
      </c>
      <c r="G394" s="134" t="e">
        <v>#DIV/0!</v>
      </c>
      <c r="H394" s="134" t="e">
        <v>#DIV/0!</v>
      </c>
      <c r="I394" s="134" t="e">
        <v>#DIV/0!</v>
      </c>
      <c r="J394" s="134" t="e">
        <v>#DIV/0!</v>
      </c>
      <c r="K394" s="134" t="e">
        <v>#DIV/0!</v>
      </c>
      <c r="L394" s="134" t="e">
        <v>#DIV/0!</v>
      </c>
      <c r="M394" s="135" t="e">
        <v>#DIV/0!</v>
      </c>
      <c r="N394" s="128" t="e">
        <v>#DIV/0!</v>
      </c>
      <c r="O394" s="128">
        <v>0</v>
      </c>
      <c r="P394" s="190"/>
    </row>
    <row r="395" spans="3:16" s="245" customFormat="1" ht="15" hidden="1" customHeight="1">
      <c r="C395" s="378"/>
      <c r="D395" s="127">
        <v>52</v>
      </c>
      <c r="E395" s="406" t="s">
        <v>446</v>
      </c>
      <c r="F395" s="222">
        <v>0</v>
      </c>
      <c r="G395" s="223">
        <v>0</v>
      </c>
      <c r="H395" s="223">
        <v>0</v>
      </c>
      <c r="I395" s="223">
        <v>0</v>
      </c>
      <c r="J395" s="223">
        <v>0</v>
      </c>
      <c r="K395" s="223">
        <v>0</v>
      </c>
      <c r="L395" s="223">
        <v>0</v>
      </c>
      <c r="M395" s="224">
        <v>0</v>
      </c>
      <c r="N395" s="225" t="e">
        <v>#DIV/0!</v>
      </c>
      <c r="O395" s="225">
        <v>0</v>
      </c>
      <c r="P395" s="190"/>
    </row>
    <row r="396" spans="3:16" s="245" customFormat="1" ht="15" hidden="1" customHeight="1">
      <c r="C396" s="379"/>
      <c r="D396" s="127">
        <v>53</v>
      </c>
      <c r="E396" s="406" t="s">
        <v>431</v>
      </c>
      <c r="F396" s="133" t="e">
        <v>#DIV/0!</v>
      </c>
      <c r="G396" s="134" t="e">
        <v>#DIV/0!</v>
      </c>
      <c r="H396" s="134" t="e">
        <v>#DIV/0!</v>
      </c>
      <c r="I396" s="134" t="e">
        <v>#DIV/0!</v>
      </c>
      <c r="J396" s="134" t="e">
        <v>#DIV/0!</v>
      </c>
      <c r="K396" s="134" t="e">
        <v>#DIV/0!</v>
      </c>
      <c r="L396" s="134" t="e">
        <v>#DIV/0!</v>
      </c>
      <c r="M396" s="135" t="e">
        <v>#DIV/0!</v>
      </c>
      <c r="N396" s="128" t="e">
        <v>#DIV/0!</v>
      </c>
      <c r="O396" s="128">
        <v>0</v>
      </c>
      <c r="P396" s="190"/>
    </row>
    <row r="397" spans="3:16" s="245" customFormat="1" ht="15" hidden="1" customHeight="1">
      <c r="C397" s="379"/>
      <c r="D397" s="127">
        <v>54</v>
      </c>
      <c r="E397" s="406" t="s">
        <v>447</v>
      </c>
      <c r="F397" s="137" t="e">
        <v>#DIV/0!</v>
      </c>
      <c r="G397" s="134" t="e">
        <v>#DIV/0!</v>
      </c>
      <c r="H397" s="134" t="e">
        <v>#DIV/0!</v>
      </c>
      <c r="I397" s="134" t="e">
        <v>#DIV/0!</v>
      </c>
      <c r="J397" s="134" t="e">
        <v>#DIV/0!</v>
      </c>
      <c r="K397" s="134" t="e">
        <v>#DIV/0!</v>
      </c>
      <c r="L397" s="134" t="e">
        <v>#DIV/0!</v>
      </c>
      <c r="M397" s="135" t="e">
        <v>#DIV/0!</v>
      </c>
      <c r="N397" s="128" t="e">
        <v>#DIV/0!</v>
      </c>
      <c r="O397" s="128">
        <v>0</v>
      </c>
      <c r="P397" s="190"/>
    </row>
    <row r="398" spans="3:16" s="245" customFormat="1" ht="15" hidden="1" customHeight="1" thickBot="1">
      <c r="C398" s="379"/>
      <c r="D398" s="138">
        <v>55</v>
      </c>
      <c r="E398" s="410" t="s">
        <v>677</v>
      </c>
      <c r="F398" s="254" t="e">
        <v>#DIV/0!</v>
      </c>
      <c r="G398" s="139" t="e">
        <v>#DIV/0!</v>
      </c>
      <c r="H398" s="139" t="e">
        <v>#DIV/0!</v>
      </c>
      <c r="I398" s="139" t="e">
        <v>#DIV/0!</v>
      </c>
      <c r="J398" s="139" t="e">
        <v>#DIV/0!</v>
      </c>
      <c r="K398" s="139" t="e">
        <v>#DIV/0!</v>
      </c>
      <c r="L398" s="139" t="e">
        <v>#DIV/0!</v>
      </c>
      <c r="M398" s="226" t="e">
        <v>#DIV/0!</v>
      </c>
      <c r="N398" s="253"/>
      <c r="O398" s="253">
        <v>0</v>
      </c>
      <c r="P398" s="190"/>
    </row>
    <row r="399" spans="3:16" s="245" customFormat="1" ht="15" hidden="1" customHeight="1">
      <c r="C399" s="379"/>
      <c r="D399" s="244"/>
      <c r="E399" s="402"/>
      <c r="F399" s="155"/>
      <c r="G399" s="155"/>
      <c r="H399" s="155"/>
      <c r="I399" s="155"/>
      <c r="J399" s="155"/>
      <c r="K399" s="155"/>
      <c r="L399" s="155"/>
      <c r="M399" s="155"/>
      <c r="N399" s="155"/>
      <c r="O399" s="155"/>
      <c r="P399" s="190"/>
    </row>
    <row r="400" spans="3:16" s="245" customFormat="1" ht="15" hidden="1" customHeight="1">
      <c r="C400" s="378"/>
      <c r="D400" s="244"/>
      <c r="E400" s="190"/>
      <c r="F400" s="155"/>
      <c r="G400" s="155"/>
      <c r="H400" s="155"/>
      <c r="I400" s="155"/>
      <c r="J400" s="155"/>
      <c r="K400" s="155"/>
      <c r="L400" s="155"/>
      <c r="M400" s="383"/>
      <c r="N400" s="155"/>
      <c r="O400" s="155"/>
      <c r="P400" s="190"/>
    </row>
    <row r="401" spans="3:16" s="245" customFormat="1" ht="15" hidden="1" customHeight="1">
      <c r="C401" s="378"/>
      <c r="D401" s="244"/>
      <c r="E401" s="190"/>
      <c r="F401" s="155"/>
      <c r="G401" s="155"/>
      <c r="H401" s="155"/>
      <c r="I401" s="155"/>
      <c r="J401" s="155"/>
      <c r="K401" s="155"/>
      <c r="L401" s="155"/>
      <c r="M401" s="383"/>
      <c r="N401" s="155"/>
      <c r="O401" s="155"/>
      <c r="P401" s="190"/>
    </row>
    <row r="402" spans="3:16" s="245" customFormat="1" ht="15" hidden="1" customHeight="1">
      <c r="C402" s="378"/>
      <c r="D402" s="244"/>
      <c r="E402" s="190"/>
      <c r="F402" s="155"/>
      <c r="G402" s="155"/>
      <c r="H402" s="155"/>
      <c r="I402" s="155"/>
      <c r="J402" s="155"/>
      <c r="K402" s="155"/>
      <c r="L402" s="155"/>
      <c r="M402" s="383"/>
      <c r="N402" s="155"/>
      <c r="O402" s="155"/>
      <c r="P402" s="190"/>
    </row>
    <row r="403" spans="3:16" s="245" customFormat="1" ht="15" hidden="1" customHeight="1">
      <c r="C403" s="378"/>
      <c r="D403" s="244"/>
      <c r="E403" s="190"/>
      <c r="F403" s="378"/>
      <c r="G403" s="378"/>
      <c r="H403" s="378"/>
      <c r="I403" s="378"/>
      <c r="J403" s="378"/>
      <c r="K403" s="378"/>
      <c r="L403" s="378"/>
      <c r="M403" s="378"/>
      <c r="N403" s="378"/>
      <c r="O403" s="378"/>
      <c r="P403" s="190"/>
    </row>
    <row r="404" spans="3:16" s="245" customFormat="1" ht="15" hidden="1" customHeight="1">
      <c r="C404" s="380" t="s">
        <v>809</v>
      </c>
      <c r="D404" s="380"/>
      <c r="E404" s="380"/>
      <c r="F404" s="380"/>
      <c r="G404" s="380"/>
      <c r="H404" s="380"/>
      <c r="I404" s="380"/>
      <c r="J404" s="380"/>
      <c r="K404" s="380"/>
      <c r="L404" s="380"/>
      <c r="M404" s="380"/>
      <c r="N404" s="380"/>
      <c r="O404" s="380"/>
      <c r="P404" s="190"/>
    </row>
    <row r="405" spans="3:16" s="245" customFormat="1" ht="15" hidden="1" customHeight="1">
      <c r="C405" s="379"/>
      <c r="D405" s="379"/>
      <c r="E405" s="379"/>
      <c r="F405" s="379"/>
      <c r="G405" s="379"/>
      <c r="H405" s="379"/>
      <c r="I405" s="379"/>
      <c r="J405" s="379"/>
      <c r="K405" s="379"/>
      <c r="L405" s="379"/>
      <c r="M405" s="379"/>
      <c r="N405" s="379"/>
      <c r="O405" s="379"/>
      <c r="P405" s="190"/>
    </row>
    <row r="406" spans="3:16" s="245" customFormat="1" ht="15" hidden="1" customHeight="1">
      <c r="C406" s="379"/>
      <c r="D406" s="376"/>
      <c r="E406" s="376"/>
      <c r="F406" s="377"/>
      <c r="G406" s="377"/>
      <c r="H406" s="377"/>
      <c r="I406" s="377"/>
      <c r="J406" s="377"/>
      <c r="K406" s="377"/>
      <c r="L406" s="377"/>
      <c r="M406" s="377"/>
      <c r="N406" s="376"/>
      <c r="O406" s="376"/>
      <c r="P406" s="190"/>
    </row>
    <row r="407" spans="3:16" s="245" customFormat="1" ht="15" hidden="1" customHeight="1">
      <c r="C407" s="379"/>
      <c r="D407" s="376"/>
      <c r="E407" s="381" t="s">
        <v>56</v>
      </c>
      <c r="F407" s="381" t="s">
        <v>234</v>
      </c>
      <c r="G407" s="377"/>
      <c r="H407" s="381" t="s">
        <v>37</v>
      </c>
      <c r="I407" s="377"/>
      <c r="J407" s="377"/>
      <c r="K407" s="377"/>
      <c r="L407" s="377"/>
      <c r="M407" s="377"/>
      <c r="N407" s="376"/>
      <c r="O407" s="376"/>
      <c r="P407" s="190"/>
    </row>
    <row r="408" spans="3:16" s="245" customFormat="1" ht="15" hidden="1" customHeight="1">
      <c r="C408" s="379"/>
      <c r="D408" s="118"/>
      <c r="E408" s="118" t="s">
        <v>512</v>
      </c>
      <c r="F408" s="345">
        <v>42460</v>
      </c>
      <c r="G408" s="119"/>
      <c r="H408" s="118" t="s">
        <v>851</v>
      </c>
      <c r="I408" s="119"/>
      <c r="J408" s="119"/>
      <c r="K408" s="119"/>
      <c r="L408" s="119"/>
      <c r="M408" s="119"/>
      <c r="N408" s="118"/>
      <c r="O408" s="118"/>
      <c r="P408" s="190"/>
    </row>
    <row r="409" spans="3:16" s="245" customFormat="1" ht="15" hidden="1" customHeight="1" thickBot="1">
      <c r="C409" s="379"/>
      <c r="D409" s="379"/>
      <c r="E409" s="379"/>
      <c r="F409" s="430"/>
      <c r="G409" s="430"/>
      <c r="H409" s="430"/>
      <c r="I409" s="430"/>
      <c r="J409" s="430"/>
      <c r="K409" s="430"/>
      <c r="L409" s="430"/>
      <c r="M409" s="430"/>
      <c r="N409" s="379"/>
      <c r="O409" s="379"/>
      <c r="P409" s="190"/>
    </row>
    <row r="410" spans="3:16" s="245" customFormat="1" ht="15" hidden="1" customHeight="1">
      <c r="C410" s="379"/>
      <c r="D410" s="120"/>
      <c r="E410" s="189" t="s">
        <v>231</v>
      </c>
      <c r="F410" s="181">
        <v>42460</v>
      </c>
      <c r="G410" s="182">
        <v>42825</v>
      </c>
      <c r="H410" s="182">
        <v>43190</v>
      </c>
      <c r="I410" s="182">
        <v>43555</v>
      </c>
      <c r="J410" s="182">
        <v>43921</v>
      </c>
      <c r="K410" s="182">
        <v>44286</v>
      </c>
      <c r="L410" s="182">
        <v>44651</v>
      </c>
      <c r="M410" s="183">
        <v>45016</v>
      </c>
      <c r="N410" s="243" t="s">
        <v>83</v>
      </c>
      <c r="O410" s="184" t="s">
        <v>84</v>
      </c>
      <c r="P410" s="190"/>
    </row>
    <row r="411" spans="3:16" s="245" customFormat="1" ht="15" hidden="1" customHeight="1">
      <c r="C411" s="379"/>
      <c r="D411" s="121"/>
      <c r="E411" s="406" t="s">
        <v>235</v>
      </c>
      <c r="F411" s="185" t="s">
        <v>728</v>
      </c>
      <c r="G411" s="186" t="s">
        <v>728</v>
      </c>
      <c r="H411" s="186" t="s">
        <v>728</v>
      </c>
      <c r="I411" s="186" t="s">
        <v>728</v>
      </c>
      <c r="J411" s="186" t="s">
        <v>728</v>
      </c>
      <c r="K411" s="186" t="s">
        <v>728</v>
      </c>
      <c r="L411" s="186" t="s">
        <v>728</v>
      </c>
      <c r="M411" s="187" t="s">
        <v>728</v>
      </c>
      <c r="N411" s="188" t="s">
        <v>728</v>
      </c>
      <c r="O411" s="188" t="s">
        <v>728</v>
      </c>
      <c r="P411" s="190"/>
    </row>
    <row r="412" spans="3:16" s="245" customFormat="1" ht="15" hidden="1" customHeight="1">
      <c r="C412" s="379"/>
      <c r="D412" s="122"/>
      <c r="E412" s="407" t="s">
        <v>67</v>
      </c>
      <c r="F412" s="123"/>
      <c r="G412" s="124"/>
      <c r="H412" s="124"/>
      <c r="I412" s="124"/>
      <c r="J412" s="124"/>
      <c r="K412" s="124"/>
      <c r="L412" s="124"/>
      <c r="M412" s="125"/>
      <c r="N412" s="126"/>
      <c r="O412" s="126"/>
      <c r="P412" s="190"/>
    </row>
    <row r="413" spans="3:16" s="245" customFormat="1" ht="15" hidden="1" customHeight="1">
      <c r="C413" s="379"/>
      <c r="D413" s="127">
        <v>1</v>
      </c>
      <c r="E413" s="406" t="s">
        <v>209</v>
      </c>
      <c r="F413" s="133">
        <v>0</v>
      </c>
      <c r="G413" s="134">
        <v>0</v>
      </c>
      <c r="H413" s="134">
        <v>0</v>
      </c>
      <c r="I413" s="134">
        <v>0</v>
      </c>
      <c r="J413" s="134">
        <v>0</v>
      </c>
      <c r="K413" s="134">
        <v>0</v>
      </c>
      <c r="L413" s="134">
        <v>0</v>
      </c>
      <c r="M413" s="135">
        <v>0</v>
      </c>
      <c r="N413" s="128">
        <v>0</v>
      </c>
      <c r="O413" s="128">
        <v>0</v>
      </c>
      <c r="P413" s="190"/>
    </row>
    <row r="414" spans="3:16" s="245" customFormat="1" ht="15" hidden="1" customHeight="1">
      <c r="C414" s="379"/>
      <c r="D414" s="127">
        <v>2</v>
      </c>
      <c r="E414" s="406" t="s">
        <v>679</v>
      </c>
      <c r="F414" s="133">
        <v>0</v>
      </c>
      <c r="G414" s="134">
        <v>0</v>
      </c>
      <c r="H414" s="134">
        <v>0</v>
      </c>
      <c r="I414" s="134">
        <v>0</v>
      </c>
      <c r="J414" s="134">
        <v>0</v>
      </c>
      <c r="K414" s="134">
        <v>0</v>
      </c>
      <c r="L414" s="134">
        <v>0</v>
      </c>
      <c r="M414" s="135">
        <v>0</v>
      </c>
      <c r="N414" s="128">
        <v>0</v>
      </c>
      <c r="O414" s="128">
        <v>0</v>
      </c>
      <c r="P414" s="190"/>
    </row>
    <row r="415" spans="3:16" s="245" customFormat="1" ht="15" hidden="1" customHeight="1">
      <c r="C415" s="379"/>
      <c r="D415" s="127">
        <v>3</v>
      </c>
      <c r="E415" s="406" t="s">
        <v>210</v>
      </c>
      <c r="F415" s="133">
        <v>0</v>
      </c>
      <c r="G415" s="134">
        <v>0</v>
      </c>
      <c r="H415" s="134">
        <v>0</v>
      </c>
      <c r="I415" s="134">
        <v>0</v>
      </c>
      <c r="J415" s="134">
        <v>0</v>
      </c>
      <c r="K415" s="134">
        <v>0</v>
      </c>
      <c r="L415" s="134">
        <v>0</v>
      </c>
      <c r="M415" s="135">
        <v>0</v>
      </c>
      <c r="N415" s="128">
        <v>0</v>
      </c>
      <c r="O415" s="128">
        <v>0</v>
      </c>
      <c r="P415" s="190"/>
    </row>
    <row r="416" spans="3:16" s="245" customFormat="1" ht="15" hidden="1" customHeight="1">
      <c r="C416" s="379"/>
      <c r="D416" s="122"/>
      <c r="E416" s="407" t="s">
        <v>15</v>
      </c>
      <c r="F416" s="123"/>
      <c r="G416" s="124"/>
      <c r="H416" s="124"/>
      <c r="I416" s="124"/>
      <c r="J416" s="124"/>
      <c r="K416" s="124"/>
      <c r="L416" s="124"/>
      <c r="M416" s="125"/>
      <c r="N416" s="126"/>
      <c r="O416" s="126"/>
      <c r="P416" s="190"/>
    </row>
    <row r="417" spans="3:16" s="245" customFormat="1" ht="15" hidden="1" customHeight="1">
      <c r="C417" s="379"/>
      <c r="D417" s="127">
        <v>4</v>
      </c>
      <c r="E417" s="406" t="s">
        <v>448</v>
      </c>
      <c r="F417" s="133" t="e">
        <v>#DIV/0!</v>
      </c>
      <c r="G417" s="134" t="e">
        <v>#DIV/0!</v>
      </c>
      <c r="H417" s="134" t="e">
        <v>#DIV/0!</v>
      </c>
      <c r="I417" s="134" t="e">
        <v>#DIV/0!</v>
      </c>
      <c r="J417" s="134" t="e">
        <v>#DIV/0!</v>
      </c>
      <c r="K417" s="134" t="e">
        <v>#DIV/0!</v>
      </c>
      <c r="L417" s="134" t="e">
        <v>#DIV/0!</v>
      </c>
      <c r="M417" s="135" t="e">
        <v>#DIV/0!</v>
      </c>
      <c r="N417" s="128"/>
      <c r="O417" s="128">
        <v>0</v>
      </c>
      <c r="P417" s="190"/>
    </row>
    <row r="418" spans="3:16" s="245" customFormat="1" ht="15" hidden="1" customHeight="1">
      <c r="C418" s="379"/>
      <c r="D418" s="127">
        <v>5</v>
      </c>
      <c r="E418" s="406" t="s">
        <v>119</v>
      </c>
      <c r="F418" s="133">
        <v>0</v>
      </c>
      <c r="G418" s="134">
        <v>0</v>
      </c>
      <c r="H418" s="134">
        <v>0</v>
      </c>
      <c r="I418" s="134">
        <v>0</v>
      </c>
      <c r="J418" s="134">
        <v>0</v>
      </c>
      <c r="K418" s="134">
        <v>0</v>
      </c>
      <c r="L418" s="134">
        <v>0</v>
      </c>
      <c r="M418" s="135">
        <v>0</v>
      </c>
      <c r="N418" s="128">
        <v>0</v>
      </c>
      <c r="O418" s="128">
        <v>0</v>
      </c>
      <c r="P418" s="190"/>
    </row>
    <row r="419" spans="3:16" s="245" customFormat="1" ht="15" hidden="1" customHeight="1">
      <c r="C419" s="379"/>
      <c r="D419" s="127">
        <v>6</v>
      </c>
      <c r="E419" s="406" t="s">
        <v>449</v>
      </c>
      <c r="F419" s="133" t="e">
        <v>#DIV/0!</v>
      </c>
      <c r="G419" s="134" t="e">
        <v>#DIV/0!</v>
      </c>
      <c r="H419" s="134" t="e">
        <v>#DIV/0!</v>
      </c>
      <c r="I419" s="134" t="e">
        <v>#DIV/0!</v>
      </c>
      <c r="J419" s="134" t="e">
        <v>#DIV/0!</v>
      </c>
      <c r="K419" s="134" t="e">
        <v>#DIV/0!</v>
      </c>
      <c r="L419" s="134" t="e">
        <v>#DIV/0!</v>
      </c>
      <c r="M419" s="135" t="e">
        <v>#DIV/0!</v>
      </c>
      <c r="N419" s="128"/>
      <c r="O419" s="128">
        <v>0</v>
      </c>
      <c r="P419" s="190"/>
    </row>
    <row r="420" spans="3:16" s="245" customFormat="1" ht="15" hidden="1" customHeight="1">
      <c r="C420" s="379"/>
      <c r="D420" s="127">
        <v>7</v>
      </c>
      <c r="E420" s="406" t="s">
        <v>211</v>
      </c>
      <c r="F420" s="133">
        <v>0</v>
      </c>
      <c r="G420" s="134">
        <v>0</v>
      </c>
      <c r="H420" s="134">
        <v>0</v>
      </c>
      <c r="I420" s="134">
        <v>0</v>
      </c>
      <c r="J420" s="134">
        <v>0</v>
      </c>
      <c r="K420" s="134">
        <v>0</v>
      </c>
      <c r="L420" s="134">
        <v>0</v>
      </c>
      <c r="M420" s="135">
        <v>0</v>
      </c>
      <c r="N420" s="128">
        <v>0</v>
      </c>
      <c r="O420" s="128">
        <v>0</v>
      </c>
      <c r="P420" s="190"/>
    </row>
    <row r="421" spans="3:16" s="245" customFormat="1" ht="15" hidden="1" customHeight="1">
      <c r="C421" s="379"/>
      <c r="D421" s="127">
        <v>8</v>
      </c>
      <c r="E421" s="406" t="s">
        <v>0</v>
      </c>
      <c r="F421" s="133" t="e">
        <v>#DIV/0!</v>
      </c>
      <c r="G421" s="134" t="e">
        <v>#DIV/0!</v>
      </c>
      <c r="H421" s="134" t="e">
        <v>#DIV/0!</v>
      </c>
      <c r="I421" s="134" t="e">
        <v>#DIV/0!</v>
      </c>
      <c r="J421" s="134" t="e">
        <v>#DIV/0!</v>
      </c>
      <c r="K421" s="134" t="e">
        <v>#DIV/0!</v>
      </c>
      <c r="L421" s="134" t="e">
        <v>#DIV/0!</v>
      </c>
      <c r="M421" s="135" t="e">
        <v>#DIV/0!</v>
      </c>
      <c r="N421" s="128" t="e">
        <v>#DIV/0!</v>
      </c>
      <c r="O421" s="128">
        <v>0</v>
      </c>
      <c r="P421" s="190"/>
    </row>
    <row r="422" spans="3:16" s="245" customFormat="1" ht="15" hidden="1" customHeight="1">
      <c r="C422" s="379"/>
      <c r="D422" s="127">
        <v>9</v>
      </c>
      <c r="E422" s="406" t="s">
        <v>16</v>
      </c>
      <c r="F422" s="133" t="e">
        <v>#DIV/0!</v>
      </c>
      <c r="G422" s="134" t="e">
        <v>#DIV/0!</v>
      </c>
      <c r="H422" s="134" t="e">
        <v>#DIV/0!</v>
      </c>
      <c r="I422" s="134" t="e">
        <v>#DIV/0!</v>
      </c>
      <c r="J422" s="134" t="e">
        <v>#DIV/0!</v>
      </c>
      <c r="K422" s="134" t="e">
        <v>#DIV/0!</v>
      </c>
      <c r="L422" s="134" t="e">
        <v>#DIV/0!</v>
      </c>
      <c r="M422" s="135" t="e">
        <v>#DIV/0!</v>
      </c>
      <c r="N422" s="128"/>
      <c r="O422" s="128">
        <v>0</v>
      </c>
      <c r="P422" s="190"/>
    </row>
    <row r="423" spans="3:16" s="245" customFormat="1" ht="15" hidden="1" customHeight="1">
      <c r="C423" s="379"/>
      <c r="D423" s="122"/>
      <c r="E423" s="407" t="s">
        <v>296</v>
      </c>
      <c r="F423" s="129"/>
      <c r="G423" s="130"/>
      <c r="H423" s="130"/>
      <c r="I423" s="130"/>
      <c r="J423" s="130"/>
      <c r="K423" s="130"/>
      <c r="L423" s="130"/>
      <c r="M423" s="131"/>
      <c r="N423" s="132"/>
      <c r="O423" s="132"/>
      <c r="P423" s="190"/>
    </row>
    <row r="424" spans="3:16" s="245" customFormat="1" ht="15" hidden="1" customHeight="1">
      <c r="C424" s="379"/>
      <c r="D424" s="127">
        <v>10</v>
      </c>
      <c r="E424" s="406" t="s">
        <v>97</v>
      </c>
      <c r="F424" s="133">
        <v>0</v>
      </c>
      <c r="G424" s="134">
        <v>0</v>
      </c>
      <c r="H424" s="134">
        <v>0</v>
      </c>
      <c r="I424" s="134">
        <v>0</v>
      </c>
      <c r="J424" s="134">
        <v>0</v>
      </c>
      <c r="K424" s="134">
        <v>0</v>
      </c>
      <c r="L424" s="134">
        <v>0</v>
      </c>
      <c r="M424" s="135">
        <v>0</v>
      </c>
      <c r="N424" s="128">
        <v>0</v>
      </c>
      <c r="O424" s="128">
        <v>0</v>
      </c>
      <c r="P424" s="190"/>
    </row>
    <row r="425" spans="3:16" s="245" customFormat="1" ht="15" hidden="1" customHeight="1">
      <c r="C425" s="379"/>
      <c r="D425" s="127">
        <v>11</v>
      </c>
      <c r="E425" s="406" t="s">
        <v>600</v>
      </c>
      <c r="F425" s="133">
        <v>0</v>
      </c>
      <c r="G425" s="134">
        <v>0</v>
      </c>
      <c r="H425" s="134">
        <v>0</v>
      </c>
      <c r="I425" s="134">
        <v>0</v>
      </c>
      <c r="J425" s="134">
        <v>0</v>
      </c>
      <c r="K425" s="134">
        <v>0</v>
      </c>
      <c r="L425" s="134">
        <v>0</v>
      </c>
      <c r="M425" s="135">
        <v>0</v>
      </c>
      <c r="N425" s="128">
        <v>0</v>
      </c>
      <c r="O425" s="128">
        <v>0</v>
      </c>
      <c r="P425" s="190"/>
    </row>
    <row r="426" spans="3:16" s="245" customFormat="1" ht="15" hidden="1" customHeight="1">
      <c r="C426" s="379"/>
      <c r="D426" s="127">
        <v>12</v>
      </c>
      <c r="E426" s="406" t="s">
        <v>65</v>
      </c>
      <c r="F426" s="133" t="e">
        <v>#DIV/0!</v>
      </c>
      <c r="G426" s="134" t="e">
        <v>#DIV/0!</v>
      </c>
      <c r="H426" s="134" t="e">
        <v>#DIV/0!</v>
      </c>
      <c r="I426" s="134" t="e">
        <v>#DIV/0!</v>
      </c>
      <c r="J426" s="134" t="e">
        <v>#DIV/0!</v>
      </c>
      <c r="K426" s="134" t="e">
        <v>#DIV/0!</v>
      </c>
      <c r="L426" s="134" t="e">
        <v>#DIV/0!</v>
      </c>
      <c r="M426" s="135" t="e">
        <v>#DIV/0!</v>
      </c>
      <c r="N426" s="128" t="e">
        <v>#DIV/0!</v>
      </c>
      <c r="O426" s="128">
        <v>0</v>
      </c>
      <c r="P426" s="190"/>
    </row>
    <row r="427" spans="3:16" s="245" customFormat="1" ht="15" hidden="1" customHeight="1">
      <c r="C427" s="379"/>
      <c r="D427" s="127">
        <v>13</v>
      </c>
      <c r="E427" s="406" t="s">
        <v>18</v>
      </c>
      <c r="F427" s="133" t="e">
        <v>#DIV/0!</v>
      </c>
      <c r="G427" s="134" t="e">
        <v>#DIV/0!</v>
      </c>
      <c r="H427" s="134" t="e">
        <v>#DIV/0!</v>
      </c>
      <c r="I427" s="134" t="e">
        <v>#DIV/0!</v>
      </c>
      <c r="J427" s="134" t="e">
        <v>#DIV/0!</v>
      </c>
      <c r="K427" s="134" t="e">
        <v>#DIV/0!</v>
      </c>
      <c r="L427" s="134" t="e">
        <v>#DIV/0!</v>
      </c>
      <c r="M427" s="135" t="e">
        <v>#DIV/0!</v>
      </c>
      <c r="N427" s="128" t="e">
        <v>#DIV/0!</v>
      </c>
      <c r="O427" s="128">
        <v>0</v>
      </c>
      <c r="P427" s="190"/>
    </row>
    <row r="428" spans="3:16" s="245" customFormat="1" ht="15" hidden="1" customHeight="1">
      <c r="C428" s="379"/>
      <c r="D428" s="127">
        <v>14</v>
      </c>
      <c r="E428" s="406" t="s">
        <v>102</v>
      </c>
      <c r="F428" s="133" t="e">
        <v>#DIV/0!</v>
      </c>
      <c r="G428" s="134" t="e">
        <v>#DIV/0!</v>
      </c>
      <c r="H428" s="134" t="e">
        <v>#DIV/0!</v>
      </c>
      <c r="I428" s="134" t="e">
        <v>#DIV/0!</v>
      </c>
      <c r="J428" s="134" t="e">
        <v>#DIV/0!</v>
      </c>
      <c r="K428" s="134" t="e">
        <v>#DIV/0!</v>
      </c>
      <c r="L428" s="134" t="e">
        <v>#DIV/0!</v>
      </c>
      <c r="M428" s="135" t="e">
        <v>#DIV/0!</v>
      </c>
      <c r="N428" s="128" t="e">
        <v>#DIV/0!</v>
      </c>
      <c r="O428" s="128">
        <v>0</v>
      </c>
      <c r="P428" s="190"/>
    </row>
    <row r="429" spans="3:16" s="245" customFormat="1" ht="15" hidden="1" customHeight="1">
      <c r="C429" s="379"/>
      <c r="D429" s="127">
        <v>15</v>
      </c>
      <c r="E429" s="406" t="s">
        <v>22</v>
      </c>
      <c r="F429" s="133" t="e">
        <v>#DIV/0!</v>
      </c>
      <c r="G429" s="134" t="e">
        <v>#DIV/0!</v>
      </c>
      <c r="H429" s="134" t="e">
        <v>#DIV/0!</v>
      </c>
      <c r="I429" s="134" t="e">
        <v>#DIV/0!</v>
      </c>
      <c r="J429" s="134" t="e">
        <v>#DIV/0!</v>
      </c>
      <c r="K429" s="134" t="e">
        <v>#DIV/0!</v>
      </c>
      <c r="L429" s="134" t="e">
        <v>#DIV/0!</v>
      </c>
      <c r="M429" s="135" t="e">
        <v>#DIV/0!</v>
      </c>
      <c r="N429" s="128" t="e">
        <v>#DIV/0!</v>
      </c>
      <c r="O429" s="128">
        <v>0</v>
      </c>
      <c r="P429" s="190"/>
    </row>
    <row r="430" spans="3:16" s="245" customFormat="1" ht="15" hidden="1" customHeight="1">
      <c r="C430" s="379"/>
      <c r="D430" s="127">
        <v>16</v>
      </c>
      <c r="E430" s="406" t="s">
        <v>215</v>
      </c>
      <c r="F430" s="133">
        <v>0</v>
      </c>
      <c r="G430" s="134">
        <v>0</v>
      </c>
      <c r="H430" s="134">
        <v>0</v>
      </c>
      <c r="I430" s="134">
        <v>0</v>
      </c>
      <c r="J430" s="134">
        <v>0</v>
      </c>
      <c r="K430" s="134">
        <v>0</v>
      </c>
      <c r="L430" s="134">
        <v>0</v>
      </c>
      <c r="M430" s="135">
        <v>0</v>
      </c>
      <c r="N430" s="128">
        <v>0</v>
      </c>
      <c r="O430" s="128">
        <v>0</v>
      </c>
      <c r="P430" s="190"/>
    </row>
    <row r="431" spans="3:16" s="245" customFormat="1" ht="15" hidden="1" customHeight="1">
      <c r="C431" s="379"/>
      <c r="D431" s="127">
        <v>17</v>
      </c>
      <c r="E431" s="406" t="s">
        <v>6</v>
      </c>
      <c r="F431" s="133" t="e">
        <v>#DIV/0!</v>
      </c>
      <c r="G431" s="134" t="e">
        <v>#DIV/0!</v>
      </c>
      <c r="H431" s="134" t="e">
        <v>#DIV/0!</v>
      </c>
      <c r="I431" s="134" t="e">
        <v>#DIV/0!</v>
      </c>
      <c r="J431" s="134" t="e">
        <v>#DIV/0!</v>
      </c>
      <c r="K431" s="134" t="e">
        <v>#DIV/0!</v>
      </c>
      <c r="L431" s="134" t="e">
        <v>#DIV/0!</v>
      </c>
      <c r="M431" s="135" t="e">
        <v>#DIV/0!</v>
      </c>
      <c r="N431" s="128" t="e">
        <v>#DIV/0!</v>
      </c>
      <c r="O431" s="128">
        <v>0</v>
      </c>
      <c r="P431" s="155"/>
    </row>
    <row r="432" spans="3:16" s="245" customFormat="1" ht="15" hidden="1" customHeight="1">
      <c r="C432" s="379"/>
      <c r="D432" s="122"/>
      <c r="E432" s="407" t="s">
        <v>164</v>
      </c>
      <c r="F432" s="129"/>
      <c r="G432" s="130"/>
      <c r="H432" s="130"/>
      <c r="I432" s="130"/>
      <c r="J432" s="130"/>
      <c r="K432" s="130"/>
      <c r="L432" s="130"/>
      <c r="M432" s="131"/>
      <c r="N432" s="132"/>
      <c r="O432" s="132"/>
      <c r="P432" s="190"/>
    </row>
    <row r="433" spans="3:16" s="245" customFormat="1" ht="15" hidden="1" customHeight="1">
      <c r="C433" s="379"/>
      <c r="D433" s="127">
        <v>18</v>
      </c>
      <c r="E433" s="406" t="s">
        <v>97</v>
      </c>
      <c r="F433" s="133">
        <v>0</v>
      </c>
      <c r="G433" s="134">
        <v>0</v>
      </c>
      <c r="H433" s="134">
        <v>0</v>
      </c>
      <c r="I433" s="134">
        <v>0</v>
      </c>
      <c r="J433" s="134">
        <v>0</v>
      </c>
      <c r="K433" s="134">
        <v>0</v>
      </c>
      <c r="L433" s="134">
        <v>0</v>
      </c>
      <c r="M433" s="135">
        <v>0</v>
      </c>
      <c r="N433" s="128">
        <v>0</v>
      </c>
      <c r="O433" s="128">
        <v>0</v>
      </c>
      <c r="P433" s="190"/>
    </row>
    <row r="434" spans="3:16" s="245" customFormat="1" ht="15" hidden="1" customHeight="1">
      <c r="C434" s="379"/>
      <c r="D434" s="127">
        <v>19</v>
      </c>
      <c r="E434" s="406" t="s">
        <v>600</v>
      </c>
      <c r="F434" s="133">
        <v>0</v>
      </c>
      <c r="G434" s="134">
        <v>0</v>
      </c>
      <c r="H434" s="134">
        <v>0</v>
      </c>
      <c r="I434" s="134">
        <v>0</v>
      </c>
      <c r="J434" s="134">
        <v>0</v>
      </c>
      <c r="K434" s="134">
        <v>0</v>
      </c>
      <c r="L434" s="134">
        <v>0</v>
      </c>
      <c r="M434" s="135">
        <v>0</v>
      </c>
      <c r="N434" s="128">
        <v>0</v>
      </c>
      <c r="O434" s="128">
        <v>0</v>
      </c>
      <c r="P434" s="155"/>
    </row>
    <row r="435" spans="3:16" s="245" customFormat="1" ht="15" hidden="1" customHeight="1">
      <c r="C435" s="379"/>
      <c r="D435" s="127">
        <v>20</v>
      </c>
      <c r="E435" s="406" t="s">
        <v>65</v>
      </c>
      <c r="F435" s="133" t="e">
        <v>#DIV/0!</v>
      </c>
      <c r="G435" s="134" t="e">
        <v>#DIV/0!</v>
      </c>
      <c r="H435" s="134" t="e">
        <v>#DIV/0!</v>
      </c>
      <c r="I435" s="134" t="e">
        <v>#DIV/0!</v>
      </c>
      <c r="J435" s="134" t="e">
        <v>#DIV/0!</v>
      </c>
      <c r="K435" s="134" t="e">
        <v>#DIV/0!</v>
      </c>
      <c r="L435" s="134" t="e">
        <v>#DIV/0!</v>
      </c>
      <c r="M435" s="135" t="e">
        <v>#DIV/0!</v>
      </c>
      <c r="N435" s="128" t="e">
        <v>#DIV/0!</v>
      </c>
      <c r="O435" s="128">
        <v>0</v>
      </c>
      <c r="P435" s="155"/>
    </row>
    <row r="436" spans="3:16" s="245" customFormat="1" ht="15" hidden="1" customHeight="1">
      <c r="C436" s="379"/>
      <c r="D436" s="127">
        <v>21</v>
      </c>
      <c r="E436" s="406" t="s">
        <v>18</v>
      </c>
      <c r="F436" s="133" t="e">
        <v>#DIV/0!</v>
      </c>
      <c r="G436" s="134" t="e">
        <v>#DIV/0!</v>
      </c>
      <c r="H436" s="134" t="e">
        <v>#DIV/0!</v>
      </c>
      <c r="I436" s="134" t="e">
        <v>#DIV/0!</v>
      </c>
      <c r="J436" s="134" t="e">
        <v>#DIV/0!</v>
      </c>
      <c r="K436" s="134" t="e">
        <v>#DIV/0!</v>
      </c>
      <c r="L436" s="134" t="e">
        <v>#DIV/0!</v>
      </c>
      <c r="M436" s="135" t="e">
        <v>#DIV/0!</v>
      </c>
      <c r="N436" s="128" t="e">
        <v>#DIV/0!</v>
      </c>
      <c r="O436" s="128">
        <v>0</v>
      </c>
      <c r="P436" s="155"/>
    </row>
    <row r="437" spans="3:16" s="245" customFormat="1" ht="15" hidden="1" customHeight="1">
      <c r="C437" s="379"/>
      <c r="D437" s="127">
        <v>22</v>
      </c>
      <c r="E437" s="406" t="s">
        <v>102</v>
      </c>
      <c r="F437" s="133" t="e">
        <v>#DIV/0!</v>
      </c>
      <c r="G437" s="134" t="e">
        <v>#DIV/0!</v>
      </c>
      <c r="H437" s="134" t="e">
        <v>#DIV/0!</v>
      </c>
      <c r="I437" s="134" t="e">
        <v>#DIV/0!</v>
      </c>
      <c r="J437" s="134" t="e">
        <v>#DIV/0!</v>
      </c>
      <c r="K437" s="134" t="e">
        <v>#DIV/0!</v>
      </c>
      <c r="L437" s="134" t="e">
        <v>#DIV/0!</v>
      </c>
      <c r="M437" s="135" t="e">
        <v>#DIV/0!</v>
      </c>
      <c r="N437" s="128" t="e">
        <v>#DIV/0!</v>
      </c>
      <c r="O437" s="128">
        <v>0</v>
      </c>
      <c r="P437" s="155"/>
    </row>
    <row r="438" spans="3:16" s="245" customFormat="1" ht="15" hidden="1" customHeight="1">
      <c r="C438" s="379"/>
      <c r="D438" s="127">
        <v>23</v>
      </c>
      <c r="E438" s="406" t="s">
        <v>22</v>
      </c>
      <c r="F438" s="133" t="e">
        <v>#DIV/0!</v>
      </c>
      <c r="G438" s="134" t="e">
        <v>#DIV/0!</v>
      </c>
      <c r="H438" s="134" t="e">
        <v>#DIV/0!</v>
      </c>
      <c r="I438" s="134" t="e">
        <v>#DIV/0!</v>
      </c>
      <c r="J438" s="134" t="e">
        <v>#DIV/0!</v>
      </c>
      <c r="K438" s="134" t="e">
        <v>#DIV/0!</v>
      </c>
      <c r="L438" s="134" t="e">
        <v>#DIV/0!</v>
      </c>
      <c r="M438" s="135" t="e">
        <v>#DIV/0!</v>
      </c>
      <c r="N438" s="128" t="e">
        <v>#DIV/0!</v>
      </c>
      <c r="O438" s="128">
        <v>0</v>
      </c>
      <c r="P438" s="155"/>
    </row>
    <row r="439" spans="3:16" s="245" customFormat="1" ht="15" hidden="1" customHeight="1">
      <c r="C439" s="379"/>
      <c r="D439" s="127">
        <v>24</v>
      </c>
      <c r="E439" s="406" t="s">
        <v>215</v>
      </c>
      <c r="F439" s="133">
        <v>0</v>
      </c>
      <c r="G439" s="134">
        <v>0</v>
      </c>
      <c r="H439" s="134">
        <v>0</v>
      </c>
      <c r="I439" s="134">
        <v>0</v>
      </c>
      <c r="J439" s="134">
        <v>0</v>
      </c>
      <c r="K439" s="134">
        <v>0</v>
      </c>
      <c r="L439" s="134">
        <v>0</v>
      </c>
      <c r="M439" s="135">
        <v>0</v>
      </c>
      <c r="N439" s="128">
        <v>0</v>
      </c>
      <c r="O439" s="128">
        <v>0</v>
      </c>
      <c r="P439" s="155"/>
    </row>
    <row r="440" spans="3:16" s="245" customFormat="1" ht="15" hidden="1" customHeight="1">
      <c r="C440" s="379"/>
      <c r="D440" s="127">
        <v>25</v>
      </c>
      <c r="E440" s="406" t="s">
        <v>6</v>
      </c>
      <c r="F440" s="133" t="e">
        <v>#DIV/0!</v>
      </c>
      <c r="G440" s="134" t="e">
        <v>#DIV/0!</v>
      </c>
      <c r="H440" s="134" t="e">
        <v>#DIV/0!</v>
      </c>
      <c r="I440" s="134" t="e">
        <v>#DIV/0!</v>
      </c>
      <c r="J440" s="134" t="e">
        <v>#DIV/0!</v>
      </c>
      <c r="K440" s="134" t="e">
        <v>#DIV/0!</v>
      </c>
      <c r="L440" s="134" t="e">
        <v>#DIV/0!</v>
      </c>
      <c r="M440" s="135" t="e">
        <v>#DIV/0!</v>
      </c>
      <c r="N440" s="128" t="e">
        <v>#DIV/0!</v>
      </c>
      <c r="O440" s="128">
        <v>0</v>
      </c>
      <c r="P440" s="155"/>
    </row>
    <row r="441" spans="3:16" s="245" customFormat="1" ht="15" hidden="1" customHeight="1">
      <c r="C441" s="379"/>
      <c r="D441" s="122"/>
      <c r="E441" s="407" t="s">
        <v>19</v>
      </c>
      <c r="F441" s="129"/>
      <c r="G441" s="130"/>
      <c r="H441" s="130"/>
      <c r="I441" s="130"/>
      <c r="J441" s="130"/>
      <c r="K441" s="130"/>
      <c r="L441" s="130"/>
      <c r="M441" s="131"/>
      <c r="N441" s="408"/>
      <c r="O441" s="136"/>
      <c r="P441" s="155"/>
    </row>
    <row r="442" spans="3:16" s="245" customFormat="1" ht="15" hidden="1" customHeight="1">
      <c r="C442" s="379"/>
      <c r="D442" s="127">
        <v>26</v>
      </c>
      <c r="E442" s="406" t="s">
        <v>460</v>
      </c>
      <c r="F442" s="133" t="e">
        <v>#DIV/0!</v>
      </c>
      <c r="G442" s="134" t="e">
        <v>#DIV/0!</v>
      </c>
      <c r="H442" s="134" t="e">
        <v>#DIV/0!</v>
      </c>
      <c r="I442" s="134" t="e">
        <v>#DIV/0!</v>
      </c>
      <c r="J442" s="134" t="e">
        <v>#DIV/0!</v>
      </c>
      <c r="K442" s="134" t="e">
        <v>#DIV/0!</v>
      </c>
      <c r="L442" s="134" t="e">
        <v>#DIV/0!</v>
      </c>
      <c r="M442" s="135" t="e">
        <v>#DIV/0!</v>
      </c>
      <c r="N442" s="128" t="e">
        <v>#DIV/0!</v>
      </c>
      <c r="O442" s="128">
        <v>0</v>
      </c>
      <c r="P442" s="155"/>
    </row>
    <row r="443" spans="3:16" s="245" customFormat="1" ht="15" hidden="1" customHeight="1">
      <c r="C443" s="379"/>
      <c r="D443" s="127">
        <v>27</v>
      </c>
      <c r="E443" s="406" t="s">
        <v>58</v>
      </c>
      <c r="F443" s="133">
        <v>0</v>
      </c>
      <c r="G443" s="134">
        <v>0</v>
      </c>
      <c r="H443" s="134">
        <v>0</v>
      </c>
      <c r="I443" s="134">
        <v>0</v>
      </c>
      <c r="J443" s="134">
        <v>0</v>
      </c>
      <c r="K443" s="134">
        <v>0</v>
      </c>
      <c r="L443" s="134">
        <v>0</v>
      </c>
      <c r="M443" s="135">
        <v>0</v>
      </c>
      <c r="N443" s="128">
        <v>0</v>
      </c>
      <c r="O443" s="128">
        <v>0</v>
      </c>
      <c r="P443" s="155"/>
    </row>
    <row r="444" spans="3:16" s="245" customFormat="1" ht="15" hidden="1" customHeight="1">
      <c r="C444" s="379"/>
      <c r="D444" s="127">
        <v>28</v>
      </c>
      <c r="E444" s="406" t="s">
        <v>43</v>
      </c>
      <c r="F444" s="137" t="e">
        <v>#DIV/0!</v>
      </c>
      <c r="G444" s="134" t="e">
        <v>#DIV/0!</v>
      </c>
      <c r="H444" s="134" t="e">
        <v>#DIV/0!</v>
      </c>
      <c r="I444" s="134" t="e">
        <v>#DIV/0!</v>
      </c>
      <c r="J444" s="134" t="e">
        <v>#DIV/0!</v>
      </c>
      <c r="K444" s="134" t="e">
        <v>#DIV/0!</v>
      </c>
      <c r="L444" s="134" t="e">
        <v>#DIV/0!</v>
      </c>
      <c r="M444" s="135" t="e">
        <v>#DIV/0!</v>
      </c>
      <c r="N444" s="128" t="e">
        <v>#DIV/0!</v>
      </c>
      <c r="O444" s="128">
        <v>0</v>
      </c>
      <c r="P444" s="155"/>
    </row>
    <row r="445" spans="3:16" s="245" customFormat="1" ht="15" hidden="1" customHeight="1">
      <c r="C445" s="379"/>
      <c r="D445" s="127">
        <v>29</v>
      </c>
      <c r="E445" s="406" t="s">
        <v>739</v>
      </c>
      <c r="F445" s="137">
        <v>0</v>
      </c>
      <c r="G445" s="134">
        <v>0</v>
      </c>
      <c r="H445" s="134">
        <v>0</v>
      </c>
      <c r="I445" s="134">
        <v>0</v>
      </c>
      <c r="J445" s="134">
        <v>0</v>
      </c>
      <c r="K445" s="134">
        <v>0</v>
      </c>
      <c r="L445" s="134">
        <v>0</v>
      </c>
      <c r="M445" s="135">
        <v>0</v>
      </c>
      <c r="N445" s="128">
        <v>0</v>
      </c>
      <c r="O445" s="128">
        <v>0</v>
      </c>
      <c r="P445" s="155"/>
    </row>
    <row r="446" spans="3:16" s="245" customFormat="1" ht="15" hidden="1" customHeight="1">
      <c r="C446" s="379"/>
      <c r="D446" s="127">
        <v>30</v>
      </c>
      <c r="E446" s="406" t="s">
        <v>770</v>
      </c>
      <c r="F446" s="431">
        <v>0</v>
      </c>
      <c r="G446" s="137">
        <v>0</v>
      </c>
      <c r="H446" s="137">
        <v>0</v>
      </c>
      <c r="I446" s="137">
        <v>0</v>
      </c>
      <c r="J446" s="137">
        <v>0</v>
      </c>
      <c r="K446" s="137">
        <v>0</v>
      </c>
      <c r="L446" s="137">
        <v>0</v>
      </c>
      <c r="M446" s="137">
        <v>0</v>
      </c>
      <c r="N446" s="128">
        <v>0</v>
      </c>
      <c r="O446" s="128">
        <v>0</v>
      </c>
      <c r="P446" s="155"/>
    </row>
    <row r="447" spans="3:16" s="245" customFormat="1" ht="15" hidden="1" customHeight="1">
      <c r="C447" s="379"/>
      <c r="D447" s="127">
        <v>31</v>
      </c>
      <c r="E447" s="406" t="s">
        <v>764</v>
      </c>
      <c r="F447" s="137">
        <v>0</v>
      </c>
      <c r="G447" s="134">
        <v>0</v>
      </c>
      <c r="H447" s="134">
        <v>0</v>
      </c>
      <c r="I447" s="134">
        <v>0</v>
      </c>
      <c r="J447" s="134">
        <v>0</v>
      </c>
      <c r="K447" s="134">
        <v>0</v>
      </c>
      <c r="L447" s="134">
        <v>0</v>
      </c>
      <c r="M447" s="135">
        <v>0</v>
      </c>
      <c r="N447" s="128">
        <v>0</v>
      </c>
      <c r="O447" s="128">
        <v>0</v>
      </c>
      <c r="P447" s="155"/>
    </row>
    <row r="448" spans="3:16" s="245" customFormat="1" ht="15" hidden="1" customHeight="1">
      <c r="C448" s="379"/>
      <c r="D448" s="127">
        <v>32</v>
      </c>
      <c r="E448" s="406" t="s">
        <v>9</v>
      </c>
      <c r="F448" s="137" t="e">
        <v>#DIV/0!</v>
      </c>
      <c r="G448" s="134" t="e">
        <v>#DIV/0!</v>
      </c>
      <c r="H448" s="134" t="e">
        <v>#DIV/0!</v>
      </c>
      <c r="I448" s="134" t="e">
        <v>#DIV/0!</v>
      </c>
      <c r="J448" s="134" t="e">
        <v>#DIV/0!</v>
      </c>
      <c r="K448" s="134" t="e">
        <v>#DIV/0!</v>
      </c>
      <c r="L448" s="134" t="e">
        <v>#DIV/0!</v>
      </c>
      <c r="M448" s="367" t="e">
        <v>#DIV/0!</v>
      </c>
      <c r="N448" s="128" t="e">
        <v>#DIV/0!</v>
      </c>
      <c r="O448" s="128">
        <v>0</v>
      </c>
      <c r="P448" s="155"/>
    </row>
    <row r="449" spans="3:16" s="245" customFormat="1" ht="15" hidden="1" customHeight="1">
      <c r="C449" s="379"/>
      <c r="D449" s="122"/>
      <c r="E449" s="407" t="s">
        <v>173</v>
      </c>
      <c r="F449" s="129"/>
      <c r="G449" s="130"/>
      <c r="H449" s="130"/>
      <c r="I449" s="130"/>
      <c r="J449" s="130"/>
      <c r="K449" s="198"/>
      <c r="L449" s="130"/>
      <c r="M449" s="131"/>
      <c r="N449" s="408"/>
      <c r="O449" s="136"/>
      <c r="P449" s="155"/>
    </row>
    <row r="450" spans="3:16" s="245" customFormat="1" ht="15" hidden="1" customHeight="1">
      <c r="C450" s="379"/>
      <c r="D450" s="127">
        <v>33</v>
      </c>
      <c r="E450" s="406" t="s">
        <v>173</v>
      </c>
      <c r="F450" s="133" t="e">
        <v>#DIV/0!</v>
      </c>
      <c r="G450" s="134" t="e">
        <v>#DIV/0!</v>
      </c>
      <c r="H450" s="134" t="e">
        <v>#DIV/0!</v>
      </c>
      <c r="I450" s="134" t="e">
        <v>#DIV/0!</v>
      </c>
      <c r="J450" s="134" t="e">
        <v>#DIV/0!</v>
      </c>
      <c r="K450" s="134" t="e">
        <v>#DIV/0!</v>
      </c>
      <c r="L450" s="134" t="e">
        <v>#DIV/0!</v>
      </c>
      <c r="M450" s="135" t="e">
        <v>#DIV/0!</v>
      </c>
      <c r="N450" s="128" t="e">
        <v>#DIV/0!</v>
      </c>
      <c r="O450" s="128">
        <v>0</v>
      </c>
      <c r="P450" s="155"/>
    </row>
    <row r="451" spans="3:16" s="245" customFormat="1" ht="15" hidden="1" customHeight="1">
      <c r="C451" s="379"/>
      <c r="D451" s="127">
        <v>34</v>
      </c>
      <c r="E451" s="406" t="s">
        <v>187</v>
      </c>
      <c r="F451" s="133">
        <v>0</v>
      </c>
      <c r="G451" s="134">
        <v>0</v>
      </c>
      <c r="H451" s="134">
        <v>0</v>
      </c>
      <c r="I451" s="134">
        <v>0</v>
      </c>
      <c r="J451" s="134">
        <v>0</v>
      </c>
      <c r="K451" s="134">
        <v>0</v>
      </c>
      <c r="L451" s="134">
        <v>0</v>
      </c>
      <c r="M451" s="135">
        <v>0</v>
      </c>
      <c r="N451" s="128">
        <v>0</v>
      </c>
      <c r="O451" s="128">
        <v>0</v>
      </c>
      <c r="P451" s="155"/>
    </row>
    <row r="452" spans="3:16" s="245" customFormat="1" ht="15" hidden="1" customHeight="1">
      <c r="C452" s="378"/>
      <c r="D452" s="122"/>
      <c r="E452" s="407" t="s">
        <v>297</v>
      </c>
      <c r="F452" s="129"/>
      <c r="G452" s="130"/>
      <c r="H452" s="130"/>
      <c r="I452" s="130"/>
      <c r="J452" s="130"/>
      <c r="K452" s="198"/>
      <c r="L452" s="130"/>
      <c r="M452" s="131"/>
      <c r="N452" s="408"/>
      <c r="O452" s="136"/>
      <c r="P452" s="155"/>
    </row>
    <row r="453" spans="3:16" s="245" customFormat="1" ht="15" hidden="1" customHeight="1">
      <c r="C453" s="378"/>
      <c r="D453" s="127">
        <v>35</v>
      </c>
      <c r="E453" s="409">
        <v>42460</v>
      </c>
      <c r="F453" s="137" t="e">
        <v>#DIV/0!</v>
      </c>
      <c r="G453" s="134" t="e">
        <v>#DIV/0!</v>
      </c>
      <c r="H453" s="134" t="e">
        <v>#DIV/0!</v>
      </c>
      <c r="I453" s="134" t="e">
        <v>#DIV/0!</v>
      </c>
      <c r="J453" s="134" t="e">
        <v>#DIV/0!</v>
      </c>
      <c r="K453" s="134" t="e">
        <v>#DIV/0!</v>
      </c>
      <c r="L453" s="134" t="e">
        <v>#DIV/0!</v>
      </c>
      <c r="M453" s="135" t="e">
        <v>#DIV/0!</v>
      </c>
      <c r="N453" s="128" t="e">
        <v>#DIV/0!</v>
      </c>
      <c r="O453" s="128">
        <v>0</v>
      </c>
      <c r="P453" s="155"/>
    </row>
    <row r="454" spans="3:16" s="245" customFormat="1" ht="15" hidden="1" customHeight="1">
      <c r="C454" s="378"/>
      <c r="D454" s="127">
        <v>36</v>
      </c>
      <c r="E454" s="409">
        <v>42825</v>
      </c>
      <c r="F454" s="137" t="s">
        <v>196</v>
      </c>
      <c r="G454" s="134" t="s">
        <v>196</v>
      </c>
      <c r="H454" s="134" t="s">
        <v>196</v>
      </c>
      <c r="I454" s="134" t="s">
        <v>196</v>
      </c>
      <c r="J454" s="134" t="s">
        <v>196</v>
      </c>
      <c r="K454" s="134" t="s">
        <v>196</v>
      </c>
      <c r="L454" s="134" t="s">
        <v>196</v>
      </c>
      <c r="M454" s="135" t="s">
        <v>196</v>
      </c>
      <c r="N454" s="128">
        <v>0</v>
      </c>
      <c r="O454" s="128">
        <v>0</v>
      </c>
      <c r="P454" s="155"/>
    </row>
    <row r="455" spans="3:16" s="245" customFormat="1" ht="15" hidden="1" customHeight="1">
      <c r="C455" s="378"/>
      <c r="D455" s="127">
        <v>37</v>
      </c>
      <c r="E455" s="409">
        <v>43190</v>
      </c>
      <c r="F455" s="137" t="s">
        <v>196</v>
      </c>
      <c r="G455" s="134" t="s">
        <v>196</v>
      </c>
      <c r="H455" s="134" t="s">
        <v>196</v>
      </c>
      <c r="I455" s="134" t="s">
        <v>196</v>
      </c>
      <c r="J455" s="134" t="s">
        <v>196</v>
      </c>
      <c r="K455" s="134" t="s">
        <v>196</v>
      </c>
      <c r="L455" s="134" t="s">
        <v>196</v>
      </c>
      <c r="M455" s="135" t="s">
        <v>196</v>
      </c>
      <c r="N455" s="128">
        <v>0</v>
      </c>
      <c r="O455" s="128">
        <v>0</v>
      </c>
      <c r="P455" s="190"/>
    </row>
    <row r="456" spans="3:16" s="245" customFormat="1" ht="15" hidden="1" customHeight="1">
      <c r="C456" s="378"/>
      <c r="D456" s="127">
        <v>38</v>
      </c>
      <c r="E456" s="409">
        <v>43555</v>
      </c>
      <c r="F456" s="137" t="s">
        <v>196</v>
      </c>
      <c r="G456" s="134" t="s">
        <v>196</v>
      </c>
      <c r="H456" s="134" t="s">
        <v>196</v>
      </c>
      <c r="I456" s="134" t="s">
        <v>196</v>
      </c>
      <c r="J456" s="134" t="s">
        <v>196</v>
      </c>
      <c r="K456" s="134" t="s">
        <v>196</v>
      </c>
      <c r="L456" s="134" t="s">
        <v>196</v>
      </c>
      <c r="M456" s="135" t="s">
        <v>196</v>
      </c>
      <c r="N456" s="128">
        <v>0</v>
      </c>
      <c r="O456" s="128">
        <v>0</v>
      </c>
      <c r="P456" s="190"/>
    </row>
    <row r="457" spans="3:16" s="245" customFormat="1" ht="15" hidden="1" customHeight="1">
      <c r="C457" s="378"/>
      <c r="D457" s="127">
        <v>39</v>
      </c>
      <c r="E457" s="409">
        <v>43921</v>
      </c>
      <c r="F457" s="137" t="s">
        <v>196</v>
      </c>
      <c r="G457" s="134" t="s">
        <v>196</v>
      </c>
      <c r="H457" s="134" t="s">
        <v>196</v>
      </c>
      <c r="I457" s="134" t="s">
        <v>196</v>
      </c>
      <c r="J457" s="134" t="s">
        <v>196</v>
      </c>
      <c r="K457" s="134" t="s">
        <v>196</v>
      </c>
      <c r="L457" s="134" t="s">
        <v>196</v>
      </c>
      <c r="M457" s="135" t="s">
        <v>196</v>
      </c>
      <c r="N457" s="128">
        <v>0</v>
      </c>
      <c r="O457" s="128">
        <v>0</v>
      </c>
      <c r="P457" s="190"/>
    </row>
    <row r="458" spans="3:16" s="245" customFormat="1" ht="15" hidden="1" customHeight="1">
      <c r="C458" s="378"/>
      <c r="D458" s="127">
        <v>40</v>
      </c>
      <c r="E458" s="409">
        <v>44286</v>
      </c>
      <c r="F458" s="137" t="s">
        <v>196</v>
      </c>
      <c r="G458" s="134" t="s">
        <v>196</v>
      </c>
      <c r="H458" s="134" t="s">
        <v>196</v>
      </c>
      <c r="I458" s="134" t="s">
        <v>196</v>
      </c>
      <c r="J458" s="134" t="s">
        <v>196</v>
      </c>
      <c r="K458" s="134" t="s">
        <v>196</v>
      </c>
      <c r="L458" s="134" t="s">
        <v>196</v>
      </c>
      <c r="M458" s="135" t="s">
        <v>196</v>
      </c>
      <c r="N458" s="128">
        <v>0</v>
      </c>
      <c r="O458" s="128">
        <v>0</v>
      </c>
      <c r="P458" s="155"/>
    </row>
    <row r="459" spans="3:16" s="245" customFormat="1" ht="15" hidden="1" customHeight="1">
      <c r="C459" s="378"/>
      <c r="D459" s="127">
        <v>41</v>
      </c>
      <c r="E459" s="409">
        <v>44651</v>
      </c>
      <c r="F459" s="137" t="s">
        <v>196</v>
      </c>
      <c r="G459" s="134" t="s">
        <v>196</v>
      </c>
      <c r="H459" s="134" t="s">
        <v>196</v>
      </c>
      <c r="I459" s="134" t="s">
        <v>196</v>
      </c>
      <c r="J459" s="134" t="s">
        <v>196</v>
      </c>
      <c r="K459" s="134" t="s">
        <v>196</v>
      </c>
      <c r="L459" s="134" t="s">
        <v>196</v>
      </c>
      <c r="M459" s="135" t="s">
        <v>196</v>
      </c>
      <c r="N459" s="128">
        <v>0</v>
      </c>
      <c r="O459" s="128">
        <v>0</v>
      </c>
      <c r="P459" s="190"/>
    </row>
    <row r="460" spans="3:16" s="245" customFormat="1" ht="15" hidden="1" customHeight="1">
      <c r="C460" s="378"/>
      <c r="D460" s="127">
        <v>42</v>
      </c>
      <c r="E460" s="409">
        <v>45016</v>
      </c>
      <c r="F460" s="137" t="s">
        <v>196</v>
      </c>
      <c r="G460" s="134" t="s">
        <v>196</v>
      </c>
      <c r="H460" s="134" t="s">
        <v>196</v>
      </c>
      <c r="I460" s="134" t="s">
        <v>196</v>
      </c>
      <c r="J460" s="134" t="s">
        <v>196</v>
      </c>
      <c r="K460" s="134" t="s">
        <v>196</v>
      </c>
      <c r="L460" s="134" t="s">
        <v>196</v>
      </c>
      <c r="M460" s="135" t="s">
        <v>196</v>
      </c>
      <c r="N460" s="128">
        <v>0</v>
      </c>
      <c r="O460" s="128">
        <v>0</v>
      </c>
      <c r="P460" s="190"/>
    </row>
    <row r="461" spans="3:16" s="245" customFormat="1" ht="15" hidden="1" customHeight="1">
      <c r="C461" s="378"/>
      <c r="D461" s="122"/>
      <c r="E461" s="407" t="s">
        <v>461</v>
      </c>
      <c r="F461" s="129"/>
      <c r="G461" s="130"/>
      <c r="H461" s="130"/>
      <c r="I461" s="130"/>
      <c r="J461" s="130"/>
      <c r="K461" s="198"/>
      <c r="L461" s="130"/>
      <c r="M461" s="131"/>
      <c r="N461" s="408"/>
      <c r="O461" s="136"/>
      <c r="P461" s="190"/>
    </row>
    <row r="462" spans="3:16" s="245" customFormat="1" ht="15" hidden="1" customHeight="1">
      <c r="C462" s="378"/>
      <c r="D462" s="127">
        <v>43</v>
      </c>
      <c r="E462" s="409">
        <v>42460</v>
      </c>
      <c r="F462" s="137">
        <v>0</v>
      </c>
      <c r="G462" s="134">
        <v>0</v>
      </c>
      <c r="H462" s="134">
        <v>0</v>
      </c>
      <c r="I462" s="134">
        <v>0</v>
      </c>
      <c r="J462" s="134">
        <v>0</v>
      </c>
      <c r="K462" s="134">
        <v>0</v>
      </c>
      <c r="L462" s="134">
        <v>0</v>
      </c>
      <c r="M462" s="135">
        <v>0</v>
      </c>
      <c r="N462" s="128">
        <v>0</v>
      </c>
      <c r="O462" s="128"/>
      <c r="P462" s="190"/>
    </row>
    <row r="463" spans="3:16" s="245" customFormat="1" ht="15" hidden="1" customHeight="1">
      <c r="C463" s="378"/>
      <c r="D463" s="127">
        <v>44</v>
      </c>
      <c r="E463" s="409">
        <v>42825</v>
      </c>
      <c r="F463" s="137" t="s">
        <v>196</v>
      </c>
      <c r="G463" s="134" t="s">
        <v>196</v>
      </c>
      <c r="H463" s="134" t="s">
        <v>196</v>
      </c>
      <c r="I463" s="134" t="s">
        <v>196</v>
      </c>
      <c r="J463" s="134" t="s">
        <v>196</v>
      </c>
      <c r="K463" s="134" t="s">
        <v>196</v>
      </c>
      <c r="L463" s="134" t="s">
        <v>196</v>
      </c>
      <c r="M463" s="135" t="s">
        <v>196</v>
      </c>
      <c r="N463" s="128">
        <v>0</v>
      </c>
      <c r="O463" s="128"/>
      <c r="P463" s="190"/>
    </row>
    <row r="464" spans="3:16" s="245" customFormat="1" ht="15" hidden="1" customHeight="1">
      <c r="C464" s="378"/>
      <c r="D464" s="127">
        <v>45</v>
      </c>
      <c r="E464" s="409">
        <v>43190</v>
      </c>
      <c r="F464" s="137" t="s">
        <v>196</v>
      </c>
      <c r="G464" s="134" t="s">
        <v>196</v>
      </c>
      <c r="H464" s="134" t="s">
        <v>196</v>
      </c>
      <c r="I464" s="134" t="s">
        <v>196</v>
      </c>
      <c r="J464" s="134" t="s">
        <v>196</v>
      </c>
      <c r="K464" s="134" t="s">
        <v>196</v>
      </c>
      <c r="L464" s="134" t="s">
        <v>196</v>
      </c>
      <c r="M464" s="135" t="s">
        <v>196</v>
      </c>
      <c r="N464" s="128">
        <v>0</v>
      </c>
      <c r="O464" s="128"/>
      <c r="P464" s="190"/>
    </row>
    <row r="465" spans="3:16" s="245" customFormat="1" ht="15" hidden="1" customHeight="1">
      <c r="C465" s="378"/>
      <c r="D465" s="127">
        <v>46</v>
      </c>
      <c r="E465" s="409">
        <v>43555</v>
      </c>
      <c r="F465" s="137" t="s">
        <v>196</v>
      </c>
      <c r="G465" s="134" t="s">
        <v>196</v>
      </c>
      <c r="H465" s="134" t="s">
        <v>196</v>
      </c>
      <c r="I465" s="134" t="s">
        <v>196</v>
      </c>
      <c r="J465" s="134" t="s">
        <v>196</v>
      </c>
      <c r="K465" s="134" t="s">
        <v>196</v>
      </c>
      <c r="L465" s="134" t="s">
        <v>196</v>
      </c>
      <c r="M465" s="135" t="s">
        <v>196</v>
      </c>
      <c r="N465" s="128">
        <v>0</v>
      </c>
      <c r="O465" s="128"/>
      <c r="P465" s="190"/>
    </row>
    <row r="466" spans="3:16" s="245" customFormat="1" ht="15" hidden="1" customHeight="1">
      <c r="C466" s="378"/>
      <c r="D466" s="127">
        <v>47</v>
      </c>
      <c r="E466" s="409">
        <v>43921</v>
      </c>
      <c r="F466" s="137" t="s">
        <v>196</v>
      </c>
      <c r="G466" s="134" t="s">
        <v>196</v>
      </c>
      <c r="H466" s="134" t="s">
        <v>196</v>
      </c>
      <c r="I466" s="134" t="s">
        <v>196</v>
      </c>
      <c r="J466" s="134" t="s">
        <v>196</v>
      </c>
      <c r="K466" s="134" t="s">
        <v>196</v>
      </c>
      <c r="L466" s="134" t="s">
        <v>196</v>
      </c>
      <c r="M466" s="135" t="s">
        <v>196</v>
      </c>
      <c r="N466" s="128">
        <v>0</v>
      </c>
      <c r="O466" s="128"/>
      <c r="P466" s="190"/>
    </row>
    <row r="467" spans="3:16" s="245" customFormat="1" ht="15" hidden="1" customHeight="1">
      <c r="C467" s="378"/>
      <c r="D467" s="127">
        <v>48</v>
      </c>
      <c r="E467" s="409">
        <v>44286</v>
      </c>
      <c r="F467" s="137" t="s">
        <v>196</v>
      </c>
      <c r="G467" s="134" t="s">
        <v>196</v>
      </c>
      <c r="H467" s="134" t="s">
        <v>196</v>
      </c>
      <c r="I467" s="134" t="s">
        <v>196</v>
      </c>
      <c r="J467" s="134" t="s">
        <v>196</v>
      </c>
      <c r="K467" s="134" t="s">
        <v>196</v>
      </c>
      <c r="L467" s="134" t="s">
        <v>196</v>
      </c>
      <c r="M467" s="135" t="s">
        <v>196</v>
      </c>
      <c r="N467" s="128">
        <v>0</v>
      </c>
      <c r="O467" s="128"/>
      <c r="P467" s="190"/>
    </row>
    <row r="468" spans="3:16" s="245" customFormat="1" ht="15" hidden="1" customHeight="1">
      <c r="C468" s="378"/>
      <c r="D468" s="127">
        <v>49</v>
      </c>
      <c r="E468" s="409">
        <v>44651</v>
      </c>
      <c r="F468" s="137" t="s">
        <v>196</v>
      </c>
      <c r="G468" s="134" t="s">
        <v>196</v>
      </c>
      <c r="H468" s="134" t="s">
        <v>196</v>
      </c>
      <c r="I468" s="134" t="s">
        <v>196</v>
      </c>
      <c r="J468" s="134" t="s">
        <v>196</v>
      </c>
      <c r="K468" s="134" t="s">
        <v>196</v>
      </c>
      <c r="L468" s="134" t="s">
        <v>196</v>
      </c>
      <c r="M468" s="135" t="s">
        <v>196</v>
      </c>
      <c r="N468" s="128">
        <v>0</v>
      </c>
      <c r="O468" s="128"/>
      <c r="P468" s="155"/>
    </row>
    <row r="469" spans="3:16" s="245" customFormat="1" ht="15" hidden="1" customHeight="1">
      <c r="C469" s="378"/>
      <c r="D469" s="127">
        <v>50</v>
      </c>
      <c r="E469" s="409">
        <v>45016</v>
      </c>
      <c r="F469" s="137" t="s">
        <v>196</v>
      </c>
      <c r="G469" s="134" t="s">
        <v>196</v>
      </c>
      <c r="H469" s="134" t="s">
        <v>196</v>
      </c>
      <c r="I469" s="134" t="s">
        <v>196</v>
      </c>
      <c r="J469" s="134" t="s">
        <v>196</v>
      </c>
      <c r="K469" s="134" t="s">
        <v>196</v>
      </c>
      <c r="L469" s="134" t="s">
        <v>196</v>
      </c>
      <c r="M469" s="135" t="s">
        <v>196</v>
      </c>
      <c r="N469" s="128">
        <v>0</v>
      </c>
      <c r="O469" s="128"/>
      <c r="P469" s="155"/>
    </row>
    <row r="470" spans="3:16" s="245" customFormat="1" ht="15" hidden="1" customHeight="1">
      <c r="C470" s="378"/>
      <c r="D470" s="122"/>
      <c r="E470" s="407" t="s">
        <v>468</v>
      </c>
      <c r="F470" s="129"/>
      <c r="G470" s="130"/>
      <c r="H470" s="130"/>
      <c r="I470" s="130"/>
      <c r="J470" s="130"/>
      <c r="K470" s="198"/>
      <c r="L470" s="130"/>
      <c r="M470" s="131"/>
      <c r="N470" s="408"/>
      <c r="O470" s="136"/>
      <c r="P470" s="155"/>
    </row>
    <row r="471" spans="3:16" s="245" customFormat="1" ht="15" hidden="1" customHeight="1">
      <c r="C471" s="378"/>
      <c r="D471" s="127">
        <v>51</v>
      </c>
      <c r="E471" s="406" t="s">
        <v>445</v>
      </c>
      <c r="F471" s="133" t="e">
        <v>#DIV/0!</v>
      </c>
      <c r="G471" s="134" t="e">
        <v>#DIV/0!</v>
      </c>
      <c r="H471" s="134" t="e">
        <v>#DIV/0!</v>
      </c>
      <c r="I471" s="134" t="e">
        <v>#DIV/0!</v>
      </c>
      <c r="J471" s="134" t="e">
        <v>#DIV/0!</v>
      </c>
      <c r="K471" s="134" t="e">
        <v>#DIV/0!</v>
      </c>
      <c r="L471" s="134" t="e">
        <v>#DIV/0!</v>
      </c>
      <c r="M471" s="135" t="e">
        <v>#DIV/0!</v>
      </c>
      <c r="N471" s="128" t="e">
        <v>#DIV/0!</v>
      </c>
      <c r="O471" s="128">
        <v>0</v>
      </c>
      <c r="P471" s="155"/>
    </row>
    <row r="472" spans="3:16" s="245" customFormat="1" ht="15" hidden="1" customHeight="1">
      <c r="C472" s="378"/>
      <c r="D472" s="127">
        <v>52</v>
      </c>
      <c r="E472" s="406" t="s">
        <v>446</v>
      </c>
      <c r="F472" s="222">
        <v>0</v>
      </c>
      <c r="G472" s="223">
        <v>0</v>
      </c>
      <c r="H472" s="223">
        <v>0</v>
      </c>
      <c r="I472" s="223">
        <v>0</v>
      </c>
      <c r="J472" s="223">
        <v>0</v>
      </c>
      <c r="K472" s="223">
        <v>0</v>
      </c>
      <c r="L472" s="223">
        <v>0</v>
      </c>
      <c r="M472" s="224">
        <v>0</v>
      </c>
      <c r="N472" s="225" t="e">
        <v>#DIV/0!</v>
      </c>
      <c r="O472" s="225">
        <v>0</v>
      </c>
      <c r="P472" s="155"/>
    </row>
    <row r="473" spans="3:16" s="245" customFormat="1" ht="15" hidden="1" customHeight="1">
      <c r="C473" s="379"/>
      <c r="D473" s="127">
        <v>53</v>
      </c>
      <c r="E473" s="406" t="s">
        <v>431</v>
      </c>
      <c r="F473" s="133" t="e">
        <v>#DIV/0!</v>
      </c>
      <c r="G473" s="134" t="e">
        <v>#DIV/0!</v>
      </c>
      <c r="H473" s="134" t="e">
        <v>#DIV/0!</v>
      </c>
      <c r="I473" s="134" t="e">
        <v>#DIV/0!</v>
      </c>
      <c r="J473" s="134" t="e">
        <v>#DIV/0!</v>
      </c>
      <c r="K473" s="134" t="e">
        <v>#DIV/0!</v>
      </c>
      <c r="L473" s="134" t="e">
        <v>#DIV/0!</v>
      </c>
      <c r="M473" s="135" t="e">
        <v>#DIV/0!</v>
      </c>
      <c r="N473" s="128" t="e">
        <v>#DIV/0!</v>
      </c>
      <c r="O473" s="128">
        <v>0</v>
      </c>
      <c r="P473" s="190"/>
    </row>
    <row r="474" spans="3:16" s="245" customFormat="1" ht="15" hidden="1" customHeight="1">
      <c r="C474" s="379"/>
      <c r="D474" s="127">
        <v>54</v>
      </c>
      <c r="E474" s="406" t="s">
        <v>447</v>
      </c>
      <c r="F474" s="137" t="e">
        <v>#DIV/0!</v>
      </c>
      <c r="G474" s="134" t="e">
        <v>#DIV/0!</v>
      </c>
      <c r="H474" s="134" t="e">
        <v>#DIV/0!</v>
      </c>
      <c r="I474" s="134" t="e">
        <v>#DIV/0!</v>
      </c>
      <c r="J474" s="134" t="e">
        <v>#DIV/0!</v>
      </c>
      <c r="K474" s="134" t="e">
        <v>#DIV/0!</v>
      </c>
      <c r="L474" s="134" t="e">
        <v>#DIV/0!</v>
      </c>
      <c r="M474" s="135" t="e">
        <v>#DIV/0!</v>
      </c>
      <c r="N474" s="128" t="e">
        <v>#DIV/0!</v>
      </c>
      <c r="O474" s="128">
        <v>0</v>
      </c>
      <c r="P474" s="190"/>
    </row>
    <row r="475" spans="3:16" s="245" customFormat="1" ht="15" hidden="1" customHeight="1" thickBot="1">
      <c r="C475" s="379"/>
      <c r="D475" s="138">
        <v>55</v>
      </c>
      <c r="E475" s="410" t="s">
        <v>677</v>
      </c>
      <c r="F475" s="254" t="e">
        <v>#DIV/0!</v>
      </c>
      <c r="G475" s="139" t="e">
        <v>#DIV/0!</v>
      </c>
      <c r="H475" s="139" t="e">
        <v>#DIV/0!</v>
      </c>
      <c r="I475" s="139" t="e">
        <v>#DIV/0!</v>
      </c>
      <c r="J475" s="139" t="e">
        <v>#DIV/0!</v>
      </c>
      <c r="K475" s="139" t="e">
        <v>#DIV/0!</v>
      </c>
      <c r="L475" s="139" t="e">
        <v>#DIV/0!</v>
      </c>
      <c r="M475" s="226" t="e">
        <v>#DIV/0!</v>
      </c>
      <c r="N475" s="253"/>
      <c r="O475" s="253">
        <v>0</v>
      </c>
      <c r="P475" s="190"/>
    </row>
    <row r="476" spans="3:16" s="245" customFormat="1" ht="15" hidden="1" customHeight="1">
      <c r="C476" s="379"/>
      <c r="D476" s="244"/>
      <c r="E476" s="402"/>
      <c r="F476" s="155"/>
      <c r="G476" s="155"/>
      <c r="H476" s="155"/>
      <c r="I476" s="155"/>
      <c r="J476" s="155"/>
      <c r="K476" s="155"/>
      <c r="L476" s="155"/>
      <c r="M476" s="155"/>
      <c r="N476" s="155"/>
      <c r="O476" s="155"/>
      <c r="P476" s="190"/>
    </row>
    <row r="477" spans="3:16" s="245" customFormat="1" ht="15" hidden="1" customHeight="1">
      <c r="C477" s="378"/>
      <c r="D477" s="244"/>
      <c r="E477" s="190"/>
      <c r="F477" s="155"/>
      <c r="G477" s="155"/>
      <c r="H477" s="155"/>
      <c r="I477" s="155"/>
      <c r="J477" s="155"/>
      <c r="K477" s="155"/>
      <c r="L477" s="155"/>
      <c r="M477" s="383"/>
      <c r="N477" s="155"/>
      <c r="O477" s="155"/>
      <c r="P477" s="190"/>
    </row>
    <row r="478" spans="3:16" s="245" customFormat="1" ht="15" hidden="1" customHeight="1">
      <c r="C478" s="378"/>
      <c r="D478" s="244"/>
      <c r="E478" s="190"/>
      <c r="F478" s="155"/>
      <c r="G478" s="155"/>
      <c r="H478" s="155"/>
      <c r="I478" s="155"/>
      <c r="J478" s="155"/>
      <c r="K478" s="155"/>
      <c r="L478" s="155"/>
      <c r="M478" s="383"/>
      <c r="N478" s="155"/>
      <c r="O478" s="155"/>
      <c r="P478" s="190"/>
    </row>
    <row r="479" spans="3:16" s="245" customFormat="1" ht="15" hidden="1" customHeight="1">
      <c r="C479" s="378"/>
      <c r="D479" s="244"/>
      <c r="E479" s="190"/>
      <c r="F479" s="155"/>
      <c r="G479" s="155"/>
      <c r="H479" s="155"/>
      <c r="I479" s="155"/>
      <c r="J479" s="155"/>
      <c r="K479" s="155"/>
      <c r="L479" s="155"/>
      <c r="M479" s="383"/>
      <c r="N479" s="155"/>
      <c r="O479" s="155"/>
      <c r="P479" s="190"/>
    </row>
    <row r="480" spans="3:16" s="245" customFormat="1" ht="15" hidden="1" customHeight="1">
      <c r="C480" s="378"/>
      <c r="D480" s="244"/>
      <c r="E480" s="190"/>
      <c r="F480" s="378"/>
      <c r="G480" s="378"/>
      <c r="H480" s="378"/>
      <c r="I480" s="378"/>
      <c r="J480" s="378"/>
      <c r="K480" s="378"/>
      <c r="L480" s="378"/>
      <c r="M480" s="378"/>
      <c r="N480" s="378"/>
      <c r="O480" s="378"/>
      <c r="P480" s="190"/>
    </row>
    <row r="481" spans="3:16" s="245" customFormat="1" ht="15" hidden="1" customHeight="1">
      <c r="C481" s="380" t="s">
        <v>810</v>
      </c>
      <c r="D481" s="380"/>
      <c r="E481" s="380"/>
      <c r="F481" s="380"/>
      <c r="G481" s="380"/>
      <c r="H481" s="380"/>
      <c r="I481" s="380"/>
      <c r="J481" s="380"/>
      <c r="K481" s="380"/>
      <c r="L481" s="380"/>
      <c r="M481" s="380"/>
      <c r="N481" s="380"/>
      <c r="O481" s="380"/>
      <c r="P481" s="190"/>
    </row>
    <row r="482" spans="3:16" s="245" customFormat="1" ht="15" hidden="1" customHeight="1">
      <c r="C482" s="379"/>
      <c r="D482" s="379"/>
      <c r="E482" s="379"/>
      <c r="F482" s="379"/>
      <c r="G482" s="379"/>
      <c r="H482" s="379"/>
      <c r="I482" s="379"/>
      <c r="J482" s="379"/>
      <c r="K482" s="379"/>
      <c r="L482" s="379"/>
      <c r="M482" s="379"/>
      <c r="N482" s="379"/>
      <c r="O482" s="379"/>
      <c r="P482" s="190"/>
    </row>
    <row r="483" spans="3:16" s="245" customFormat="1" ht="15" hidden="1" customHeight="1">
      <c r="C483" s="379"/>
      <c r="D483" s="376"/>
      <c r="E483" s="376"/>
      <c r="F483" s="377"/>
      <c r="G483" s="377"/>
      <c r="H483" s="377"/>
      <c r="I483" s="377"/>
      <c r="J483" s="377"/>
      <c r="K483" s="377"/>
      <c r="L483" s="377"/>
      <c r="M483" s="377"/>
      <c r="N483" s="376"/>
      <c r="O483" s="376"/>
      <c r="P483" s="190"/>
    </row>
    <row r="484" spans="3:16" s="245" customFormat="1" ht="15" hidden="1" customHeight="1">
      <c r="C484" s="379"/>
      <c r="D484" s="376"/>
      <c r="E484" s="381" t="s">
        <v>56</v>
      </c>
      <c r="F484" s="381" t="s">
        <v>234</v>
      </c>
      <c r="G484" s="377"/>
      <c r="H484" s="381" t="s">
        <v>37</v>
      </c>
      <c r="I484" s="377"/>
      <c r="J484" s="377"/>
      <c r="K484" s="377"/>
      <c r="L484" s="377"/>
      <c r="M484" s="377"/>
      <c r="N484" s="376"/>
      <c r="O484" s="376"/>
      <c r="P484" s="190"/>
    </row>
    <row r="485" spans="3:16" s="245" customFormat="1" ht="15" hidden="1" customHeight="1">
      <c r="C485" s="379"/>
      <c r="D485" s="118"/>
      <c r="E485" s="118" t="s">
        <v>513</v>
      </c>
      <c r="F485" s="345">
        <v>42460</v>
      </c>
      <c r="G485" s="119"/>
      <c r="H485" s="118" t="s">
        <v>851</v>
      </c>
      <c r="I485" s="119"/>
      <c r="J485" s="119"/>
      <c r="K485" s="119"/>
      <c r="L485" s="119"/>
      <c r="M485" s="119"/>
      <c r="N485" s="118"/>
      <c r="O485" s="118"/>
      <c r="P485" s="190"/>
    </row>
    <row r="486" spans="3:16" s="245" customFormat="1" ht="15" hidden="1" customHeight="1" thickBot="1">
      <c r="C486" s="379"/>
      <c r="D486" s="379"/>
      <c r="E486" s="379"/>
      <c r="F486" s="430"/>
      <c r="G486" s="430"/>
      <c r="H486" s="430"/>
      <c r="I486" s="430"/>
      <c r="J486" s="430"/>
      <c r="K486" s="430"/>
      <c r="L486" s="430"/>
      <c r="M486" s="430"/>
      <c r="N486" s="379"/>
      <c r="O486" s="379"/>
      <c r="P486" s="190"/>
    </row>
    <row r="487" spans="3:16" s="245" customFormat="1" ht="15" hidden="1" customHeight="1">
      <c r="C487" s="379"/>
      <c r="D487" s="120"/>
      <c r="E487" s="189" t="s">
        <v>231</v>
      </c>
      <c r="F487" s="181">
        <v>42460</v>
      </c>
      <c r="G487" s="182">
        <v>42825</v>
      </c>
      <c r="H487" s="182">
        <v>43190</v>
      </c>
      <c r="I487" s="182">
        <v>43555</v>
      </c>
      <c r="J487" s="182">
        <v>43921</v>
      </c>
      <c r="K487" s="182">
        <v>44286</v>
      </c>
      <c r="L487" s="182">
        <v>44651</v>
      </c>
      <c r="M487" s="183">
        <v>45016</v>
      </c>
      <c r="N487" s="243" t="s">
        <v>83</v>
      </c>
      <c r="O487" s="184" t="s">
        <v>84</v>
      </c>
      <c r="P487" s="190"/>
    </row>
    <row r="488" spans="3:16" s="245" customFormat="1" ht="15" hidden="1" customHeight="1">
      <c r="C488" s="379"/>
      <c r="D488" s="121"/>
      <c r="E488" s="406" t="s">
        <v>235</v>
      </c>
      <c r="F488" s="185" t="s">
        <v>728</v>
      </c>
      <c r="G488" s="186" t="s">
        <v>728</v>
      </c>
      <c r="H488" s="186" t="s">
        <v>728</v>
      </c>
      <c r="I488" s="186" t="s">
        <v>728</v>
      </c>
      <c r="J488" s="186" t="s">
        <v>728</v>
      </c>
      <c r="K488" s="186" t="s">
        <v>728</v>
      </c>
      <c r="L488" s="186" t="s">
        <v>728</v>
      </c>
      <c r="M488" s="187" t="s">
        <v>728</v>
      </c>
      <c r="N488" s="188" t="s">
        <v>728</v>
      </c>
      <c r="O488" s="188" t="s">
        <v>728</v>
      </c>
      <c r="P488" s="190"/>
    </row>
    <row r="489" spans="3:16" s="245" customFormat="1" ht="15" hidden="1" customHeight="1">
      <c r="C489" s="379"/>
      <c r="D489" s="122"/>
      <c r="E489" s="407" t="s">
        <v>67</v>
      </c>
      <c r="F489" s="123"/>
      <c r="G489" s="124"/>
      <c r="H489" s="124"/>
      <c r="I489" s="124"/>
      <c r="J489" s="124"/>
      <c r="K489" s="124"/>
      <c r="L489" s="124"/>
      <c r="M489" s="125"/>
      <c r="N489" s="126"/>
      <c r="O489" s="126"/>
      <c r="P489" s="190"/>
    </row>
    <row r="490" spans="3:16" s="245" customFormat="1" ht="15" hidden="1" customHeight="1">
      <c r="C490" s="379"/>
      <c r="D490" s="127">
        <v>1</v>
      </c>
      <c r="E490" s="406" t="s">
        <v>209</v>
      </c>
      <c r="F490" s="133">
        <v>0</v>
      </c>
      <c r="G490" s="134">
        <v>0</v>
      </c>
      <c r="H490" s="134">
        <v>0</v>
      </c>
      <c r="I490" s="134">
        <v>0</v>
      </c>
      <c r="J490" s="134">
        <v>0</v>
      </c>
      <c r="K490" s="134">
        <v>0</v>
      </c>
      <c r="L490" s="134">
        <v>0</v>
      </c>
      <c r="M490" s="135">
        <v>0</v>
      </c>
      <c r="N490" s="128">
        <v>0</v>
      </c>
      <c r="O490" s="128">
        <v>0</v>
      </c>
      <c r="P490" s="190"/>
    </row>
    <row r="491" spans="3:16" s="245" customFormat="1" ht="15" hidden="1" customHeight="1">
      <c r="C491" s="379"/>
      <c r="D491" s="127">
        <v>2</v>
      </c>
      <c r="E491" s="406" t="s">
        <v>679</v>
      </c>
      <c r="F491" s="133">
        <v>0</v>
      </c>
      <c r="G491" s="134">
        <v>0</v>
      </c>
      <c r="H491" s="134">
        <v>0</v>
      </c>
      <c r="I491" s="134">
        <v>0</v>
      </c>
      <c r="J491" s="134">
        <v>0</v>
      </c>
      <c r="K491" s="134">
        <v>0</v>
      </c>
      <c r="L491" s="134">
        <v>0</v>
      </c>
      <c r="M491" s="135">
        <v>0</v>
      </c>
      <c r="N491" s="128">
        <v>0</v>
      </c>
      <c r="O491" s="128">
        <v>0</v>
      </c>
      <c r="P491" s="190"/>
    </row>
    <row r="492" spans="3:16" s="245" customFormat="1" ht="15" hidden="1" customHeight="1">
      <c r="C492" s="379"/>
      <c r="D492" s="127">
        <v>3</v>
      </c>
      <c r="E492" s="406" t="s">
        <v>210</v>
      </c>
      <c r="F492" s="133">
        <v>0</v>
      </c>
      <c r="G492" s="134">
        <v>0</v>
      </c>
      <c r="H492" s="134">
        <v>0</v>
      </c>
      <c r="I492" s="134">
        <v>0</v>
      </c>
      <c r="J492" s="134">
        <v>0</v>
      </c>
      <c r="K492" s="134">
        <v>0</v>
      </c>
      <c r="L492" s="134">
        <v>0</v>
      </c>
      <c r="M492" s="135">
        <v>0</v>
      </c>
      <c r="N492" s="128">
        <v>0</v>
      </c>
      <c r="O492" s="128">
        <v>0</v>
      </c>
      <c r="P492" s="190"/>
    </row>
    <row r="493" spans="3:16" s="245" customFormat="1" ht="15" hidden="1" customHeight="1">
      <c r="C493" s="379"/>
      <c r="D493" s="122"/>
      <c r="E493" s="407" t="s">
        <v>15</v>
      </c>
      <c r="F493" s="123"/>
      <c r="G493" s="124"/>
      <c r="H493" s="124"/>
      <c r="I493" s="124"/>
      <c r="J493" s="124"/>
      <c r="K493" s="124"/>
      <c r="L493" s="124"/>
      <c r="M493" s="125"/>
      <c r="N493" s="126"/>
      <c r="O493" s="126"/>
      <c r="P493" s="190"/>
    </row>
    <row r="494" spans="3:16" s="245" customFormat="1" ht="15" hidden="1" customHeight="1">
      <c r="C494" s="379"/>
      <c r="D494" s="127">
        <v>4</v>
      </c>
      <c r="E494" s="406" t="s">
        <v>448</v>
      </c>
      <c r="F494" s="133" t="e">
        <v>#DIV/0!</v>
      </c>
      <c r="G494" s="134" t="e">
        <v>#DIV/0!</v>
      </c>
      <c r="H494" s="134" t="e">
        <v>#DIV/0!</v>
      </c>
      <c r="I494" s="134" t="e">
        <v>#DIV/0!</v>
      </c>
      <c r="J494" s="134" t="e">
        <v>#DIV/0!</v>
      </c>
      <c r="K494" s="134" t="e">
        <v>#DIV/0!</v>
      </c>
      <c r="L494" s="134" t="e">
        <v>#DIV/0!</v>
      </c>
      <c r="M494" s="135" t="e">
        <v>#DIV/0!</v>
      </c>
      <c r="N494" s="128"/>
      <c r="O494" s="128">
        <v>0</v>
      </c>
      <c r="P494" s="190"/>
    </row>
    <row r="495" spans="3:16" s="245" customFormat="1" ht="15" hidden="1" customHeight="1">
      <c r="C495" s="379"/>
      <c r="D495" s="127">
        <v>5</v>
      </c>
      <c r="E495" s="406" t="s">
        <v>119</v>
      </c>
      <c r="F495" s="133">
        <v>0</v>
      </c>
      <c r="G495" s="134">
        <v>0</v>
      </c>
      <c r="H495" s="134">
        <v>0</v>
      </c>
      <c r="I495" s="134">
        <v>0</v>
      </c>
      <c r="J495" s="134">
        <v>0</v>
      </c>
      <c r="K495" s="134">
        <v>0</v>
      </c>
      <c r="L495" s="134">
        <v>0</v>
      </c>
      <c r="M495" s="135">
        <v>0</v>
      </c>
      <c r="N495" s="128">
        <v>0</v>
      </c>
      <c r="O495" s="128">
        <v>0</v>
      </c>
      <c r="P495" s="190"/>
    </row>
    <row r="496" spans="3:16" s="245" customFormat="1" ht="15" hidden="1" customHeight="1">
      <c r="C496" s="379"/>
      <c r="D496" s="127">
        <v>6</v>
      </c>
      <c r="E496" s="406" t="s">
        <v>449</v>
      </c>
      <c r="F496" s="133" t="e">
        <v>#DIV/0!</v>
      </c>
      <c r="G496" s="134" t="e">
        <v>#DIV/0!</v>
      </c>
      <c r="H496" s="134" t="e">
        <v>#DIV/0!</v>
      </c>
      <c r="I496" s="134" t="e">
        <v>#DIV/0!</v>
      </c>
      <c r="J496" s="134" t="e">
        <v>#DIV/0!</v>
      </c>
      <c r="K496" s="134" t="e">
        <v>#DIV/0!</v>
      </c>
      <c r="L496" s="134" t="e">
        <v>#DIV/0!</v>
      </c>
      <c r="M496" s="135" t="e">
        <v>#DIV/0!</v>
      </c>
      <c r="N496" s="128"/>
      <c r="O496" s="128">
        <v>0</v>
      </c>
      <c r="P496" s="190"/>
    </row>
    <row r="497" spans="3:16" s="245" customFormat="1" ht="15" hidden="1" customHeight="1">
      <c r="C497" s="379"/>
      <c r="D497" s="127">
        <v>7</v>
      </c>
      <c r="E497" s="406" t="s">
        <v>211</v>
      </c>
      <c r="F497" s="133">
        <v>0</v>
      </c>
      <c r="G497" s="134">
        <v>0</v>
      </c>
      <c r="H497" s="134">
        <v>0</v>
      </c>
      <c r="I497" s="134">
        <v>0</v>
      </c>
      <c r="J497" s="134">
        <v>0</v>
      </c>
      <c r="K497" s="134">
        <v>0</v>
      </c>
      <c r="L497" s="134">
        <v>0</v>
      </c>
      <c r="M497" s="135">
        <v>0</v>
      </c>
      <c r="N497" s="128">
        <v>0</v>
      </c>
      <c r="O497" s="128">
        <v>0</v>
      </c>
      <c r="P497" s="190"/>
    </row>
    <row r="498" spans="3:16" s="245" customFormat="1" ht="15" hidden="1" customHeight="1">
      <c r="C498" s="379"/>
      <c r="D498" s="127">
        <v>8</v>
      </c>
      <c r="E498" s="406" t="s">
        <v>0</v>
      </c>
      <c r="F498" s="133" t="e">
        <v>#DIV/0!</v>
      </c>
      <c r="G498" s="134" t="e">
        <v>#DIV/0!</v>
      </c>
      <c r="H498" s="134" t="e">
        <v>#DIV/0!</v>
      </c>
      <c r="I498" s="134" t="e">
        <v>#DIV/0!</v>
      </c>
      <c r="J498" s="134" t="e">
        <v>#DIV/0!</v>
      </c>
      <c r="K498" s="134" t="e">
        <v>#DIV/0!</v>
      </c>
      <c r="L498" s="134" t="e">
        <v>#DIV/0!</v>
      </c>
      <c r="M498" s="135" t="e">
        <v>#DIV/0!</v>
      </c>
      <c r="N498" s="128" t="e">
        <v>#DIV/0!</v>
      </c>
      <c r="O498" s="128">
        <v>0</v>
      </c>
      <c r="P498" s="190"/>
    </row>
    <row r="499" spans="3:16" s="245" customFormat="1" ht="15" hidden="1" customHeight="1">
      <c r="C499" s="379"/>
      <c r="D499" s="127">
        <v>9</v>
      </c>
      <c r="E499" s="406" t="s">
        <v>16</v>
      </c>
      <c r="F499" s="133" t="e">
        <v>#DIV/0!</v>
      </c>
      <c r="G499" s="134" t="e">
        <v>#DIV/0!</v>
      </c>
      <c r="H499" s="134" t="e">
        <v>#DIV/0!</v>
      </c>
      <c r="I499" s="134" t="e">
        <v>#DIV/0!</v>
      </c>
      <c r="J499" s="134" t="e">
        <v>#DIV/0!</v>
      </c>
      <c r="K499" s="134" t="e">
        <v>#DIV/0!</v>
      </c>
      <c r="L499" s="134" t="e">
        <v>#DIV/0!</v>
      </c>
      <c r="M499" s="135" t="e">
        <v>#DIV/0!</v>
      </c>
      <c r="N499" s="128"/>
      <c r="O499" s="128">
        <v>0</v>
      </c>
      <c r="P499" s="190"/>
    </row>
    <row r="500" spans="3:16" s="245" customFormat="1" ht="15" hidden="1" customHeight="1">
      <c r="C500" s="379"/>
      <c r="D500" s="122"/>
      <c r="E500" s="407" t="s">
        <v>296</v>
      </c>
      <c r="F500" s="129"/>
      <c r="G500" s="130"/>
      <c r="H500" s="130"/>
      <c r="I500" s="130"/>
      <c r="J500" s="130"/>
      <c r="K500" s="130"/>
      <c r="L500" s="130"/>
      <c r="M500" s="131"/>
      <c r="N500" s="132"/>
      <c r="O500" s="132"/>
      <c r="P500" s="190"/>
    </row>
    <row r="501" spans="3:16" s="245" customFormat="1" ht="15" hidden="1" customHeight="1">
      <c r="C501" s="379"/>
      <c r="D501" s="127">
        <v>10</v>
      </c>
      <c r="E501" s="406" t="s">
        <v>97</v>
      </c>
      <c r="F501" s="133">
        <v>0</v>
      </c>
      <c r="G501" s="134">
        <v>0</v>
      </c>
      <c r="H501" s="134">
        <v>0</v>
      </c>
      <c r="I501" s="134">
        <v>0</v>
      </c>
      <c r="J501" s="134">
        <v>0</v>
      </c>
      <c r="K501" s="134">
        <v>0</v>
      </c>
      <c r="L501" s="134">
        <v>0</v>
      </c>
      <c r="M501" s="135">
        <v>0</v>
      </c>
      <c r="N501" s="128">
        <v>0</v>
      </c>
      <c r="O501" s="128">
        <v>0</v>
      </c>
      <c r="P501" s="190"/>
    </row>
    <row r="502" spans="3:16" s="245" customFormat="1" ht="15" hidden="1" customHeight="1">
      <c r="C502" s="379"/>
      <c r="D502" s="127">
        <v>11</v>
      </c>
      <c r="E502" s="406" t="s">
        <v>600</v>
      </c>
      <c r="F502" s="133">
        <v>0</v>
      </c>
      <c r="G502" s="134">
        <v>0</v>
      </c>
      <c r="H502" s="134">
        <v>0</v>
      </c>
      <c r="I502" s="134">
        <v>0</v>
      </c>
      <c r="J502" s="134">
        <v>0</v>
      </c>
      <c r="K502" s="134">
        <v>0</v>
      </c>
      <c r="L502" s="134">
        <v>0</v>
      </c>
      <c r="M502" s="135">
        <v>0</v>
      </c>
      <c r="N502" s="128">
        <v>0</v>
      </c>
      <c r="O502" s="128">
        <v>0</v>
      </c>
      <c r="P502" s="190"/>
    </row>
    <row r="503" spans="3:16" s="245" customFormat="1" ht="15" hidden="1" customHeight="1">
      <c r="C503" s="379"/>
      <c r="D503" s="127">
        <v>12</v>
      </c>
      <c r="E503" s="406" t="s">
        <v>65</v>
      </c>
      <c r="F503" s="133" t="e">
        <v>#DIV/0!</v>
      </c>
      <c r="G503" s="134" t="e">
        <v>#DIV/0!</v>
      </c>
      <c r="H503" s="134" t="e">
        <v>#DIV/0!</v>
      </c>
      <c r="I503" s="134" t="e">
        <v>#DIV/0!</v>
      </c>
      <c r="J503" s="134" t="e">
        <v>#DIV/0!</v>
      </c>
      <c r="K503" s="134" t="e">
        <v>#DIV/0!</v>
      </c>
      <c r="L503" s="134" t="e">
        <v>#DIV/0!</v>
      </c>
      <c r="M503" s="135" t="e">
        <v>#DIV/0!</v>
      </c>
      <c r="N503" s="128" t="e">
        <v>#DIV/0!</v>
      </c>
      <c r="O503" s="128">
        <v>0</v>
      </c>
      <c r="P503" s="190"/>
    </row>
    <row r="504" spans="3:16" s="245" customFormat="1" ht="15" hidden="1" customHeight="1">
      <c r="C504" s="379"/>
      <c r="D504" s="127">
        <v>13</v>
      </c>
      <c r="E504" s="406" t="s">
        <v>18</v>
      </c>
      <c r="F504" s="133" t="e">
        <v>#DIV/0!</v>
      </c>
      <c r="G504" s="134" t="e">
        <v>#DIV/0!</v>
      </c>
      <c r="H504" s="134" t="e">
        <v>#DIV/0!</v>
      </c>
      <c r="I504" s="134" t="e">
        <v>#DIV/0!</v>
      </c>
      <c r="J504" s="134" t="e">
        <v>#DIV/0!</v>
      </c>
      <c r="K504" s="134" t="e">
        <v>#DIV/0!</v>
      </c>
      <c r="L504" s="134" t="e">
        <v>#DIV/0!</v>
      </c>
      <c r="M504" s="135" t="e">
        <v>#DIV/0!</v>
      </c>
      <c r="N504" s="128" t="e">
        <v>#DIV/0!</v>
      </c>
      <c r="O504" s="128">
        <v>0</v>
      </c>
      <c r="P504" s="190"/>
    </row>
    <row r="505" spans="3:16" s="245" customFormat="1" ht="15" hidden="1" customHeight="1">
      <c r="C505" s="379"/>
      <c r="D505" s="127">
        <v>14</v>
      </c>
      <c r="E505" s="406" t="s">
        <v>102</v>
      </c>
      <c r="F505" s="133" t="e">
        <v>#DIV/0!</v>
      </c>
      <c r="G505" s="134" t="e">
        <v>#DIV/0!</v>
      </c>
      <c r="H505" s="134" t="e">
        <v>#DIV/0!</v>
      </c>
      <c r="I505" s="134" t="e">
        <v>#DIV/0!</v>
      </c>
      <c r="J505" s="134" t="e">
        <v>#DIV/0!</v>
      </c>
      <c r="K505" s="134" t="e">
        <v>#DIV/0!</v>
      </c>
      <c r="L505" s="134" t="e">
        <v>#DIV/0!</v>
      </c>
      <c r="M505" s="135" t="e">
        <v>#DIV/0!</v>
      </c>
      <c r="N505" s="128" t="e">
        <v>#DIV/0!</v>
      </c>
      <c r="O505" s="128">
        <v>0</v>
      </c>
      <c r="P505" s="190"/>
    </row>
    <row r="506" spans="3:16" s="245" customFormat="1" ht="15" hidden="1" customHeight="1">
      <c r="C506" s="379"/>
      <c r="D506" s="127">
        <v>15</v>
      </c>
      <c r="E506" s="406" t="s">
        <v>22</v>
      </c>
      <c r="F506" s="133" t="e">
        <v>#DIV/0!</v>
      </c>
      <c r="G506" s="134" t="e">
        <v>#DIV/0!</v>
      </c>
      <c r="H506" s="134" t="e">
        <v>#DIV/0!</v>
      </c>
      <c r="I506" s="134" t="e">
        <v>#DIV/0!</v>
      </c>
      <c r="J506" s="134" t="e">
        <v>#DIV/0!</v>
      </c>
      <c r="K506" s="134" t="e">
        <v>#DIV/0!</v>
      </c>
      <c r="L506" s="134" t="e">
        <v>#DIV/0!</v>
      </c>
      <c r="M506" s="135" t="e">
        <v>#DIV/0!</v>
      </c>
      <c r="N506" s="128" t="e">
        <v>#DIV/0!</v>
      </c>
      <c r="O506" s="128">
        <v>0</v>
      </c>
      <c r="P506" s="190"/>
    </row>
    <row r="507" spans="3:16" s="245" customFormat="1" ht="15" hidden="1" customHeight="1">
      <c r="C507" s="379"/>
      <c r="D507" s="127">
        <v>16</v>
      </c>
      <c r="E507" s="406" t="s">
        <v>215</v>
      </c>
      <c r="F507" s="133">
        <v>0</v>
      </c>
      <c r="G507" s="134">
        <v>0</v>
      </c>
      <c r="H507" s="134">
        <v>0</v>
      </c>
      <c r="I507" s="134">
        <v>0</v>
      </c>
      <c r="J507" s="134">
        <v>0</v>
      </c>
      <c r="K507" s="134">
        <v>0</v>
      </c>
      <c r="L507" s="134">
        <v>0</v>
      </c>
      <c r="M507" s="135">
        <v>0</v>
      </c>
      <c r="N507" s="128">
        <v>0</v>
      </c>
      <c r="O507" s="128">
        <v>0</v>
      </c>
      <c r="P507" s="190"/>
    </row>
    <row r="508" spans="3:16" s="245" customFormat="1" ht="15" hidden="1" customHeight="1">
      <c r="C508" s="379"/>
      <c r="D508" s="127">
        <v>17</v>
      </c>
      <c r="E508" s="406" t="s">
        <v>6</v>
      </c>
      <c r="F508" s="133" t="e">
        <v>#DIV/0!</v>
      </c>
      <c r="G508" s="134" t="e">
        <v>#DIV/0!</v>
      </c>
      <c r="H508" s="134" t="e">
        <v>#DIV/0!</v>
      </c>
      <c r="I508" s="134" t="e">
        <v>#DIV/0!</v>
      </c>
      <c r="J508" s="134" t="e">
        <v>#DIV/0!</v>
      </c>
      <c r="K508" s="134" t="e">
        <v>#DIV/0!</v>
      </c>
      <c r="L508" s="134" t="e">
        <v>#DIV/0!</v>
      </c>
      <c r="M508" s="135" t="e">
        <v>#DIV/0!</v>
      </c>
      <c r="N508" s="128" t="e">
        <v>#DIV/0!</v>
      </c>
      <c r="O508" s="128">
        <v>0</v>
      </c>
      <c r="P508" s="190"/>
    </row>
    <row r="509" spans="3:16" s="245" customFormat="1" ht="15" hidden="1" customHeight="1">
      <c r="C509" s="379"/>
      <c r="D509" s="122"/>
      <c r="E509" s="407" t="s">
        <v>164</v>
      </c>
      <c r="F509" s="129"/>
      <c r="G509" s="130"/>
      <c r="H509" s="130"/>
      <c r="I509" s="130"/>
      <c r="J509" s="130"/>
      <c r="K509" s="130"/>
      <c r="L509" s="130"/>
      <c r="M509" s="131"/>
      <c r="N509" s="132"/>
      <c r="O509" s="132"/>
      <c r="P509" s="190"/>
    </row>
    <row r="510" spans="3:16" s="245" customFormat="1" ht="15" hidden="1" customHeight="1">
      <c r="C510" s="379"/>
      <c r="D510" s="127">
        <v>18</v>
      </c>
      <c r="E510" s="406" t="s">
        <v>97</v>
      </c>
      <c r="F510" s="133">
        <v>0</v>
      </c>
      <c r="G510" s="134">
        <v>0</v>
      </c>
      <c r="H510" s="134">
        <v>0</v>
      </c>
      <c r="I510" s="134">
        <v>0</v>
      </c>
      <c r="J510" s="134">
        <v>0</v>
      </c>
      <c r="K510" s="134">
        <v>0</v>
      </c>
      <c r="L510" s="134">
        <v>0</v>
      </c>
      <c r="M510" s="135">
        <v>0</v>
      </c>
      <c r="N510" s="128">
        <v>0</v>
      </c>
      <c r="O510" s="128">
        <v>0</v>
      </c>
      <c r="P510" s="190"/>
    </row>
    <row r="511" spans="3:16" s="245" customFormat="1" ht="15" hidden="1" customHeight="1">
      <c r="C511" s="379"/>
      <c r="D511" s="127">
        <v>19</v>
      </c>
      <c r="E511" s="406" t="s">
        <v>600</v>
      </c>
      <c r="F511" s="133">
        <v>0</v>
      </c>
      <c r="G511" s="134">
        <v>0</v>
      </c>
      <c r="H511" s="134">
        <v>0</v>
      </c>
      <c r="I511" s="134">
        <v>0</v>
      </c>
      <c r="J511" s="134">
        <v>0</v>
      </c>
      <c r="K511" s="134">
        <v>0</v>
      </c>
      <c r="L511" s="134">
        <v>0</v>
      </c>
      <c r="M511" s="135">
        <v>0</v>
      </c>
      <c r="N511" s="128">
        <v>0</v>
      </c>
      <c r="O511" s="128">
        <v>0</v>
      </c>
      <c r="P511" s="190"/>
    </row>
    <row r="512" spans="3:16" s="245" customFormat="1" ht="15" hidden="1" customHeight="1">
      <c r="C512" s="379"/>
      <c r="D512" s="127">
        <v>20</v>
      </c>
      <c r="E512" s="406" t="s">
        <v>65</v>
      </c>
      <c r="F512" s="133" t="e">
        <v>#DIV/0!</v>
      </c>
      <c r="G512" s="134" t="e">
        <v>#DIV/0!</v>
      </c>
      <c r="H512" s="134" t="e">
        <v>#DIV/0!</v>
      </c>
      <c r="I512" s="134" t="e">
        <v>#DIV/0!</v>
      </c>
      <c r="J512" s="134" t="e">
        <v>#DIV/0!</v>
      </c>
      <c r="K512" s="134" t="e">
        <v>#DIV/0!</v>
      </c>
      <c r="L512" s="134" t="e">
        <v>#DIV/0!</v>
      </c>
      <c r="M512" s="135" t="e">
        <v>#DIV/0!</v>
      </c>
      <c r="N512" s="128" t="e">
        <v>#DIV/0!</v>
      </c>
      <c r="O512" s="128">
        <v>0</v>
      </c>
      <c r="P512" s="190"/>
    </row>
    <row r="513" spans="3:16" s="245" customFormat="1" ht="15" hidden="1" customHeight="1">
      <c r="C513" s="379"/>
      <c r="D513" s="127">
        <v>21</v>
      </c>
      <c r="E513" s="406" t="s">
        <v>18</v>
      </c>
      <c r="F513" s="133" t="e">
        <v>#DIV/0!</v>
      </c>
      <c r="G513" s="134" t="e">
        <v>#DIV/0!</v>
      </c>
      <c r="H513" s="134" t="e">
        <v>#DIV/0!</v>
      </c>
      <c r="I513" s="134" t="e">
        <v>#DIV/0!</v>
      </c>
      <c r="J513" s="134" t="e">
        <v>#DIV/0!</v>
      </c>
      <c r="K513" s="134" t="e">
        <v>#DIV/0!</v>
      </c>
      <c r="L513" s="134" t="e">
        <v>#DIV/0!</v>
      </c>
      <c r="M513" s="135" t="e">
        <v>#DIV/0!</v>
      </c>
      <c r="N513" s="128" t="e">
        <v>#DIV/0!</v>
      </c>
      <c r="O513" s="128">
        <v>0</v>
      </c>
      <c r="P513" s="190"/>
    </row>
    <row r="514" spans="3:16" s="245" customFormat="1" ht="15" hidden="1" customHeight="1">
      <c r="C514" s="379"/>
      <c r="D514" s="127">
        <v>22</v>
      </c>
      <c r="E514" s="406" t="s">
        <v>102</v>
      </c>
      <c r="F514" s="133" t="e">
        <v>#DIV/0!</v>
      </c>
      <c r="G514" s="134" t="e">
        <v>#DIV/0!</v>
      </c>
      <c r="H514" s="134" t="e">
        <v>#DIV/0!</v>
      </c>
      <c r="I514" s="134" t="e">
        <v>#DIV/0!</v>
      </c>
      <c r="J514" s="134" t="e">
        <v>#DIV/0!</v>
      </c>
      <c r="K514" s="134" t="e">
        <v>#DIV/0!</v>
      </c>
      <c r="L514" s="134" t="e">
        <v>#DIV/0!</v>
      </c>
      <c r="M514" s="135" t="e">
        <v>#DIV/0!</v>
      </c>
      <c r="N514" s="128" t="e">
        <v>#DIV/0!</v>
      </c>
      <c r="O514" s="128">
        <v>0</v>
      </c>
      <c r="P514" s="190"/>
    </row>
    <row r="515" spans="3:16" s="245" customFormat="1" ht="15" hidden="1" customHeight="1">
      <c r="C515" s="379"/>
      <c r="D515" s="127">
        <v>23</v>
      </c>
      <c r="E515" s="406" t="s">
        <v>22</v>
      </c>
      <c r="F515" s="133" t="e">
        <v>#DIV/0!</v>
      </c>
      <c r="G515" s="134" t="e">
        <v>#DIV/0!</v>
      </c>
      <c r="H515" s="134" t="e">
        <v>#DIV/0!</v>
      </c>
      <c r="I515" s="134" t="e">
        <v>#DIV/0!</v>
      </c>
      <c r="J515" s="134" t="e">
        <v>#DIV/0!</v>
      </c>
      <c r="K515" s="134" t="e">
        <v>#DIV/0!</v>
      </c>
      <c r="L515" s="134" t="e">
        <v>#DIV/0!</v>
      </c>
      <c r="M515" s="135" t="e">
        <v>#DIV/0!</v>
      </c>
      <c r="N515" s="128" t="e">
        <v>#DIV/0!</v>
      </c>
      <c r="O515" s="128">
        <v>0</v>
      </c>
      <c r="P515" s="190"/>
    </row>
    <row r="516" spans="3:16" s="245" customFormat="1" ht="15" hidden="1" customHeight="1">
      <c r="C516" s="379"/>
      <c r="D516" s="127">
        <v>24</v>
      </c>
      <c r="E516" s="406" t="s">
        <v>215</v>
      </c>
      <c r="F516" s="133">
        <v>0</v>
      </c>
      <c r="G516" s="134">
        <v>0</v>
      </c>
      <c r="H516" s="134">
        <v>0</v>
      </c>
      <c r="I516" s="134">
        <v>0</v>
      </c>
      <c r="J516" s="134">
        <v>0</v>
      </c>
      <c r="K516" s="134">
        <v>0</v>
      </c>
      <c r="L516" s="134">
        <v>0</v>
      </c>
      <c r="M516" s="135">
        <v>0</v>
      </c>
      <c r="N516" s="128">
        <v>0</v>
      </c>
      <c r="O516" s="128">
        <v>0</v>
      </c>
      <c r="P516" s="190"/>
    </row>
    <row r="517" spans="3:16" s="245" customFormat="1" ht="15" hidden="1" customHeight="1">
      <c r="C517" s="379"/>
      <c r="D517" s="127">
        <v>25</v>
      </c>
      <c r="E517" s="406" t="s">
        <v>6</v>
      </c>
      <c r="F517" s="133" t="e">
        <v>#DIV/0!</v>
      </c>
      <c r="G517" s="134" t="e">
        <v>#DIV/0!</v>
      </c>
      <c r="H517" s="134" t="e">
        <v>#DIV/0!</v>
      </c>
      <c r="I517" s="134" t="e">
        <v>#DIV/0!</v>
      </c>
      <c r="J517" s="134" t="e">
        <v>#DIV/0!</v>
      </c>
      <c r="K517" s="134" t="e">
        <v>#DIV/0!</v>
      </c>
      <c r="L517" s="134" t="e">
        <v>#DIV/0!</v>
      </c>
      <c r="M517" s="135" t="e">
        <v>#DIV/0!</v>
      </c>
      <c r="N517" s="128" t="e">
        <v>#DIV/0!</v>
      </c>
      <c r="O517" s="128">
        <v>0</v>
      </c>
      <c r="P517" s="190"/>
    </row>
    <row r="518" spans="3:16" s="245" customFormat="1" ht="15" hidden="1" customHeight="1">
      <c r="C518" s="379"/>
      <c r="D518" s="122"/>
      <c r="E518" s="407" t="s">
        <v>19</v>
      </c>
      <c r="F518" s="129"/>
      <c r="G518" s="130"/>
      <c r="H518" s="130"/>
      <c r="I518" s="130"/>
      <c r="J518" s="130"/>
      <c r="K518" s="130"/>
      <c r="L518" s="130"/>
      <c r="M518" s="131"/>
      <c r="N518" s="408"/>
      <c r="O518" s="136"/>
      <c r="P518" s="155"/>
    </row>
    <row r="519" spans="3:16" s="245" customFormat="1" ht="15" hidden="1" customHeight="1">
      <c r="C519" s="379"/>
      <c r="D519" s="127">
        <v>26</v>
      </c>
      <c r="E519" s="406" t="s">
        <v>460</v>
      </c>
      <c r="F519" s="133" t="e">
        <v>#DIV/0!</v>
      </c>
      <c r="G519" s="134" t="e">
        <v>#DIV/0!</v>
      </c>
      <c r="H519" s="134" t="e">
        <v>#DIV/0!</v>
      </c>
      <c r="I519" s="134" t="e">
        <v>#DIV/0!</v>
      </c>
      <c r="J519" s="134" t="e">
        <v>#DIV/0!</v>
      </c>
      <c r="K519" s="134" t="e">
        <v>#DIV/0!</v>
      </c>
      <c r="L519" s="134" t="e">
        <v>#DIV/0!</v>
      </c>
      <c r="M519" s="135" t="e">
        <v>#DIV/0!</v>
      </c>
      <c r="N519" s="128" t="e">
        <v>#DIV/0!</v>
      </c>
      <c r="O519" s="128">
        <v>0</v>
      </c>
      <c r="P519" s="190"/>
    </row>
    <row r="520" spans="3:16" s="245" customFormat="1" ht="15" hidden="1" customHeight="1">
      <c r="C520" s="379"/>
      <c r="D520" s="127">
        <v>27</v>
      </c>
      <c r="E520" s="406" t="s">
        <v>58</v>
      </c>
      <c r="F520" s="133">
        <v>0</v>
      </c>
      <c r="G520" s="134">
        <v>0</v>
      </c>
      <c r="H520" s="134">
        <v>0</v>
      </c>
      <c r="I520" s="134">
        <v>0</v>
      </c>
      <c r="J520" s="134">
        <v>0</v>
      </c>
      <c r="K520" s="134">
        <v>0</v>
      </c>
      <c r="L520" s="134">
        <v>0</v>
      </c>
      <c r="M520" s="135">
        <v>0</v>
      </c>
      <c r="N520" s="128">
        <v>0</v>
      </c>
      <c r="O520" s="128">
        <v>0</v>
      </c>
      <c r="P520" s="190"/>
    </row>
    <row r="521" spans="3:16" s="245" customFormat="1" ht="15" hidden="1" customHeight="1">
      <c r="C521" s="379"/>
      <c r="D521" s="127">
        <v>28</v>
      </c>
      <c r="E521" s="406" t="s">
        <v>43</v>
      </c>
      <c r="F521" s="137" t="e">
        <v>#DIV/0!</v>
      </c>
      <c r="G521" s="134" t="e">
        <v>#DIV/0!</v>
      </c>
      <c r="H521" s="134" t="e">
        <v>#DIV/0!</v>
      </c>
      <c r="I521" s="134" t="e">
        <v>#DIV/0!</v>
      </c>
      <c r="J521" s="134" t="e">
        <v>#DIV/0!</v>
      </c>
      <c r="K521" s="134" t="e">
        <v>#DIV/0!</v>
      </c>
      <c r="L521" s="134" t="e">
        <v>#DIV/0!</v>
      </c>
      <c r="M521" s="135" t="e">
        <v>#DIV/0!</v>
      </c>
      <c r="N521" s="128" t="e">
        <v>#DIV/0!</v>
      </c>
      <c r="O521" s="128">
        <v>0</v>
      </c>
      <c r="P521" s="155"/>
    </row>
    <row r="522" spans="3:16" s="245" customFormat="1" ht="15" hidden="1" customHeight="1">
      <c r="C522" s="379"/>
      <c r="D522" s="127">
        <v>29</v>
      </c>
      <c r="E522" s="406" t="s">
        <v>739</v>
      </c>
      <c r="F522" s="137">
        <v>0</v>
      </c>
      <c r="G522" s="134">
        <v>0</v>
      </c>
      <c r="H522" s="134">
        <v>0</v>
      </c>
      <c r="I522" s="134">
        <v>0</v>
      </c>
      <c r="J522" s="134">
        <v>0</v>
      </c>
      <c r="K522" s="134">
        <v>0</v>
      </c>
      <c r="L522" s="134">
        <v>0</v>
      </c>
      <c r="M522" s="135">
        <v>0</v>
      </c>
      <c r="N522" s="128">
        <v>0</v>
      </c>
      <c r="O522" s="128">
        <v>0</v>
      </c>
      <c r="P522" s="155"/>
    </row>
    <row r="523" spans="3:16" s="245" customFormat="1" ht="15" hidden="1" customHeight="1">
      <c r="C523" s="379"/>
      <c r="D523" s="127">
        <v>30</v>
      </c>
      <c r="E523" s="406" t="s">
        <v>770</v>
      </c>
      <c r="F523" s="431">
        <v>0</v>
      </c>
      <c r="G523" s="137">
        <v>0</v>
      </c>
      <c r="H523" s="137">
        <v>0</v>
      </c>
      <c r="I523" s="137">
        <v>0</v>
      </c>
      <c r="J523" s="137">
        <v>0</v>
      </c>
      <c r="K523" s="137">
        <v>0</v>
      </c>
      <c r="L523" s="137">
        <v>0</v>
      </c>
      <c r="M523" s="137">
        <v>0</v>
      </c>
      <c r="N523" s="128">
        <v>0</v>
      </c>
      <c r="O523" s="128">
        <v>0</v>
      </c>
      <c r="P523" s="155"/>
    </row>
    <row r="524" spans="3:16" s="245" customFormat="1" ht="15" hidden="1" customHeight="1">
      <c r="C524" s="379"/>
      <c r="D524" s="127">
        <v>31</v>
      </c>
      <c r="E524" s="406" t="s">
        <v>764</v>
      </c>
      <c r="F524" s="137">
        <v>0</v>
      </c>
      <c r="G524" s="134">
        <v>0</v>
      </c>
      <c r="H524" s="134">
        <v>0</v>
      </c>
      <c r="I524" s="134">
        <v>0</v>
      </c>
      <c r="J524" s="134">
        <v>0</v>
      </c>
      <c r="K524" s="134">
        <v>0</v>
      </c>
      <c r="L524" s="134">
        <v>0</v>
      </c>
      <c r="M524" s="135">
        <v>0</v>
      </c>
      <c r="N524" s="128">
        <v>0</v>
      </c>
      <c r="O524" s="128">
        <v>0</v>
      </c>
      <c r="P524" s="155"/>
    </row>
    <row r="525" spans="3:16" s="245" customFormat="1" ht="15" hidden="1" customHeight="1">
      <c r="C525" s="379"/>
      <c r="D525" s="127">
        <v>32</v>
      </c>
      <c r="E525" s="406" t="s">
        <v>9</v>
      </c>
      <c r="F525" s="137" t="e">
        <v>#DIV/0!</v>
      </c>
      <c r="G525" s="134" t="e">
        <v>#DIV/0!</v>
      </c>
      <c r="H525" s="134" t="e">
        <v>#DIV/0!</v>
      </c>
      <c r="I525" s="134" t="e">
        <v>#DIV/0!</v>
      </c>
      <c r="J525" s="134" t="e">
        <v>#DIV/0!</v>
      </c>
      <c r="K525" s="134" t="e">
        <v>#DIV/0!</v>
      </c>
      <c r="L525" s="134" t="e">
        <v>#DIV/0!</v>
      </c>
      <c r="M525" s="367" t="e">
        <v>#DIV/0!</v>
      </c>
      <c r="N525" s="128" t="e">
        <v>#DIV/0!</v>
      </c>
      <c r="O525" s="128">
        <v>0</v>
      </c>
      <c r="P525" s="155"/>
    </row>
    <row r="526" spans="3:16" s="245" customFormat="1" ht="15" hidden="1" customHeight="1">
      <c r="C526" s="379"/>
      <c r="D526" s="122"/>
      <c r="E526" s="407" t="s">
        <v>173</v>
      </c>
      <c r="F526" s="129"/>
      <c r="G526" s="130"/>
      <c r="H526" s="130"/>
      <c r="I526" s="130"/>
      <c r="J526" s="130"/>
      <c r="K526" s="198"/>
      <c r="L526" s="130"/>
      <c r="M526" s="131"/>
      <c r="N526" s="408"/>
      <c r="O526" s="136"/>
      <c r="P526" s="155"/>
    </row>
    <row r="527" spans="3:16" s="245" customFormat="1" ht="15" hidden="1" customHeight="1">
      <c r="C527" s="379"/>
      <c r="D527" s="127">
        <v>33</v>
      </c>
      <c r="E527" s="406" t="s">
        <v>173</v>
      </c>
      <c r="F527" s="133" t="e">
        <v>#DIV/0!</v>
      </c>
      <c r="G527" s="134" t="e">
        <v>#DIV/0!</v>
      </c>
      <c r="H527" s="134" t="e">
        <v>#DIV/0!</v>
      </c>
      <c r="I527" s="134" t="e">
        <v>#DIV/0!</v>
      </c>
      <c r="J527" s="134" t="e">
        <v>#DIV/0!</v>
      </c>
      <c r="K527" s="134" t="e">
        <v>#DIV/0!</v>
      </c>
      <c r="L527" s="134" t="e">
        <v>#DIV/0!</v>
      </c>
      <c r="M527" s="135" t="e">
        <v>#DIV/0!</v>
      </c>
      <c r="N527" s="128" t="e">
        <v>#DIV/0!</v>
      </c>
      <c r="O527" s="128">
        <v>0</v>
      </c>
      <c r="P527" s="155"/>
    </row>
    <row r="528" spans="3:16" s="245" customFormat="1" ht="15" hidden="1" customHeight="1">
      <c r="C528" s="379"/>
      <c r="D528" s="127">
        <v>34</v>
      </c>
      <c r="E528" s="406" t="s">
        <v>187</v>
      </c>
      <c r="F528" s="133">
        <v>0</v>
      </c>
      <c r="G528" s="134">
        <v>0</v>
      </c>
      <c r="H528" s="134">
        <v>0</v>
      </c>
      <c r="I528" s="134">
        <v>0</v>
      </c>
      <c r="J528" s="134">
        <v>0</v>
      </c>
      <c r="K528" s="134">
        <v>0</v>
      </c>
      <c r="L528" s="134">
        <v>0</v>
      </c>
      <c r="M528" s="135">
        <v>0</v>
      </c>
      <c r="N528" s="128">
        <v>0</v>
      </c>
      <c r="O528" s="128">
        <v>0</v>
      </c>
      <c r="P528" s="155"/>
    </row>
    <row r="529" spans="3:16" s="245" customFormat="1" ht="15" hidden="1" customHeight="1">
      <c r="C529" s="378"/>
      <c r="D529" s="122"/>
      <c r="E529" s="407" t="s">
        <v>297</v>
      </c>
      <c r="F529" s="129"/>
      <c r="G529" s="130"/>
      <c r="H529" s="130"/>
      <c r="I529" s="130"/>
      <c r="J529" s="130"/>
      <c r="K529" s="198"/>
      <c r="L529" s="130"/>
      <c r="M529" s="131"/>
      <c r="N529" s="408"/>
      <c r="O529" s="136"/>
      <c r="P529" s="155"/>
    </row>
    <row r="530" spans="3:16" s="245" customFormat="1" ht="15" hidden="1" customHeight="1">
      <c r="C530" s="378"/>
      <c r="D530" s="127">
        <v>35</v>
      </c>
      <c r="E530" s="409">
        <v>42460</v>
      </c>
      <c r="F530" s="137" t="e">
        <v>#DIV/0!</v>
      </c>
      <c r="G530" s="134" t="e">
        <v>#DIV/0!</v>
      </c>
      <c r="H530" s="134" t="e">
        <v>#DIV/0!</v>
      </c>
      <c r="I530" s="134" t="e">
        <v>#DIV/0!</v>
      </c>
      <c r="J530" s="134" t="e">
        <v>#DIV/0!</v>
      </c>
      <c r="K530" s="134" t="e">
        <v>#DIV/0!</v>
      </c>
      <c r="L530" s="134" t="e">
        <v>#DIV/0!</v>
      </c>
      <c r="M530" s="135" t="e">
        <v>#DIV/0!</v>
      </c>
      <c r="N530" s="128" t="e">
        <v>#DIV/0!</v>
      </c>
      <c r="O530" s="128">
        <v>0</v>
      </c>
      <c r="P530" s="155"/>
    </row>
    <row r="531" spans="3:16" s="245" customFormat="1" ht="15" hidden="1" customHeight="1">
      <c r="C531" s="378"/>
      <c r="D531" s="127">
        <v>36</v>
      </c>
      <c r="E531" s="409">
        <v>42825</v>
      </c>
      <c r="F531" s="137" t="s">
        <v>196</v>
      </c>
      <c r="G531" s="134" t="s">
        <v>196</v>
      </c>
      <c r="H531" s="134" t="s">
        <v>196</v>
      </c>
      <c r="I531" s="134" t="s">
        <v>196</v>
      </c>
      <c r="J531" s="134" t="s">
        <v>196</v>
      </c>
      <c r="K531" s="134" t="s">
        <v>196</v>
      </c>
      <c r="L531" s="134" t="s">
        <v>196</v>
      </c>
      <c r="M531" s="135" t="s">
        <v>196</v>
      </c>
      <c r="N531" s="128">
        <v>0</v>
      </c>
      <c r="O531" s="128">
        <v>0</v>
      </c>
      <c r="P531" s="155"/>
    </row>
    <row r="532" spans="3:16" s="245" customFormat="1" ht="15" hidden="1" customHeight="1">
      <c r="C532" s="378"/>
      <c r="D532" s="127">
        <v>37</v>
      </c>
      <c r="E532" s="409">
        <v>43190</v>
      </c>
      <c r="F532" s="137" t="s">
        <v>196</v>
      </c>
      <c r="G532" s="134" t="s">
        <v>196</v>
      </c>
      <c r="H532" s="134" t="s">
        <v>196</v>
      </c>
      <c r="I532" s="134" t="s">
        <v>196</v>
      </c>
      <c r="J532" s="134" t="s">
        <v>196</v>
      </c>
      <c r="K532" s="134" t="s">
        <v>196</v>
      </c>
      <c r="L532" s="134" t="s">
        <v>196</v>
      </c>
      <c r="M532" s="135" t="s">
        <v>196</v>
      </c>
      <c r="N532" s="128">
        <v>0</v>
      </c>
      <c r="O532" s="128">
        <v>0</v>
      </c>
      <c r="P532" s="155"/>
    </row>
    <row r="533" spans="3:16" s="245" customFormat="1" ht="15" hidden="1" customHeight="1">
      <c r="C533" s="378"/>
      <c r="D533" s="127">
        <v>38</v>
      </c>
      <c r="E533" s="409">
        <v>43555</v>
      </c>
      <c r="F533" s="137" t="s">
        <v>196</v>
      </c>
      <c r="G533" s="134" t="s">
        <v>196</v>
      </c>
      <c r="H533" s="134" t="s">
        <v>196</v>
      </c>
      <c r="I533" s="134" t="s">
        <v>196</v>
      </c>
      <c r="J533" s="134" t="s">
        <v>196</v>
      </c>
      <c r="K533" s="134" t="s">
        <v>196</v>
      </c>
      <c r="L533" s="134" t="s">
        <v>196</v>
      </c>
      <c r="M533" s="135" t="s">
        <v>196</v>
      </c>
      <c r="N533" s="128">
        <v>0</v>
      </c>
      <c r="O533" s="128">
        <v>0</v>
      </c>
      <c r="P533" s="155"/>
    </row>
    <row r="534" spans="3:16" s="245" customFormat="1" ht="15" hidden="1" customHeight="1">
      <c r="C534" s="378"/>
      <c r="D534" s="127">
        <v>39</v>
      </c>
      <c r="E534" s="409">
        <v>43921</v>
      </c>
      <c r="F534" s="137" t="s">
        <v>196</v>
      </c>
      <c r="G534" s="134" t="s">
        <v>196</v>
      </c>
      <c r="H534" s="134" t="s">
        <v>196</v>
      </c>
      <c r="I534" s="134" t="s">
        <v>196</v>
      </c>
      <c r="J534" s="134" t="s">
        <v>196</v>
      </c>
      <c r="K534" s="134" t="s">
        <v>196</v>
      </c>
      <c r="L534" s="134" t="s">
        <v>196</v>
      </c>
      <c r="M534" s="135" t="s">
        <v>196</v>
      </c>
      <c r="N534" s="128">
        <v>0</v>
      </c>
      <c r="O534" s="128">
        <v>0</v>
      </c>
      <c r="P534" s="155"/>
    </row>
    <row r="535" spans="3:16" s="245" customFormat="1" ht="15" hidden="1" customHeight="1">
      <c r="C535" s="378"/>
      <c r="D535" s="127">
        <v>40</v>
      </c>
      <c r="E535" s="409">
        <v>44286</v>
      </c>
      <c r="F535" s="137" t="s">
        <v>196</v>
      </c>
      <c r="G535" s="134" t="s">
        <v>196</v>
      </c>
      <c r="H535" s="134" t="s">
        <v>196</v>
      </c>
      <c r="I535" s="134" t="s">
        <v>196</v>
      </c>
      <c r="J535" s="134" t="s">
        <v>196</v>
      </c>
      <c r="K535" s="134" t="s">
        <v>196</v>
      </c>
      <c r="L535" s="134" t="s">
        <v>196</v>
      </c>
      <c r="M535" s="135" t="s">
        <v>196</v>
      </c>
      <c r="N535" s="128">
        <v>0</v>
      </c>
      <c r="O535" s="128">
        <v>0</v>
      </c>
      <c r="P535" s="155"/>
    </row>
    <row r="536" spans="3:16" s="245" customFormat="1" ht="15" hidden="1" customHeight="1">
      <c r="C536" s="378"/>
      <c r="D536" s="127">
        <v>41</v>
      </c>
      <c r="E536" s="409">
        <v>44651</v>
      </c>
      <c r="F536" s="137" t="s">
        <v>196</v>
      </c>
      <c r="G536" s="134" t="s">
        <v>196</v>
      </c>
      <c r="H536" s="134" t="s">
        <v>196</v>
      </c>
      <c r="I536" s="134" t="s">
        <v>196</v>
      </c>
      <c r="J536" s="134" t="s">
        <v>196</v>
      </c>
      <c r="K536" s="134" t="s">
        <v>196</v>
      </c>
      <c r="L536" s="134" t="s">
        <v>196</v>
      </c>
      <c r="M536" s="135" t="s">
        <v>196</v>
      </c>
      <c r="N536" s="128">
        <v>0</v>
      </c>
      <c r="O536" s="128">
        <v>0</v>
      </c>
      <c r="P536" s="155"/>
    </row>
    <row r="537" spans="3:16" s="245" customFormat="1" ht="15" hidden="1" customHeight="1">
      <c r="C537" s="378"/>
      <c r="D537" s="127">
        <v>42</v>
      </c>
      <c r="E537" s="409">
        <v>45016</v>
      </c>
      <c r="F537" s="137" t="s">
        <v>196</v>
      </c>
      <c r="G537" s="134" t="s">
        <v>196</v>
      </c>
      <c r="H537" s="134" t="s">
        <v>196</v>
      </c>
      <c r="I537" s="134" t="s">
        <v>196</v>
      </c>
      <c r="J537" s="134" t="s">
        <v>196</v>
      </c>
      <c r="K537" s="134" t="s">
        <v>196</v>
      </c>
      <c r="L537" s="134" t="s">
        <v>196</v>
      </c>
      <c r="M537" s="135" t="s">
        <v>196</v>
      </c>
      <c r="N537" s="128">
        <v>0</v>
      </c>
      <c r="O537" s="128">
        <v>0</v>
      </c>
      <c r="P537" s="155"/>
    </row>
    <row r="538" spans="3:16" s="245" customFormat="1" ht="15" hidden="1" customHeight="1">
      <c r="C538" s="378"/>
      <c r="D538" s="122"/>
      <c r="E538" s="407" t="s">
        <v>461</v>
      </c>
      <c r="F538" s="129"/>
      <c r="G538" s="130"/>
      <c r="H538" s="130"/>
      <c r="I538" s="130"/>
      <c r="J538" s="130"/>
      <c r="K538" s="198"/>
      <c r="L538" s="130"/>
      <c r="M538" s="131"/>
      <c r="N538" s="408"/>
      <c r="O538" s="136"/>
      <c r="P538" s="155"/>
    </row>
    <row r="539" spans="3:16" s="245" customFormat="1" ht="15" hidden="1" customHeight="1">
      <c r="C539" s="378"/>
      <c r="D539" s="127">
        <v>43</v>
      </c>
      <c r="E539" s="409">
        <v>42460</v>
      </c>
      <c r="F539" s="137">
        <v>0</v>
      </c>
      <c r="G539" s="134">
        <v>0</v>
      </c>
      <c r="H539" s="134">
        <v>0</v>
      </c>
      <c r="I539" s="134">
        <v>0</v>
      </c>
      <c r="J539" s="134">
        <v>0</v>
      </c>
      <c r="K539" s="134">
        <v>0</v>
      </c>
      <c r="L539" s="134">
        <v>0</v>
      </c>
      <c r="M539" s="135">
        <v>0</v>
      </c>
      <c r="N539" s="128">
        <v>0</v>
      </c>
      <c r="O539" s="128"/>
      <c r="P539" s="155"/>
    </row>
    <row r="540" spans="3:16" s="245" customFormat="1" ht="15" hidden="1" customHeight="1">
      <c r="C540" s="378"/>
      <c r="D540" s="127">
        <v>44</v>
      </c>
      <c r="E540" s="409">
        <v>42825</v>
      </c>
      <c r="F540" s="137" t="s">
        <v>196</v>
      </c>
      <c r="G540" s="134" t="s">
        <v>196</v>
      </c>
      <c r="H540" s="134" t="s">
        <v>196</v>
      </c>
      <c r="I540" s="134" t="s">
        <v>196</v>
      </c>
      <c r="J540" s="134" t="s">
        <v>196</v>
      </c>
      <c r="K540" s="134" t="s">
        <v>196</v>
      </c>
      <c r="L540" s="134" t="s">
        <v>196</v>
      </c>
      <c r="M540" s="135" t="s">
        <v>196</v>
      </c>
      <c r="N540" s="128">
        <v>0</v>
      </c>
      <c r="O540" s="128"/>
      <c r="P540" s="155"/>
    </row>
    <row r="541" spans="3:16" s="245" customFormat="1" ht="15" hidden="1" customHeight="1">
      <c r="C541" s="378"/>
      <c r="D541" s="127">
        <v>45</v>
      </c>
      <c r="E541" s="409">
        <v>43190</v>
      </c>
      <c r="F541" s="137" t="s">
        <v>196</v>
      </c>
      <c r="G541" s="134" t="s">
        <v>196</v>
      </c>
      <c r="H541" s="134" t="s">
        <v>196</v>
      </c>
      <c r="I541" s="134" t="s">
        <v>196</v>
      </c>
      <c r="J541" s="134" t="s">
        <v>196</v>
      </c>
      <c r="K541" s="134" t="s">
        <v>196</v>
      </c>
      <c r="L541" s="134" t="s">
        <v>196</v>
      </c>
      <c r="M541" s="135" t="s">
        <v>196</v>
      </c>
      <c r="N541" s="128">
        <v>0</v>
      </c>
      <c r="O541" s="128"/>
      <c r="P541" s="155"/>
    </row>
    <row r="542" spans="3:16" s="245" customFormat="1" ht="15" hidden="1" customHeight="1">
      <c r="C542" s="378"/>
      <c r="D542" s="127">
        <v>46</v>
      </c>
      <c r="E542" s="409">
        <v>43555</v>
      </c>
      <c r="F542" s="137" t="s">
        <v>196</v>
      </c>
      <c r="G542" s="134" t="s">
        <v>196</v>
      </c>
      <c r="H542" s="134" t="s">
        <v>196</v>
      </c>
      <c r="I542" s="134" t="s">
        <v>196</v>
      </c>
      <c r="J542" s="134" t="s">
        <v>196</v>
      </c>
      <c r="K542" s="134" t="s">
        <v>196</v>
      </c>
      <c r="L542" s="134" t="s">
        <v>196</v>
      </c>
      <c r="M542" s="135" t="s">
        <v>196</v>
      </c>
      <c r="N542" s="128">
        <v>0</v>
      </c>
      <c r="O542" s="128"/>
      <c r="P542" s="155"/>
    </row>
    <row r="543" spans="3:16" s="245" customFormat="1" ht="15" hidden="1" customHeight="1">
      <c r="C543" s="378"/>
      <c r="D543" s="127">
        <v>47</v>
      </c>
      <c r="E543" s="409">
        <v>43921</v>
      </c>
      <c r="F543" s="137" t="s">
        <v>196</v>
      </c>
      <c r="G543" s="134" t="s">
        <v>196</v>
      </c>
      <c r="H543" s="134" t="s">
        <v>196</v>
      </c>
      <c r="I543" s="134" t="s">
        <v>196</v>
      </c>
      <c r="J543" s="134" t="s">
        <v>196</v>
      </c>
      <c r="K543" s="134" t="s">
        <v>196</v>
      </c>
      <c r="L543" s="134" t="s">
        <v>196</v>
      </c>
      <c r="M543" s="135" t="s">
        <v>196</v>
      </c>
      <c r="N543" s="128">
        <v>0</v>
      </c>
      <c r="O543" s="128"/>
      <c r="P543" s="155"/>
    </row>
    <row r="544" spans="3:16" s="245" customFormat="1" ht="15" hidden="1" customHeight="1">
      <c r="C544" s="378"/>
      <c r="D544" s="127">
        <v>48</v>
      </c>
      <c r="E544" s="409">
        <v>44286</v>
      </c>
      <c r="F544" s="137" t="s">
        <v>196</v>
      </c>
      <c r="G544" s="134" t="s">
        <v>196</v>
      </c>
      <c r="H544" s="134" t="s">
        <v>196</v>
      </c>
      <c r="I544" s="134" t="s">
        <v>196</v>
      </c>
      <c r="J544" s="134" t="s">
        <v>196</v>
      </c>
      <c r="K544" s="134" t="s">
        <v>196</v>
      </c>
      <c r="L544" s="134" t="s">
        <v>196</v>
      </c>
      <c r="M544" s="135" t="s">
        <v>196</v>
      </c>
      <c r="N544" s="128">
        <v>0</v>
      </c>
      <c r="O544" s="128"/>
      <c r="P544" s="155"/>
    </row>
    <row r="545" spans="3:16" s="245" customFormat="1" ht="15" hidden="1" customHeight="1">
      <c r="C545" s="378"/>
      <c r="D545" s="127">
        <v>49</v>
      </c>
      <c r="E545" s="409">
        <v>44651</v>
      </c>
      <c r="F545" s="137" t="s">
        <v>196</v>
      </c>
      <c r="G545" s="134" t="s">
        <v>196</v>
      </c>
      <c r="H545" s="134" t="s">
        <v>196</v>
      </c>
      <c r="I545" s="134" t="s">
        <v>196</v>
      </c>
      <c r="J545" s="134" t="s">
        <v>196</v>
      </c>
      <c r="K545" s="134" t="s">
        <v>196</v>
      </c>
      <c r="L545" s="134" t="s">
        <v>196</v>
      </c>
      <c r="M545" s="135" t="s">
        <v>196</v>
      </c>
      <c r="N545" s="128">
        <v>0</v>
      </c>
      <c r="O545" s="128"/>
      <c r="P545" s="155"/>
    </row>
    <row r="546" spans="3:16" s="245" customFormat="1" ht="15" hidden="1" customHeight="1">
      <c r="C546" s="378"/>
      <c r="D546" s="127">
        <v>50</v>
      </c>
      <c r="E546" s="409">
        <v>45016</v>
      </c>
      <c r="F546" s="137" t="s">
        <v>196</v>
      </c>
      <c r="G546" s="134" t="s">
        <v>196</v>
      </c>
      <c r="H546" s="134" t="s">
        <v>196</v>
      </c>
      <c r="I546" s="134" t="s">
        <v>196</v>
      </c>
      <c r="J546" s="134" t="s">
        <v>196</v>
      </c>
      <c r="K546" s="134" t="s">
        <v>196</v>
      </c>
      <c r="L546" s="134" t="s">
        <v>196</v>
      </c>
      <c r="M546" s="135" t="s">
        <v>196</v>
      </c>
      <c r="N546" s="128">
        <v>0</v>
      </c>
      <c r="O546" s="128"/>
      <c r="P546" s="155"/>
    </row>
    <row r="547" spans="3:16" s="245" customFormat="1" ht="15" hidden="1" customHeight="1">
      <c r="C547" s="378"/>
      <c r="D547" s="122"/>
      <c r="E547" s="407" t="s">
        <v>468</v>
      </c>
      <c r="F547" s="129"/>
      <c r="G547" s="130"/>
      <c r="H547" s="130"/>
      <c r="I547" s="130"/>
      <c r="J547" s="130"/>
      <c r="K547" s="198"/>
      <c r="L547" s="130"/>
      <c r="M547" s="131"/>
      <c r="N547" s="408"/>
      <c r="O547" s="136"/>
      <c r="P547" s="155"/>
    </row>
    <row r="548" spans="3:16" s="245" customFormat="1" ht="15" hidden="1" customHeight="1">
      <c r="C548" s="378"/>
      <c r="D548" s="127">
        <v>51</v>
      </c>
      <c r="E548" s="406" t="s">
        <v>445</v>
      </c>
      <c r="F548" s="133" t="e">
        <v>#DIV/0!</v>
      </c>
      <c r="G548" s="134" t="e">
        <v>#DIV/0!</v>
      </c>
      <c r="H548" s="134" t="e">
        <v>#DIV/0!</v>
      </c>
      <c r="I548" s="134" t="e">
        <v>#DIV/0!</v>
      </c>
      <c r="J548" s="134" t="e">
        <v>#DIV/0!</v>
      </c>
      <c r="K548" s="134" t="e">
        <v>#DIV/0!</v>
      </c>
      <c r="L548" s="134" t="e">
        <v>#DIV/0!</v>
      </c>
      <c r="M548" s="135" t="e">
        <v>#DIV/0!</v>
      </c>
      <c r="N548" s="128" t="e">
        <v>#DIV/0!</v>
      </c>
      <c r="O548" s="128">
        <v>0</v>
      </c>
      <c r="P548" s="155"/>
    </row>
    <row r="549" spans="3:16" s="245" customFormat="1" ht="15" hidden="1" customHeight="1">
      <c r="C549" s="378"/>
      <c r="D549" s="127">
        <v>52</v>
      </c>
      <c r="E549" s="406" t="s">
        <v>446</v>
      </c>
      <c r="F549" s="222">
        <v>0</v>
      </c>
      <c r="G549" s="223">
        <v>0</v>
      </c>
      <c r="H549" s="223">
        <v>0</v>
      </c>
      <c r="I549" s="223">
        <v>0</v>
      </c>
      <c r="J549" s="223">
        <v>0</v>
      </c>
      <c r="K549" s="223">
        <v>0</v>
      </c>
      <c r="L549" s="223">
        <v>0</v>
      </c>
      <c r="M549" s="224">
        <v>0</v>
      </c>
      <c r="N549" s="225" t="e">
        <v>#DIV/0!</v>
      </c>
      <c r="O549" s="225">
        <v>0</v>
      </c>
      <c r="P549" s="155"/>
    </row>
    <row r="550" spans="3:16" s="245" customFormat="1" ht="15" hidden="1" customHeight="1">
      <c r="C550" s="379"/>
      <c r="D550" s="127">
        <v>53</v>
      </c>
      <c r="E550" s="406" t="s">
        <v>431</v>
      </c>
      <c r="F550" s="133" t="e">
        <v>#DIV/0!</v>
      </c>
      <c r="G550" s="134" t="e">
        <v>#DIV/0!</v>
      </c>
      <c r="H550" s="134" t="e">
        <v>#DIV/0!</v>
      </c>
      <c r="I550" s="134" t="e">
        <v>#DIV/0!</v>
      </c>
      <c r="J550" s="134" t="e">
        <v>#DIV/0!</v>
      </c>
      <c r="K550" s="134" t="e">
        <v>#DIV/0!</v>
      </c>
      <c r="L550" s="134" t="e">
        <v>#DIV/0!</v>
      </c>
      <c r="M550" s="135" t="e">
        <v>#DIV/0!</v>
      </c>
      <c r="N550" s="128" t="e">
        <v>#DIV/0!</v>
      </c>
      <c r="O550" s="128">
        <v>0</v>
      </c>
      <c r="P550" s="155"/>
    </row>
    <row r="551" spans="3:16" s="245" customFormat="1" ht="15" hidden="1" customHeight="1">
      <c r="C551" s="379"/>
      <c r="D551" s="127">
        <v>54</v>
      </c>
      <c r="E551" s="406" t="s">
        <v>447</v>
      </c>
      <c r="F551" s="137" t="e">
        <v>#DIV/0!</v>
      </c>
      <c r="G551" s="134" t="e">
        <v>#DIV/0!</v>
      </c>
      <c r="H551" s="134" t="e">
        <v>#DIV/0!</v>
      </c>
      <c r="I551" s="134" t="e">
        <v>#DIV/0!</v>
      </c>
      <c r="J551" s="134" t="e">
        <v>#DIV/0!</v>
      </c>
      <c r="K551" s="134" t="e">
        <v>#DIV/0!</v>
      </c>
      <c r="L551" s="134" t="e">
        <v>#DIV/0!</v>
      </c>
      <c r="M551" s="135" t="e">
        <v>#DIV/0!</v>
      </c>
      <c r="N551" s="128" t="e">
        <v>#DIV/0!</v>
      </c>
      <c r="O551" s="128">
        <v>0</v>
      </c>
      <c r="P551" s="155"/>
    </row>
    <row r="552" spans="3:16" s="245" customFormat="1" ht="15" hidden="1" customHeight="1" thickBot="1">
      <c r="C552" s="379"/>
      <c r="D552" s="138">
        <v>55</v>
      </c>
      <c r="E552" s="410" t="s">
        <v>677</v>
      </c>
      <c r="F552" s="254" t="e">
        <v>#DIV/0!</v>
      </c>
      <c r="G552" s="139" t="e">
        <v>#DIV/0!</v>
      </c>
      <c r="H552" s="139" t="e">
        <v>#DIV/0!</v>
      </c>
      <c r="I552" s="139" t="e">
        <v>#DIV/0!</v>
      </c>
      <c r="J552" s="139" t="e">
        <v>#DIV/0!</v>
      </c>
      <c r="K552" s="139" t="e">
        <v>#DIV/0!</v>
      </c>
      <c r="L552" s="139" t="e">
        <v>#DIV/0!</v>
      </c>
      <c r="M552" s="226" t="e">
        <v>#DIV/0!</v>
      </c>
      <c r="N552" s="253"/>
      <c r="O552" s="253">
        <v>0</v>
      </c>
      <c r="P552" s="155"/>
    </row>
    <row r="553" spans="3:16" s="245" customFormat="1" ht="15" hidden="1" customHeight="1">
      <c r="C553" s="379"/>
      <c r="D553" s="244"/>
      <c r="E553" s="402"/>
      <c r="F553" s="155"/>
      <c r="G553" s="155"/>
      <c r="H553" s="155"/>
      <c r="I553" s="155"/>
      <c r="J553" s="155"/>
      <c r="K553" s="155"/>
      <c r="L553" s="155"/>
      <c r="M553" s="155"/>
      <c r="N553" s="155"/>
      <c r="O553" s="155"/>
      <c r="P553" s="155"/>
    </row>
    <row r="554" spans="3:16" s="245" customFormat="1" ht="15" hidden="1" customHeight="1">
      <c r="C554" s="378"/>
      <c r="D554" s="244"/>
      <c r="E554" s="190"/>
      <c r="F554" s="155"/>
      <c r="G554" s="155"/>
      <c r="H554" s="155"/>
      <c r="I554" s="155"/>
      <c r="J554" s="155"/>
      <c r="K554" s="155"/>
      <c r="L554" s="155"/>
      <c r="M554" s="383"/>
      <c r="N554" s="155"/>
      <c r="O554" s="155"/>
      <c r="P554" s="155"/>
    </row>
    <row r="555" spans="3:16" s="245" customFormat="1" ht="15" hidden="1" customHeight="1">
      <c r="C555" s="378"/>
      <c r="D555" s="244"/>
      <c r="E555" s="190"/>
      <c r="F555" s="155"/>
      <c r="G555" s="155"/>
      <c r="H555" s="155"/>
      <c r="I555" s="155"/>
      <c r="J555" s="155"/>
      <c r="K555" s="155"/>
      <c r="L555" s="155"/>
      <c r="M555" s="383"/>
      <c r="N555" s="155"/>
      <c r="O555" s="155"/>
      <c r="P555" s="155"/>
    </row>
    <row r="556" spans="3:16" s="245" customFormat="1" ht="15" hidden="1" customHeight="1">
      <c r="C556" s="378"/>
      <c r="D556" s="244"/>
      <c r="E556" s="190"/>
      <c r="F556" s="155"/>
      <c r="G556" s="155"/>
      <c r="H556" s="155"/>
      <c r="I556" s="155"/>
      <c r="J556" s="155"/>
      <c r="K556" s="155"/>
      <c r="L556" s="155"/>
      <c r="M556" s="383"/>
      <c r="N556" s="155"/>
      <c r="O556" s="155"/>
      <c r="P556" s="155"/>
    </row>
    <row r="557" spans="3:16" s="245" customFormat="1" ht="15" hidden="1" customHeight="1">
      <c r="C557" s="378"/>
      <c r="D557" s="244"/>
      <c r="E557" s="190"/>
      <c r="F557" s="378"/>
      <c r="G557" s="378"/>
      <c r="H557" s="378"/>
      <c r="I557" s="378"/>
      <c r="J557" s="378"/>
      <c r="K557" s="378"/>
      <c r="L557" s="378"/>
      <c r="M557" s="378"/>
      <c r="N557" s="378"/>
      <c r="O557" s="378"/>
      <c r="P557" s="155"/>
    </row>
    <row r="558" spans="3:16" s="245" customFormat="1" ht="15" customHeight="1">
      <c r="C558" s="380" t="s">
        <v>811</v>
      </c>
      <c r="D558" s="380"/>
      <c r="E558" s="380"/>
      <c r="F558" s="380"/>
      <c r="G558" s="380"/>
      <c r="H558" s="380"/>
      <c r="I558" s="380"/>
      <c r="J558" s="380"/>
      <c r="K558" s="380"/>
      <c r="L558" s="380"/>
      <c r="M558" s="380"/>
      <c r="N558" s="380"/>
      <c r="O558" s="380"/>
      <c r="P558" s="155"/>
    </row>
    <row r="559" spans="3:16" s="245" customFormat="1" ht="15" customHeight="1">
      <c r="C559" s="379"/>
      <c r="D559" s="379"/>
      <c r="E559" s="379"/>
      <c r="F559" s="379"/>
      <c r="G559" s="379"/>
      <c r="H559" s="379"/>
      <c r="I559" s="379"/>
      <c r="J559" s="379"/>
      <c r="K559" s="379"/>
      <c r="L559" s="379"/>
      <c r="M559" s="379"/>
      <c r="N559" s="379"/>
      <c r="O559" s="379"/>
      <c r="P559" s="155"/>
    </row>
    <row r="560" spans="3:16" s="245" customFormat="1" ht="15" customHeight="1">
      <c r="C560" s="379"/>
      <c r="D560" s="376"/>
      <c r="E560" s="376"/>
      <c r="F560" s="377"/>
      <c r="G560" s="377"/>
      <c r="H560" s="377"/>
      <c r="I560" s="377"/>
      <c r="J560" s="377"/>
      <c r="K560" s="377"/>
      <c r="L560" s="377"/>
      <c r="M560" s="377"/>
      <c r="N560" s="376"/>
      <c r="O560" s="376"/>
      <c r="P560" s="155"/>
    </row>
    <row r="561" spans="3:16" s="245" customFormat="1" ht="15" customHeight="1">
      <c r="C561" s="379"/>
      <c r="D561" s="376"/>
      <c r="E561" s="381" t="s">
        <v>56</v>
      </c>
      <c r="F561" s="381" t="s">
        <v>234</v>
      </c>
      <c r="G561" s="377"/>
      <c r="H561" s="381" t="s">
        <v>37</v>
      </c>
      <c r="I561" s="377"/>
      <c r="J561" s="377"/>
      <c r="K561" s="377"/>
      <c r="L561" s="377"/>
      <c r="M561" s="377"/>
      <c r="N561" s="376"/>
      <c r="O561" s="376"/>
      <c r="P561" s="155"/>
    </row>
    <row r="562" spans="3:16" s="245" customFormat="1" ht="15" customHeight="1">
      <c r="C562" s="379"/>
      <c r="D562" s="118"/>
      <c r="E562" s="118" t="s">
        <v>514</v>
      </c>
      <c r="F562" s="345">
        <v>42460</v>
      </c>
      <c r="G562" s="119"/>
      <c r="H562" s="118" t="s">
        <v>851</v>
      </c>
      <c r="I562" s="119"/>
      <c r="J562" s="119"/>
      <c r="K562" s="119"/>
      <c r="L562" s="119"/>
      <c r="M562" s="119"/>
      <c r="N562" s="118"/>
      <c r="O562" s="118"/>
      <c r="P562" s="155"/>
    </row>
    <row r="563" spans="3:16" s="245" customFormat="1" ht="15" customHeight="1" thickBot="1">
      <c r="C563" s="379"/>
      <c r="D563" s="379"/>
      <c r="E563" s="379"/>
      <c r="F563" s="430"/>
      <c r="G563" s="430"/>
      <c r="H563" s="430"/>
      <c r="I563" s="430"/>
      <c r="J563" s="430"/>
      <c r="K563" s="430"/>
      <c r="L563" s="430"/>
      <c r="M563" s="430"/>
      <c r="N563" s="379"/>
      <c r="O563" s="379"/>
      <c r="P563" s="155"/>
    </row>
    <row r="564" spans="3:16" s="245" customFormat="1" ht="15" customHeight="1">
      <c r="C564" s="379"/>
      <c r="D564" s="120"/>
      <c r="E564" s="189" t="s">
        <v>231</v>
      </c>
      <c r="F564" s="181">
        <v>42460</v>
      </c>
      <c r="G564" s="182">
        <v>42825</v>
      </c>
      <c r="H564" s="182">
        <v>43190</v>
      </c>
      <c r="I564" s="182">
        <v>43555</v>
      </c>
      <c r="J564" s="182">
        <v>43921</v>
      </c>
      <c r="K564" s="182">
        <v>44286</v>
      </c>
      <c r="L564" s="182">
        <v>44651</v>
      </c>
      <c r="M564" s="183">
        <v>45016</v>
      </c>
      <c r="N564" s="243" t="s">
        <v>83</v>
      </c>
      <c r="O564" s="184" t="s">
        <v>84</v>
      </c>
      <c r="P564" s="155"/>
    </row>
    <row r="565" spans="3:16" s="245" customFormat="1" ht="15" customHeight="1">
      <c r="C565" s="379"/>
      <c r="D565" s="121"/>
      <c r="E565" s="406" t="s">
        <v>235</v>
      </c>
      <c r="F565" s="185" t="s">
        <v>728</v>
      </c>
      <c r="G565" s="186" t="s">
        <v>728</v>
      </c>
      <c r="H565" s="186" t="s">
        <v>728</v>
      </c>
      <c r="I565" s="186" t="s">
        <v>728</v>
      </c>
      <c r="J565" s="186" t="s">
        <v>728</v>
      </c>
      <c r="K565" s="186" t="s">
        <v>728</v>
      </c>
      <c r="L565" s="186" t="s">
        <v>728</v>
      </c>
      <c r="M565" s="187" t="s">
        <v>728</v>
      </c>
      <c r="N565" s="188" t="s">
        <v>728</v>
      </c>
      <c r="O565" s="188" t="s">
        <v>728</v>
      </c>
      <c r="P565" s="155"/>
    </row>
    <row r="566" spans="3:16" s="245" customFormat="1" ht="15" customHeight="1">
      <c r="C566" s="379"/>
      <c r="D566" s="122"/>
      <c r="E566" s="407" t="s">
        <v>67</v>
      </c>
      <c r="F566" s="123"/>
      <c r="G566" s="124"/>
      <c r="H566" s="124"/>
      <c r="I566" s="124"/>
      <c r="J566" s="124"/>
      <c r="K566" s="124"/>
      <c r="L566" s="124"/>
      <c r="M566" s="125"/>
      <c r="N566" s="126"/>
      <c r="O566" s="126"/>
      <c r="P566" s="155"/>
    </row>
    <row r="567" spans="3:16" s="245" customFormat="1" ht="15" customHeight="1">
      <c r="C567" s="379"/>
      <c r="D567" s="127">
        <v>1</v>
      </c>
      <c r="E567" s="406" t="s">
        <v>209</v>
      </c>
      <c r="F567" s="133">
        <v>168.39171926279764</v>
      </c>
      <c r="G567" s="134">
        <v>165.14688158377731</v>
      </c>
      <c r="H567" s="134">
        <v>156.92943142155835</v>
      </c>
      <c r="I567" s="134">
        <v>150.70037563193233</v>
      </c>
      <c r="J567" s="134">
        <v>153.3242562367777</v>
      </c>
      <c r="K567" s="134">
        <v>145.52307779257052</v>
      </c>
      <c r="L567" s="134">
        <v>135.3520758470768</v>
      </c>
      <c r="M567" s="135">
        <v>128.61905196007154</v>
      </c>
      <c r="N567" s="128">
        <v>1203.9868697365623</v>
      </c>
      <c r="O567" s="128">
        <v>150.49835871707029</v>
      </c>
      <c r="P567" s="155"/>
    </row>
    <row r="568" spans="3:16" s="245" customFormat="1" ht="15" customHeight="1">
      <c r="C568" s="379"/>
      <c r="D568" s="127">
        <v>2</v>
      </c>
      <c r="E568" s="406" t="s">
        <v>679</v>
      </c>
      <c r="F568" s="133">
        <v>79.243162006022402</v>
      </c>
      <c r="G568" s="134">
        <v>77.716179568836367</v>
      </c>
      <c r="H568" s="134">
        <v>73.849144198380401</v>
      </c>
      <c r="I568" s="134">
        <v>70.917823826791675</v>
      </c>
      <c r="J568" s="134">
        <v>72.152591170248314</v>
      </c>
      <c r="K568" s="134">
        <v>68.481448372974342</v>
      </c>
      <c r="L568" s="134">
        <v>63.695094516271411</v>
      </c>
      <c r="M568" s="135">
        <v>60.526612687092467</v>
      </c>
      <c r="N568" s="128">
        <v>566.58205634661738</v>
      </c>
      <c r="O568" s="128">
        <v>70.822757043327172</v>
      </c>
      <c r="P568" s="155"/>
    </row>
    <row r="569" spans="3:16" s="245" customFormat="1" ht="15" customHeight="1">
      <c r="C569" s="379"/>
      <c r="D569" s="127">
        <v>3</v>
      </c>
      <c r="E569" s="406" t="s">
        <v>210</v>
      </c>
      <c r="F569" s="133">
        <v>247.63488126882004</v>
      </c>
      <c r="G569" s="134">
        <v>242.86306115261368</v>
      </c>
      <c r="H569" s="134">
        <v>230.77857561993875</v>
      </c>
      <c r="I569" s="134">
        <v>221.61819945872401</v>
      </c>
      <c r="J569" s="134">
        <v>225.47684740702601</v>
      </c>
      <c r="K569" s="134">
        <v>214.00452616554486</v>
      </c>
      <c r="L569" s="134">
        <v>199.04717036334822</v>
      </c>
      <c r="M569" s="135">
        <v>189.14566464716401</v>
      </c>
      <c r="N569" s="128">
        <v>1770.5689260831796</v>
      </c>
      <c r="O569" s="128">
        <v>221.32111576039745</v>
      </c>
      <c r="P569" s="155"/>
    </row>
    <row r="570" spans="3:16" s="245" customFormat="1" ht="15" customHeight="1">
      <c r="C570" s="379"/>
      <c r="D570" s="122"/>
      <c r="E570" s="407" t="s">
        <v>15</v>
      </c>
      <c r="F570" s="123"/>
      <c r="G570" s="124"/>
      <c r="H570" s="124"/>
      <c r="I570" s="124"/>
      <c r="J570" s="124"/>
      <c r="K570" s="124"/>
      <c r="L570" s="124"/>
      <c r="M570" s="125"/>
      <c r="N570" s="126"/>
      <c r="O570" s="126"/>
      <c r="P570" s="155"/>
    </row>
    <row r="571" spans="3:16" s="245" customFormat="1" ht="15" customHeight="1">
      <c r="C571" s="379"/>
      <c r="D571" s="127">
        <v>4</v>
      </c>
      <c r="E571" s="406" t="s">
        <v>448</v>
      </c>
      <c r="F571" s="133">
        <v>1460.2624523907014</v>
      </c>
      <c r="G571" s="134">
        <v>1488.6342096923463</v>
      </c>
      <c r="H571" s="134">
        <v>1511.9256774977544</v>
      </c>
      <c r="I571" s="134">
        <v>1527.0560434447198</v>
      </c>
      <c r="J571" s="134">
        <v>1536.6931117650158</v>
      </c>
      <c r="K571" s="134">
        <v>1550.5057770014353</v>
      </c>
      <c r="L571" s="134">
        <v>1559.1739344380885</v>
      </c>
      <c r="M571" s="135">
        <v>1574.0828495081253</v>
      </c>
      <c r="N571" s="128"/>
      <c r="O571" s="128">
        <v>1526.0417569672732</v>
      </c>
      <c r="P571" s="155"/>
    </row>
    <row r="572" spans="3:16" s="245" customFormat="1" ht="15" customHeight="1">
      <c r="C572" s="379"/>
      <c r="D572" s="127">
        <v>5</v>
      </c>
      <c r="E572" s="406" t="s">
        <v>119</v>
      </c>
      <c r="F572" s="133">
        <v>0</v>
      </c>
      <c r="G572" s="134">
        <v>0</v>
      </c>
      <c r="H572" s="134">
        <v>0</v>
      </c>
      <c r="I572" s="134">
        <v>0</v>
      </c>
      <c r="J572" s="134">
        <v>0</v>
      </c>
      <c r="K572" s="134">
        <v>0</v>
      </c>
      <c r="L572" s="134">
        <v>0</v>
      </c>
      <c r="M572" s="135">
        <v>0</v>
      </c>
      <c r="N572" s="128">
        <v>0</v>
      </c>
      <c r="O572" s="128">
        <v>0</v>
      </c>
      <c r="P572" s="155"/>
    </row>
    <row r="573" spans="3:16" s="245" customFormat="1" ht="15" customHeight="1">
      <c r="C573" s="379"/>
      <c r="D573" s="127">
        <v>6</v>
      </c>
      <c r="E573" s="406" t="s">
        <v>449</v>
      </c>
      <c r="F573" s="133">
        <v>1460.2624523907014</v>
      </c>
      <c r="G573" s="134">
        <v>1488.6342096923463</v>
      </c>
      <c r="H573" s="134">
        <v>1511.9256774977544</v>
      </c>
      <c r="I573" s="134">
        <v>1527.0560434447198</v>
      </c>
      <c r="J573" s="134">
        <v>1536.6931117650158</v>
      </c>
      <c r="K573" s="134">
        <v>1550.5057770014353</v>
      </c>
      <c r="L573" s="134">
        <v>1559.1739344380885</v>
      </c>
      <c r="M573" s="135">
        <v>1574.0828495081253</v>
      </c>
      <c r="N573" s="128"/>
      <c r="O573" s="128">
        <v>1526.0417569672732</v>
      </c>
      <c r="P573" s="155"/>
    </row>
    <row r="574" spans="3:16" s="245" customFormat="1" ht="15" customHeight="1">
      <c r="C574" s="379"/>
      <c r="D574" s="127">
        <v>7</v>
      </c>
      <c r="E574" s="406" t="s">
        <v>211</v>
      </c>
      <c r="F574" s="133">
        <v>168.39171926279764</v>
      </c>
      <c r="G574" s="134">
        <v>165.14688158377731</v>
      </c>
      <c r="H574" s="134">
        <v>156.92943142155835</v>
      </c>
      <c r="I574" s="134">
        <v>150.70037563193233</v>
      </c>
      <c r="J574" s="134">
        <v>153.3242562367777</v>
      </c>
      <c r="K574" s="134">
        <v>145.52307779257052</v>
      </c>
      <c r="L574" s="134">
        <v>135.3520758470768</v>
      </c>
      <c r="M574" s="135">
        <v>128.61905196007154</v>
      </c>
      <c r="N574" s="128">
        <v>1203.9868697365623</v>
      </c>
      <c r="O574" s="128">
        <v>150.49835871707029</v>
      </c>
      <c r="P574" s="155"/>
    </row>
    <row r="575" spans="3:16" s="245" customFormat="1" ht="15" customHeight="1">
      <c r="C575" s="379"/>
      <c r="D575" s="127">
        <v>8</v>
      </c>
      <c r="E575" s="406" t="s">
        <v>0</v>
      </c>
      <c r="F575" s="133">
        <v>-140.01996196115263</v>
      </c>
      <c r="G575" s="134">
        <v>-141.85541377836927</v>
      </c>
      <c r="H575" s="134">
        <v>-141.79906547459299</v>
      </c>
      <c r="I575" s="134">
        <v>-141.06330731163618</v>
      </c>
      <c r="J575" s="134">
        <v>-139.51159100035829</v>
      </c>
      <c r="K575" s="134">
        <v>-136.85492035591739</v>
      </c>
      <c r="L575" s="134">
        <v>-120.44316077704011</v>
      </c>
      <c r="M575" s="135">
        <v>-120.35448294411896</v>
      </c>
      <c r="N575" s="128">
        <v>-1081.9019036031859</v>
      </c>
      <c r="O575" s="128">
        <v>-135.23773795039824</v>
      </c>
      <c r="P575" s="155"/>
    </row>
    <row r="576" spans="3:16" s="245" customFormat="1" ht="15" customHeight="1">
      <c r="C576" s="379"/>
      <c r="D576" s="127">
        <v>9</v>
      </c>
      <c r="E576" s="406" t="s">
        <v>16</v>
      </c>
      <c r="F576" s="133">
        <v>1488.6342096923463</v>
      </c>
      <c r="G576" s="134">
        <v>1511.9256774977544</v>
      </c>
      <c r="H576" s="134">
        <v>1527.0560434447198</v>
      </c>
      <c r="I576" s="134">
        <v>1536.6931117650158</v>
      </c>
      <c r="J576" s="134">
        <v>1550.5057770014353</v>
      </c>
      <c r="K576" s="134">
        <v>1559.1739344380885</v>
      </c>
      <c r="L576" s="134">
        <v>1574.0828495081253</v>
      </c>
      <c r="M576" s="135">
        <v>1582.347418524078</v>
      </c>
      <c r="N576" s="128"/>
      <c r="O576" s="128">
        <v>1541.3023777339454</v>
      </c>
      <c r="P576" s="155"/>
    </row>
    <row r="577" spans="3:16" s="245" customFormat="1" ht="15" customHeight="1">
      <c r="C577" s="379"/>
      <c r="D577" s="122"/>
      <c r="E577" s="407" t="s">
        <v>296</v>
      </c>
      <c r="F577" s="129"/>
      <c r="G577" s="130"/>
      <c r="H577" s="130"/>
      <c r="I577" s="130"/>
      <c r="J577" s="130"/>
      <c r="K577" s="130"/>
      <c r="L577" s="130"/>
      <c r="M577" s="131"/>
      <c r="N577" s="132"/>
      <c r="O577" s="132"/>
      <c r="P577" s="155"/>
    </row>
    <row r="578" spans="3:16" s="245" customFormat="1" ht="15" customHeight="1">
      <c r="C578" s="379"/>
      <c r="D578" s="127">
        <v>10</v>
      </c>
      <c r="E578" s="406" t="s">
        <v>97</v>
      </c>
      <c r="F578" s="133">
        <v>79.243162006022402</v>
      </c>
      <c r="G578" s="134">
        <v>77.716179568836367</v>
      </c>
      <c r="H578" s="134">
        <v>73.849144198380401</v>
      </c>
      <c r="I578" s="134">
        <v>70.917823826791675</v>
      </c>
      <c r="J578" s="134">
        <v>72.152591170248314</v>
      </c>
      <c r="K578" s="134">
        <v>68.481448372974342</v>
      </c>
      <c r="L578" s="134">
        <v>63.695094516271411</v>
      </c>
      <c r="M578" s="135">
        <v>60.526612687092467</v>
      </c>
      <c r="N578" s="128">
        <v>566.58205634661738</v>
      </c>
      <c r="O578" s="128">
        <v>70.822757043327172</v>
      </c>
      <c r="P578" s="155"/>
    </row>
    <row r="579" spans="3:16" s="245" customFormat="1" ht="15" customHeight="1">
      <c r="C579" s="379"/>
      <c r="D579" s="127">
        <v>11</v>
      </c>
      <c r="E579" s="406" t="s">
        <v>600</v>
      </c>
      <c r="F579" s="133">
        <v>55.489993980335356</v>
      </c>
      <c r="G579" s="134">
        <v>59.539559848598827</v>
      </c>
      <c r="H579" s="134">
        <v>62.63698499829944</v>
      </c>
      <c r="I579" s="134">
        <v>68.125023920455121</v>
      </c>
      <c r="J579" s="134">
        <v>74.711401165964105</v>
      </c>
      <c r="K579" s="134">
        <v>77.086251465365294</v>
      </c>
      <c r="L579" s="134">
        <v>79.128493627741165</v>
      </c>
      <c r="M579" s="135">
        <v>79.638493627741155</v>
      </c>
      <c r="N579" s="128">
        <v>556.35620263450051</v>
      </c>
      <c r="O579" s="128">
        <v>69.544525329312563</v>
      </c>
      <c r="P579" s="155"/>
    </row>
    <row r="580" spans="3:16" s="245" customFormat="1" ht="15" customHeight="1">
      <c r="C580" s="379"/>
      <c r="D580" s="127">
        <v>12</v>
      </c>
      <c r="E580" s="406" t="s">
        <v>65</v>
      </c>
      <c r="F580" s="133">
        <v>140.01996196115263</v>
      </c>
      <c r="G580" s="134">
        <v>141.85541377836927</v>
      </c>
      <c r="H580" s="134">
        <v>141.79906547459299</v>
      </c>
      <c r="I580" s="134">
        <v>141.06330731163618</v>
      </c>
      <c r="J580" s="134">
        <v>139.51159100035829</v>
      </c>
      <c r="K580" s="134">
        <v>136.85492035591739</v>
      </c>
      <c r="L580" s="134">
        <v>120.44316077704011</v>
      </c>
      <c r="M580" s="135">
        <v>120.35448294411896</v>
      </c>
      <c r="N580" s="128">
        <v>1081.9019036031859</v>
      </c>
      <c r="O580" s="128">
        <v>135.23773795039824</v>
      </c>
      <c r="P580" s="155"/>
    </row>
    <row r="581" spans="3:16" s="245" customFormat="1" ht="15" customHeight="1">
      <c r="C581" s="379"/>
      <c r="D581" s="127">
        <v>13</v>
      </c>
      <c r="E581" s="406" t="s">
        <v>18</v>
      </c>
      <c r="F581" s="133">
        <v>54.389566220136345</v>
      </c>
      <c r="G581" s="134">
        <v>55.344342124446349</v>
      </c>
      <c r="H581" s="134">
        <v>56.055898000102424</v>
      </c>
      <c r="I581" s="134">
        <v>56.514659348979386</v>
      </c>
      <c r="J581" s="134">
        <v>56.945823423112245</v>
      </c>
      <c r="K581" s="134">
        <v>57.362284279613036</v>
      </c>
      <c r="L581" s="134">
        <v>57.795094873053579</v>
      </c>
      <c r="M581" s="135">
        <v>58.224843697407579</v>
      </c>
      <c r="N581" s="128">
        <v>452.63251196685098</v>
      </c>
      <c r="O581" s="128">
        <v>56.579063995856373</v>
      </c>
      <c r="P581" s="155"/>
    </row>
    <row r="582" spans="3:16" s="245" customFormat="1" ht="15" customHeight="1">
      <c r="C582" s="379"/>
      <c r="D582" s="127">
        <v>14</v>
      </c>
      <c r="E582" s="406" t="s">
        <v>102</v>
      </c>
      <c r="F582" s="133">
        <v>0</v>
      </c>
      <c r="G582" s="134">
        <v>0</v>
      </c>
      <c r="H582" s="134">
        <v>0</v>
      </c>
      <c r="I582" s="134">
        <v>0</v>
      </c>
      <c r="J582" s="134">
        <v>0</v>
      </c>
      <c r="K582" s="134">
        <v>0</v>
      </c>
      <c r="L582" s="134">
        <v>0</v>
      </c>
      <c r="M582" s="135">
        <v>0</v>
      </c>
      <c r="N582" s="128">
        <v>0</v>
      </c>
      <c r="O582" s="128">
        <v>0</v>
      </c>
      <c r="P582" s="155"/>
    </row>
    <row r="583" spans="3:16" s="245" customFormat="1" ht="15" customHeight="1">
      <c r="C583" s="379"/>
      <c r="D583" s="127">
        <v>15</v>
      </c>
      <c r="E583" s="406" t="s">
        <v>22</v>
      </c>
      <c r="F583" s="133">
        <v>-2.4260972367898193</v>
      </c>
      <c r="G583" s="134">
        <v>-2.3690383662844163</v>
      </c>
      <c r="H583" s="134">
        <v>-2.2433276600060932</v>
      </c>
      <c r="I583" s="134">
        <v>-2.1466020621213828</v>
      </c>
      <c r="J583" s="134">
        <v>-2.174009678716605</v>
      </c>
      <c r="K583" s="134">
        <v>-2.0538927838998693</v>
      </c>
      <c r="L583" s="134">
        <v>-1.9044581231060691</v>
      </c>
      <c r="M583" s="135">
        <v>-1.8008611131009082</v>
      </c>
      <c r="N583" s="128">
        <v>-17.118287024025165</v>
      </c>
      <c r="O583" s="128">
        <v>-2.1397858780031456</v>
      </c>
      <c r="P583" s="155"/>
    </row>
    <row r="584" spans="3:16" s="245" customFormat="1" ht="15" customHeight="1">
      <c r="C584" s="379"/>
      <c r="D584" s="127">
        <v>16</v>
      </c>
      <c r="E584" s="406" t="s">
        <v>215</v>
      </c>
      <c r="F584" s="133">
        <v>21.681694361088617</v>
      </c>
      <c r="G584" s="134">
        <v>34.72516857246363</v>
      </c>
      <c r="H584" s="134">
        <v>32.612975137879261</v>
      </c>
      <c r="I584" s="134">
        <v>37.564436872013601</v>
      </c>
      <c r="J584" s="134">
        <v>38.537355202190383</v>
      </c>
      <c r="K584" s="134">
        <v>48.477896114472003</v>
      </c>
      <c r="L584" s="134">
        <v>73.070873226073388</v>
      </c>
      <c r="M584" s="135">
        <v>81.031659572479271</v>
      </c>
      <c r="N584" s="128">
        <v>367.70205905866015</v>
      </c>
      <c r="O584" s="128">
        <v>45.962757382332519</v>
      </c>
      <c r="P584" s="155"/>
    </row>
    <row r="585" spans="3:16" s="245" customFormat="1" ht="15" customHeight="1">
      <c r="C585" s="379"/>
      <c r="D585" s="127">
        <v>17</v>
      </c>
      <c r="E585" s="406" t="s">
        <v>6</v>
      </c>
      <c r="F585" s="133">
        <v>18.45965435341159</v>
      </c>
      <c r="G585" s="134">
        <v>20.57466542113302</v>
      </c>
      <c r="H585" s="134">
        <v>18.397253251238787</v>
      </c>
      <c r="I585" s="134">
        <v>17.979121053208974</v>
      </c>
      <c r="J585" s="134">
        <v>17.493746162546223</v>
      </c>
      <c r="K585" s="134">
        <v>18.257174635025809</v>
      </c>
      <c r="L585" s="134">
        <v>19.632317244142001</v>
      </c>
      <c r="M585" s="135">
        <v>21.491983035402907</v>
      </c>
      <c r="N585" s="128">
        <v>152.28591515610933</v>
      </c>
      <c r="O585" s="128">
        <v>19.035739394513666</v>
      </c>
      <c r="P585" s="155"/>
    </row>
    <row r="586" spans="3:16" s="245" customFormat="1" ht="15" customHeight="1">
      <c r="C586" s="379"/>
      <c r="D586" s="122"/>
      <c r="E586" s="407" t="s">
        <v>164</v>
      </c>
      <c r="F586" s="129"/>
      <c r="G586" s="130"/>
      <c r="H586" s="130"/>
      <c r="I586" s="130"/>
      <c r="J586" s="130"/>
      <c r="K586" s="130"/>
      <c r="L586" s="130"/>
      <c r="M586" s="131"/>
      <c r="N586" s="132"/>
      <c r="O586" s="132"/>
      <c r="P586" s="155"/>
    </row>
    <row r="587" spans="3:16" s="245" customFormat="1" ht="15" customHeight="1">
      <c r="C587" s="379"/>
      <c r="D587" s="127">
        <v>18</v>
      </c>
      <c r="E587" s="406" t="s">
        <v>97</v>
      </c>
      <c r="F587" s="133">
        <v>79.243162006022402</v>
      </c>
      <c r="G587" s="134">
        <v>77.716179568836367</v>
      </c>
      <c r="H587" s="134">
        <v>73.849144198380401</v>
      </c>
      <c r="I587" s="134">
        <v>70.917823826791675</v>
      </c>
      <c r="J587" s="134">
        <v>72.152591170248314</v>
      </c>
      <c r="K587" s="134">
        <v>68.481448372974342</v>
      </c>
      <c r="L587" s="134">
        <v>63.695094516271411</v>
      </c>
      <c r="M587" s="135">
        <v>60.526612687092467</v>
      </c>
      <c r="N587" s="128">
        <v>566.58205634661738</v>
      </c>
      <c r="O587" s="128">
        <v>70.822757043327172</v>
      </c>
      <c r="P587" s="155"/>
    </row>
    <row r="588" spans="3:16" s="245" customFormat="1" ht="15" customHeight="1">
      <c r="C588" s="379"/>
      <c r="D588" s="127">
        <v>19</v>
      </c>
      <c r="E588" s="406" t="s">
        <v>600</v>
      </c>
      <c r="F588" s="133">
        <v>55.489993980335356</v>
      </c>
      <c r="G588" s="134">
        <v>59.539559848598827</v>
      </c>
      <c r="H588" s="134">
        <v>62.63698499829944</v>
      </c>
      <c r="I588" s="134">
        <v>68.125023920455121</v>
      </c>
      <c r="J588" s="134">
        <v>74.711401165964105</v>
      </c>
      <c r="K588" s="134">
        <v>77.086251465365294</v>
      </c>
      <c r="L588" s="134">
        <v>79.128493627741165</v>
      </c>
      <c r="M588" s="135">
        <v>79.638493627741155</v>
      </c>
      <c r="N588" s="128">
        <v>556.35620263450051</v>
      </c>
      <c r="O588" s="128">
        <v>69.544525329312563</v>
      </c>
      <c r="P588" s="155"/>
    </row>
    <row r="589" spans="3:16" s="245" customFormat="1" ht="15" customHeight="1">
      <c r="C589" s="379"/>
      <c r="D589" s="127">
        <v>20</v>
      </c>
      <c r="E589" s="406" t="s">
        <v>65</v>
      </c>
      <c r="F589" s="133">
        <v>140.01996196115263</v>
      </c>
      <c r="G589" s="134">
        <v>141.85541377836927</v>
      </c>
      <c r="H589" s="134">
        <v>141.79906547459299</v>
      </c>
      <c r="I589" s="134">
        <v>141.06330731163618</v>
      </c>
      <c r="J589" s="134">
        <v>139.51159100035829</v>
      </c>
      <c r="K589" s="134">
        <v>136.85492035591739</v>
      </c>
      <c r="L589" s="134">
        <v>120.44316077704011</v>
      </c>
      <c r="M589" s="135">
        <v>120.35448294411896</v>
      </c>
      <c r="N589" s="128">
        <v>1081.9019036031859</v>
      </c>
      <c r="O589" s="128">
        <v>135.23773795039824</v>
      </c>
      <c r="P589" s="155"/>
    </row>
    <row r="590" spans="3:16" s="245" customFormat="1" ht="15" customHeight="1">
      <c r="C590" s="379"/>
      <c r="D590" s="127">
        <v>21</v>
      </c>
      <c r="E590" s="406" t="s">
        <v>18</v>
      </c>
      <c r="F590" s="133">
        <v>54.389566220136345</v>
      </c>
      <c r="G590" s="134">
        <v>55.344342124446349</v>
      </c>
      <c r="H590" s="134">
        <v>56.055898000102424</v>
      </c>
      <c r="I590" s="134">
        <v>56.514659348979386</v>
      </c>
      <c r="J590" s="134">
        <v>56.945823423112245</v>
      </c>
      <c r="K590" s="134">
        <v>57.362284279613036</v>
      </c>
      <c r="L590" s="134">
        <v>57.795094873053579</v>
      </c>
      <c r="M590" s="135">
        <v>58.224843697407579</v>
      </c>
      <c r="N590" s="128">
        <v>452.63251196685098</v>
      </c>
      <c r="O590" s="128">
        <v>56.579063995856373</v>
      </c>
      <c r="P590" s="155"/>
    </row>
    <row r="591" spans="3:16" s="245" customFormat="1" ht="15" customHeight="1">
      <c r="C591" s="379"/>
      <c r="D591" s="127">
        <v>22</v>
      </c>
      <c r="E591" s="406" t="s">
        <v>102</v>
      </c>
      <c r="F591" s="133">
        <v>0</v>
      </c>
      <c r="G591" s="134">
        <v>0</v>
      </c>
      <c r="H591" s="134">
        <v>0</v>
      </c>
      <c r="I591" s="134">
        <v>0</v>
      </c>
      <c r="J591" s="134">
        <v>0</v>
      </c>
      <c r="K591" s="134">
        <v>0</v>
      </c>
      <c r="L591" s="134">
        <v>0</v>
      </c>
      <c r="M591" s="135">
        <v>0</v>
      </c>
      <c r="N591" s="128">
        <v>0</v>
      </c>
      <c r="O591" s="128">
        <v>0</v>
      </c>
      <c r="P591" s="155"/>
    </row>
    <row r="592" spans="3:16" s="245" customFormat="1" ht="15" customHeight="1">
      <c r="C592" s="379"/>
      <c r="D592" s="127">
        <v>23</v>
      </c>
      <c r="E592" s="406" t="s">
        <v>22</v>
      </c>
      <c r="F592" s="133">
        <v>-2.4260972367898193</v>
      </c>
      <c r="G592" s="134">
        <v>-2.3690383662844163</v>
      </c>
      <c r="H592" s="134">
        <v>-2.2433276600060932</v>
      </c>
      <c r="I592" s="134">
        <v>-2.1466020621213828</v>
      </c>
      <c r="J592" s="134">
        <v>-2.174009678716605</v>
      </c>
      <c r="K592" s="134">
        <v>-2.0538927838998693</v>
      </c>
      <c r="L592" s="134">
        <v>-1.9044581231060691</v>
      </c>
      <c r="M592" s="135">
        <v>-1.8008611131009082</v>
      </c>
      <c r="N592" s="128">
        <v>-17.118287024025165</v>
      </c>
      <c r="O592" s="128">
        <v>-2.1397858780031456</v>
      </c>
      <c r="P592" s="155"/>
    </row>
    <row r="593" spans="3:16" s="245" customFormat="1" ht="15" customHeight="1">
      <c r="C593" s="379"/>
      <c r="D593" s="127">
        <v>24</v>
      </c>
      <c r="E593" s="406" t="s">
        <v>215</v>
      </c>
      <c r="F593" s="133">
        <v>21.681694361088617</v>
      </c>
      <c r="G593" s="134">
        <v>34.72516857246363</v>
      </c>
      <c r="H593" s="134">
        <v>32.612975137879261</v>
      </c>
      <c r="I593" s="134">
        <v>37.564436872013601</v>
      </c>
      <c r="J593" s="134">
        <v>38.537355202190383</v>
      </c>
      <c r="K593" s="134">
        <v>48.477896114472003</v>
      </c>
      <c r="L593" s="134">
        <v>73.070873226073388</v>
      </c>
      <c r="M593" s="135">
        <v>81.031659572479271</v>
      </c>
      <c r="N593" s="128">
        <v>367.70205905866015</v>
      </c>
      <c r="O593" s="128">
        <v>45.962757382332519</v>
      </c>
      <c r="P593" s="155"/>
    </row>
    <row r="594" spans="3:16" s="245" customFormat="1" ht="15" customHeight="1">
      <c r="C594" s="379"/>
      <c r="D594" s="127">
        <v>25</v>
      </c>
      <c r="E594" s="406" t="s">
        <v>6</v>
      </c>
      <c r="F594" s="133">
        <v>18.45965435341159</v>
      </c>
      <c r="G594" s="134">
        <v>20.57466542113302</v>
      </c>
      <c r="H594" s="134">
        <v>18.397253251238787</v>
      </c>
      <c r="I594" s="134">
        <v>17.979121053208974</v>
      </c>
      <c r="J594" s="134">
        <v>17.493746162546223</v>
      </c>
      <c r="K594" s="134">
        <v>18.257174635025809</v>
      </c>
      <c r="L594" s="134">
        <v>19.632317244142001</v>
      </c>
      <c r="M594" s="135">
        <v>21.491983035402907</v>
      </c>
      <c r="N594" s="128">
        <v>152.28591515610933</v>
      </c>
      <c r="O594" s="128">
        <v>19.035739394513666</v>
      </c>
      <c r="P594" s="155"/>
    </row>
    <row r="595" spans="3:16" s="245" customFormat="1" ht="15" customHeight="1">
      <c r="C595" s="379"/>
      <c r="D595" s="122"/>
      <c r="E595" s="407" t="s">
        <v>19</v>
      </c>
      <c r="F595" s="129"/>
      <c r="G595" s="130"/>
      <c r="H595" s="130"/>
      <c r="I595" s="130"/>
      <c r="J595" s="130"/>
      <c r="K595" s="130"/>
      <c r="L595" s="130"/>
      <c r="M595" s="131"/>
      <c r="N595" s="408"/>
      <c r="O595" s="136"/>
      <c r="P595" s="155"/>
    </row>
    <row r="596" spans="3:16" s="245" customFormat="1" ht="15" customHeight="1">
      <c r="C596" s="379"/>
      <c r="D596" s="127">
        <v>26</v>
      </c>
      <c r="E596" s="406" t="s">
        <v>460</v>
      </c>
      <c r="F596" s="133">
        <v>366.85793564535709</v>
      </c>
      <c r="G596" s="134">
        <v>387.38629094756311</v>
      </c>
      <c r="H596" s="134">
        <v>383.1079934004872</v>
      </c>
      <c r="I596" s="134">
        <v>390.01777027096358</v>
      </c>
      <c r="J596" s="134">
        <v>397.17849844570293</v>
      </c>
      <c r="K596" s="134">
        <v>404.46608243946804</v>
      </c>
      <c r="L596" s="134">
        <v>411.86057614121557</v>
      </c>
      <c r="M596" s="135">
        <v>419.46721445114139</v>
      </c>
      <c r="N596" s="128">
        <v>3160.3423617418989</v>
      </c>
      <c r="O596" s="128">
        <v>395.04279521773736</v>
      </c>
      <c r="P596" s="155"/>
    </row>
    <row r="597" spans="3:16" s="245" customFormat="1" ht="15" customHeight="1">
      <c r="C597" s="379"/>
      <c r="D597" s="127">
        <v>27</v>
      </c>
      <c r="E597" s="406" t="s">
        <v>58</v>
      </c>
      <c r="F597" s="133">
        <v>0</v>
      </c>
      <c r="G597" s="134">
        <v>0</v>
      </c>
      <c r="H597" s="134">
        <v>0</v>
      </c>
      <c r="I597" s="134">
        <v>0</v>
      </c>
      <c r="J597" s="134">
        <v>0</v>
      </c>
      <c r="K597" s="134">
        <v>0</v>
      </c>
      <c r="L597" s="134">
        <v>0</v>
      </c>
      <c r="M597" s="135">
        <v>0</v>
      </c>
      <c r="N597" s="128">
        <v>0</v>
      </c>
      <c r="O597" s="128">
        <v>0</v>
      </c>
      <c r="P597" s="155"/>
    </row>
    <row r="598" spans="3:16" s="245" customFormat="1" ht="15" customHeight="1">
      <c r="C598" s="379"/>
      <c r="D598" s="127">
        <v>28</v>
      </c>
      <c r="E598" s="406" t="s">
        <v>43</v>
      </c>
      <c r="F598" s="137">
        <v>366.85793564535709</v>
      </c>
      <c r="G598" s="134">
        <v>387.38629094756311</v>
      </c>
      <c r="H598" s="134">
        <v>383.1079934004872</v>
      </c>
      <c r="I598" s="134">
        <v>390.01777027096358</v>
      </c>
      <c r="J598" s="134">
        <v>397.17849844570293</v>
      </c>
      <c r="K598" s="134">
        <v>404.46608243946804</v>
      </c>
      <c r="L598" s="134">
        <v>411.86057614121557</v>
      </c>
      <c r="M598" s="135">
        <v>419.46721445114139</v>
      </c>
      <c r="N598" s="128">
        <v>3160.3423617418989</v>
      </c>
      <c r="O598" s="128">
        <v>395.04279521773736</v>
      </c>
      <c r="P598" s="155"/>
    </row>
    <row r="599" spans="3:16" s="245" customFormat="1" ht="15" customHeight="1">
      <c r="C599" s="379"/>
      <c r="D599" s="127">
        <v>29</v>
      </c>
      <c r="E599" s="406" t="s">
        <v>739</v>
      </c>
      <c r="F599" s="137">
        <v>5.5701467879987678</v>
      </c>
      <c r="G599" s="134">
        <v>4.0814210152761188</v>
      </c>
      <c r="H599" s="134">
        <v>3.5093939037722643</v>
      </c>
      <c r="I599" s="134">
        <v>2.7435661540831529</v>
      </c>
      <c r="J599" s="134">
        <v>2.0999357315415907</v>
      </c>
      <c r="K599" s="134">
        <v>1.9792128795460611</v>
      </c>
      <c r="L599" s="134">
        <v>2.0786284546835971</v>
      </c>
      <c r="M599" s="135">
        <v>2.1486105979523744</v>
      </c>
      <c r="N599" s="128">
        <v>24.210915524853924</v>
      </c>
      <c r="O599" s="128">
        <v>3.0263644406067405</v>
      </c>
      <c r="P599" s="155"/>
    </row>
    <row r="600" spans="3:16" s="245" customFormat="1" ht="15" customHeight="1">
      <c r="C600" s="379"/>
      <c r="D600" s="127">
        <v>30</v>
      </c>
      <c r="E600" s="406" t="s">
        <v>770</v>
      </c>
      <c r="F600" s="431">
        <v>-2.4813513781281475</v>
      </c>
      <c r="G600" s="137">
        <v>6.417856464327361</v>
      </c>
      <c r="H600" s="137">
        <v>0</v>
      </c>
      <c r="I600" s="137">
        <v>0</v>
      </c>
      <c r="J600" s="137">
        <v>0</v>
      </c>
      <c r="K600" s="137">
        <v>0</v>
      </c>
      <c r="L600" s="137">
        <v>0</v>
      </c>
      <c r="M600" s="137">
        <v>0</v>
      </c>
      <c r="N600" s="128">
        <v>3.9365050861992135</v>
      </c>
      <c r="O600" s="128">
        <v>0.49206313577490168</v>
      </c>
      <c r="P600" s="155"/>
    </row>
    <row r="601" spans="3:16" s="245" customFormat="1" ht="15" customHeight="1">
      <c r="C601" s="379"/>
      <c r="D601" s="127">
        <v>31</v>
      </c>
      <c r="E601" s="406" t="s">
        <v>764</v>
      </c>
      <c r="F601" s="137">
        <v>0</v>
      </c>
      <c r="G601" s="134">
        <v>0</v>
      </c>
      <c r="H601" s="134">
        <v>0</v>
      </c>
      <c r="I601" s="134">
        <v>0</v>
      </c>
      <c r="J601" s="134">
        <v>0</v>
      </c>
      <c r="K601" s="134">
        <v>0</v>
      </c>
      <c r="L601" s="134">
        <v>0</v>
      </c>
      <c r="M601" s="135">
        <v>0</v>
      </c>
      <c r="N601" s="128">
        <v>0</v>
      </c>
      <c r="O601" s="128">
        <v>0</v>
      </c>
      <c r="P601" s="155"/>
    </row>
    <row r="602" spans="3:16" s="245" customFormat="1" ht="15" customHeight="1">
      <c r="C602" s="379"/>
      <c r="D602" s="127">
        <v>32</v>
      </c>
      <c r="E602" s="406" t="s">
        <v>9</v>
      </c>
      <c r="F602" s="137">
        <v>369.94673105522776</v>
      </c>
      <c r="G602" s="134">
        <v>397.88556842716662</v>
      </c>
      <c r="H602" s="134">
        <v>386.61738730425947</v>
      </c>
      <c r="I602" s="134">
        <v>392.76133642504675</v>
      </c>
      <c r="J602" s="134">
        <v>399.27843417724449</v>
      </c>
      <c r="K602" s="134">
        <v>406.44529531901412</v>
      </c>
      <c r="L602" s="134">
        <v>413.93920459589918</v>
      </c>
      <c r="M602" s="367">
        <v>421.61582504909376</v>
      </c>
      <c r="N602" s="128">
        <v>3188.4897823529523</v>
      </c>
      <c r="O602" s="128">
        <v>398.56122279411903</v>
      </c>
      <c r="P602" s="155"/>
    </row>
    <row r="603" spans="3:16" s="245" customFormat="1" ht="15" customHeight="1">
      <c r="C603" s="379"/>
      <c r="D603" s="122"/>
      <c r="E603" s="407" t="s">
        <v>173</v>
      </c>
      <c r="F603" s="129"/>
      <c r="G603" s="130"/>
      <c r="H603" s="130"/>
      <c r="I603" s="130"/>
      <c r="J603" s="130"/>
      <c r="K603" s="198"/>
      <c r="L603" s="130"/>
      <c r="M603" s="131"/>
      <c r="N603" s="408"/>
      <c r="O603" s="136"/>
      <c r="P603" s="155"/>
    </row>
    <row r="604" spans="3:16" s="245" customFormat="1" ht="15" customHeight="1">
      <c r="C604" s="379"/>
      <c r="D604" s="127">
        <v>33</v>
      </c>
      <c r="E604" s="406" t="s">
        <v>173</v>
      </c>
      <c r="F604" s="133">
        <v>366.85793564535709</v>
      </c>
      <c r="G604" s="134">
        <v>387.38629094756311</v>
      </c>
      <c r="H604" s="134">
        <v>383.1079934004872</v>
      </c>
      <c r="I604" s="134">
        <v>390.01777027096358</v>
      </c>
      <c r="J604" s="134">
        <v>397.17849844570293</v>
      </c>
      <c r="K604" s="134">
        <v>404.46608243946804</v>
      </c>
      <c r="L604" s="134">
        <v>411.86057614121557</v>
      </c>
      <c r="M604" s="135">
        <v>419.46721445114139</v>
      </c>
      <c r="N604" s="128">
        <v>3160.3423617418989</v>
      </c>
      <c r="O604" s="128">
        <v>395.04279521773736</v>
      </c>
      <c r="P604" s="155"/>
    </row>
    <row r="605" spans="3:16" s="245" customFormat="1" ht="15" customHeight="1">
      <c r="C605" s="379"/>
      <c r="D605" s="127">
        <v>34</v>
      </c>
      <c r="E605" s="406" t="s">
        <v>187</v>
      </c>
      <c r="F605" s="133">
        <v>0</v>
      </c>
      <c r="G605" s="134">
        <v>0</v>
      </c>
      <c r="H605" s="134">
        <v>0</v>
      </c>
      <c r="I605" s="134">
        <v>0</v>
      </c>
      <c r="J605" s="134">
        <v>0</v>
      </c>
      <c r="K605" s="134">
        <v>0</v>
      </c>
      <c r="L605" s="134">
        <v>0</v>
      </c>
      <c r="M605" s="135">
        <v>0</v>
      </c>
      <c r="N605" s="128">
        <v>0</v>
      </c>
      <c r="O605" s="128">
        <v>0</v>
      </c>
      <c r="P605" s="155"/>
    </row>
    <row r="606" spans="3:16" s="245" customFormat="1" ht="15" customHeight="1">
      <c r="C606" s="378"/>
      <c r="D606" s="122"/>
      <c r="E606" s="407" t="s">
        <v>297</v>
      </c>
      <c r="F606" s="129"/>
      <c r="G606" s="130"/>
      <c r="H606" s="130"/>
      <c r="I606" s="130"/>
      <c r="J606" s="130"/>
      <c r="K606" s="198"/>
      <c r="L606" s="130"/>
      <c r="M606" s="131"/>
      <c r="N606" s="408"/>
      <c r="O606" s="136"/>
      <c r="P606" s="155"/>
    </row>
    <row r="607" spans="3:16" s="245" customFormat="1" ht="15" customHeight="1">
      <c r="C607" s="378"/>
      <c r="D607" s="127">
        <v>35</v>
      </c>
      <c r="E607" s="409">
        <v>42460</v>
      </c>
      <c r="F607" s="137">
        <v>366.85793564535709</v>
      </c>
      <c r="G607" s="134">
        <v>387.38629094756311</v>
      </c>
      <c r="H607" s="134">
        <v>383.1079934004872</v>
      </c>
      <c r="I607" s="134">
        <v>390.01777027096358</v>
      </c>
      <c r="J607" s="134">
        <v>397.17849844570293</v>
      </c>
      <c r="K607" s="134">
        <v>404.46608243946804</v>
      </c>
      <c r="L607" s="134">
        <v>411.86057614121557</v>
      </c>
      <c r="M607" s="135">
        <v>419.46721445114139</v>
      </c>
      <c r="N607" s="128">
        <v>3160.3423617418989</v>
      </c>
      <c r="O607" s="128">
        <v>395.04279521773736</v>
      </c>
      <c r="P607" s="155"/>
    </row>
    <row r="608" spans="3:16" s="245" customFormat="1" ht="15" customHeight="1">
      <c r="C608" s="378"/>
      <c r="D608" s="127">
        <v>36</v>
      </c>
      <c r="E608" s="409">
        <v>42825</v>
      </c>
      <c r="F608" s="137" t="s">
        <v>196</v>
      </c>
      <c r="G608" s="134" t="s">
        <v>196</v>
      </c>
      <c r="H608" s="134" t="s">
        <v>196</v>
      </c>
      <c r="I608" s="134" t="s">
        <v>196</v>
      </c>
      <c r="J608" s="134" t="s">
        <v>196</v>
      </c>
      <c r="K608" s="134" t="s">
        <v>196</v>
      </c>
      <c r="L608" s="134" t="s">
        <v>196</v>
      </c>
      <c r="M608" s="135" t="s">
        <v>196</v>
      </c>
      <c r="N608" s="128">
        <v>0</v>
      </c>
      <c r="O608" s="128">
        <v>0</v>
      </c>
      <c r="P608" s="155"/>
    </row>
    <row r="609" spans="3:16" s="245" customFormat="1" ht="15" customHeight="1">
      <c r="C609" s="378"/>
      <c r="D609" s="127">
        <v>37</v>
      </c>
      <c r="E609" s="409">
        <v>43190</v>
      </c>
      <c r="F609" s="137" t="s">
        <v>196</v>
      </c>
      <c r="G609" s="134" t="s">
        <v>196</v>
      </c>
      <c r="H609" s="134" t="s">
        <v>196</v>
      </c>
      <c r="I609" s="134" t="s">
        <v>196</v>
      </c>
      <c r="J609" s="134" t="s">
        <v>196</v>
      </c>
      <c r="K609" s="134" t="s">
        <v>196</v>
      </c>
      <c r="L609" s="134" t="s">
        <v>196</v>
      </c>
      <c r="M609" s="135" t="s">
        <v>196</v>
      </c>
      <c r="N609" s="128">
        <v>0</v>
      </c>
      <c r="O609" s="128">
        <v>0</v>
      </c>
      <c r="P609" s="155"/>
    </row>
    <row r="610" spans="3:16" s="245" customFormat="1" ht="15" customHeight="1">
      <c r="C610" s="378"/>
      <c r="D610" s="127">
        <v>38</v>
      </c>
      <c r="E610" s="409">
        <v>43555</v>
      </c>
      <c r="F610" s="137" t="s">
        <v>196</v>
      </c>
      <c r="G610" s="134" t="s">
        <v>196</v>
      </c>
      <c r="H610" s="134" t="s">
        <v>196</v>
      </c>
      <c r="I610" s="134" t="s">
        <v>196</v>
      </c>
      <c r="J610" s="134" t="s">
        <v>196</v>
      </c>
      <c r="K610" s="134" t="s">
        <v>196</v>
      </c>
      <c r="L610" s="134" t="s">
        <v>196</v>
      </c>
      <c r="M610" s="135" t="s">
        <v>196</v>
      </c>
      <c r="N610" s="128">
        <v>0</v>
      </c>
      <c r="O610" s="128">
        <v>0</v>
      </c>
      <c r="P610" s="155"/>
    </row>
    <row r="611" spans="3:16" s="245" customFormat="1" ht="15" customHeight="1">
      <c r="C611" s="378"/>
      <c r="D611" s="127">
        <v>39</v>
      </c>
      <c r="E611" s="409">
        <v>43921</v>
      </c>
      <c r="F611" s="137" t="s">
        <v>196</v>
      </c>
      <c r="G611" s="134" t="s">
        <v>196</v>
      </c>
      <c r="H611" s="134" t="s">
        <v>196</v>
      </c>
      <c r="I611" s="134" t="s">
        <v>196</v>
      </c>
      <c r="J611" s="134" t="s">
        <v>196</v>
      </c>
      <c r="K611" s="134" t="s">
        <v>196</v>
      </c>
      <c r="L611" s="134" t="s">
        <v>196</v>
      </c>
      <c r="M611" s="135" t="s">
        <v>196</v>
      </c>
      <c r="N611" s="128">
        <v>0</v>
      </c>
      <c r="O611" s="128">
        <v>0</v>
      </c>
      <c r="P611" s="155"/>
    </row>
    <row r="612" spans="3:16" s="245" customFormat="1" ht="15" customHeight="1">
      <c r="C612" s="378"/>
      <c r="D612" s="127">
        <v>40</v>
      </c>
      <c r="E612" s="409">
        <v>44286</v>
      </c>
      <c r="F612" s="137" t="s">
        <v>196</v>
      </c>
      <c r="G612" s="134" t="s">
        <v>196</v>
      </c>
      <c r="H612" s="134" t="s">
        <v>196</v>
      </c>
      <c r="I612" s="134" t="s">
        <v>196</v>
      </c>
      <c r="J612" s="134" t="s">
        <v>196</v>
      </c>
      <c r="K612" s="134" t="s">
        <v>196</v>
      </c>
      <c r="L612" s="134" t="s">
        <v>196</v>
      </c>
      <c r="M612" s="135" t="s">
        <v>196</v>
      </c>
      <c r="N612" s="128">
        <v>0</v>
      </c>
      <c r="O612" s="128">
        <v>0</v>
      </c>
      <c r="P612" s="155"/>
    </row>
    <row r="613" spans="3:16" s="245" customFormat="1" ht="15" customHeight="1">
      <c r="C613" s="378"/>
      <c r="D613" s="127">
        <v>41</v>
      </c>
      <c r="E613" s="409">
        <v>44651</v>
      </c>
      <c r="F613" s="137" t="s">
        <v>196</v>
      </c>
      <c r="G613" s="134" t="s">
        <v>196</v>
      </c>
      <c r="H613" s="134" t="s">
        <v>196</v>
      </c>
      <c r="I613" s="134" t="s">
        <v>196</v>
      </c>
      <c r="J613" s="134" t="s">
        <v>196</v>
      </c>
      <c r="K613" s="134" t="s">
        <v>196</v>
      </c>
      <c r="L613" s="134" t="s">
        <v>196</v>
      </c>
      <c r="M613" s="135" t="s">
        <v>196</v>
      </c>
      <c r="N613" s="128">
        <v>0</v>
      </c>
      <c r="O613" s="128">
        <v>0</v>
      </c>
      <c r="P613" s="155"/>
    </row>
    <row r="614" spans="3:16" s="245" customFormat="1" ht="15" customHeight="1">
      <c r="C614" s="378"/>
      <c r="D614" s="127">
        <v>42</v>
      </c>
      <c r="E614" s="409">
        <v>45016</v>
      </c>
      <c r="F614" s="137" t="s">
        <v>196</v>
      </c>
      <c r="G614" s="134" t="s">
        <v>196</v>
      </c>
      <c r="H614" s="134" t="s">
        <v>196</v>
      </c>
      <c r="I614" s="134" t="s">
        <v>196</v>
      </c>
      <c r="J614" s="134" t="s">
        <v>196</v>
      </c>
      <c r="K614" s="134" t="s">
        <v>196</v>
      </c>
      <c r="L614" s="134" t="s">
        <v>196</v>
      </c>
      <c r="M614" s="135" t="s">
        <v>196</v>
      </c>
      <c r="N614" s="128">
        <v>0</v>
      </c>
      <c r="O614" s="128">
        <v>0</v>
      </c>
      <c r="P614" s="155"/>
    </row>
    <row r="615" spans="3:16" s="245" customFormat="1" ht="15" customHeight="1">
      <c r="C615" s="378"/>
      <c r="D615" s="122"/>
      <c r="E615" s="407" t="s">
        <v>461</v>
      </c>
      <c r="F615" s="129"/>
      <c r="G615" s="130"/>
      <c r="H615" s="130"/>
      <c r="I615" s="130"/>
      <c r="J615" s="130"/>
      <c r="K615" s="198"/>
      <c r="L615" s="130"/>
      <c r="M615" s="131"/>
      <c r="N615" s="408"/>
      <c r="O615" s="136"/>
      <c r="P615" s="155"/>
    </row>
    <row r="616" spans="3:16" s="245" customFormat="1" ht="15" customHeight="1">
      <c r="C616" s="378"/>
      <c r="D616" s="127">
        <v>43</v>
      </c>
      <c r="E616" s="409">
        <v>42460</v>
      </c>
      <c r="F616" s="137">
        <v>0</v>
      </c>
      <c r="G616" s="134">
        <v>0</v>
      </c>
      <c r="H616" s="134">
        <v>0</v>
      </c>
      <c r="I616" s="134">
        <v>0</v>
      </c>
      <c r="J616" s="134">
        <v>0</v>
      </c>
      <c r="K616" s="134">
        <v>0</v>
      </c>
      <c r="L616" s="134">
        <v>0</v>
      </c>
      <c r="M616" s="135">
        <v>0</v>
      </c>
      <c r="N616" s="128">
        <v>0</v>
      </c>
      <c r="O616" s="128"/>
      <c r="P616" s="155"/>
    </row>
    <row r="617" spans="3:16" s="245" customFormat="1" ht="15" customHeight="1">
      <c r="C617" s="378"/>
      <c r="D617" s="127">
        <v>44</v>
      </c>
      <c r="E617" s="409">
        <v>42825</v>
      </c>
      <c r="F617" s="137" t="s">
        <v>196</v>
      </c>
      <c r="G617" s="134" t="s">
        <v>196</v>
      </c>
      <c r="H617" s="134" t="s">
        <v>196</v>
      </c>
      <c r="I617" s="134" t="s">
        <v>196</v>
      </c>
      <c r="J617" s="134" t="s">
        <v>196</v>
      </c>
      <c r="K617" s="134" t="s">
        <v>196</v>
      </c>
      <c r="L617" s="134" t="s">
        <v>196</v>
      </c>
      <c r="M617" s="135" t="s">
        <v>196</v>
      </c>
      <c r="N617" s="128">
        <v>0</v>
      </c>
      <c r="O617" s="128"/>
      <c r="P617" s="155"/>
    </row>
    <row r="618" spans="3:16" s="245" customFormat="1" ht="15" customHeight="1">
      <c r="C618" s="378"/>
      <c r="D618" s="127">
        <v>45</v>
      </c>
      <c r="E618" s="409">
        <v>43190</v>
      </c>
      <c r="F618" s="137" t="s">
        <v>196</v>
      </c>
      <c r="G618" s="134" t="s">
        <v>196</v>
      </c>
      <c r="H618" s="134" t="s">
        <v>196</v>
      </c>
      <c r="I618" s="134" t="s">
        <v>196</v>
      </c>
      <c r="J618" s="134" t="s">
        <v>196</v>
      </c>
      <c r="K618" s="134" t="s">
        <v>196</v>
      </c>
      <c r="L618" s="134" t="s">
        <v>196</v>
      </c>
      <c r="M618" s="135" t="s">
        <v>196</v>
      </c>
      <c r="N618" s="128">
        <v>0</v>
      </c>
      <c r="O618" s="128"/>
      <c r="P618" s="155"/>
    </row>
    <row r="619" spans="3:16" s="245" customFormat="1" ht="15" customHeight="1">
      <c r="C619" s="378"/>
      <c r="D619" s="127">
        <v>46</v>
      </c>
      <c r="E619" s="409">
        <v>43555</v>
      </c>
      <c r="F619" s="137" t="s">
        <v>196</v>
      </c>
      <c r="G619" s="134" t="s">
        <v>196</v>
      </c>
      <c r="H619" s="134" t="s">
        <v>196</v>
      </c>
      <c r="I619" s="134" t="s">
        <v>196</v>
      </c>
      <c r="J619" s="134" t="s">
        <v>196</v>
      </c>
      <c r="K619" s="134" t="s">
        <v>196</v>
      </c>
      <c r="L619" s="134" t="s">
        <v>196</v>
      </c>
      <c r="M619" s="135" t="s">
        <v>196</v>
      </c>
      <c r="N619" s="128">
        <v>0</v>
      </c>
      <c r="O619" s="128"/>
      <c r="P619" s="155"/>
    </row>
    <row r="620" spans="3:16" s="245" customFormat="1" ht="15" customHeight="1">
      <c r="C620" s="378"/>
      <c r="D620" s="127">
        <v>47</v>
      </c>
      <c r="E620" s="409">
        <v>43921</v>
      </c>
      <c r="F620" s="137" t="s">
        <v>196</v>
      </c>
      <c r="G620" s="134" t="s">
        <v>196</v>
      </c>
      <c r="H620" s="134" t="s">
        <v>196</v>
      </c>
      <c r="I620" s="134" t="s">
        <v>196</v>
      </c>
      <c r="J620" s="134" t="s">
        <v>196</v>
      </c>
      <c r="K620" s="134" t="s">
        <v>196</v>
      </c>
      <c r="L620" s="134" t="s">
        <v>196</v>
      </c>
      <c r="M620" s="135" t="s">
        <v>196</v>
      </c>
      <c r="N620" s="128">
        <v>0</v>
      </c>
      <c r="O620" s="128"/>
      <c r="P620" s="155"/>
    </row>
    <row r="621" spans="3:16" s="245" customFormat="1" ht="15" customHeight="1">
      <c r="C621" s="378"/>
      <c r="D621" s="127">
        <v>48</v>
      </c>
      <c r="E621" s="409">
        <v>44286</v>
      </c>
      <c r="F621" s="137" t="s">
        <v>196</v>
      </c>
      <c r="G621" s="134" t="s">
        <v>196</v>
      </c>
      <c r="H621" s="134" t="s">
        <v>196</v>
      </c>
      <c r="I621" s="134" t="s">
        <v>196</v>
      </c>
      <c r="J621" s="134" t="s">
        <v>196</v>
      </c>
      <c r="K621" s="134" t="s">
        <v>196</v>
      </c>
      <c r="L621" s="134" t="s">
        <v>196</v>
      </c>
      <c r="M621" s="135" t="s">
        <v>196</v>
      </c>
      <c r="N621" s="128">
        <v>0</v>
      </c>
      <c r="O621" s="128"/>
      <c r="P621" s="155"/>
    </row>
    <row r="622" spans="3:16" s="245" customFormat="1" ht="15" customHeight="1">
      <c r="C622" s="378"/>
      <c r="D622" s="127">
        <v>49</v>
      </c>
      <c r="E622" s="409">
        <v>44651</v>
      </c>
      <c r="F622" s="137" t="s">
        <v>196</v>
      </c>
      <c r="G622" s="134" t="s">
        <v>196</v>
      </c>
      <c r="H622" s="134" t="s">
        <v>196</v>
      </c>
      <c r="I622" s="134" t="s">
        <v>196</v>
      </c>
      <c r="J622" s="134" t="s">
        <v>196</v>
      </c>
      <c r="K622" s="134" t="s">
        <v>196</v>
      </c>
      <c r="L622" s="134" t="s">
        <v>196</v>
      </c>
      <c r="M622" s="135" t="s">
        <v>196</v>
      </c>
      <c r="N622" s="128">
        <v>0</v>
      </c>
      <c r="O622" s="128"/>
      <c r="P622" s="155"/>
    </row>
    <row r="623" spans="3:16" s="245" customFormat="1" ht="15" customHeight="1">
      <c r="C623" s="378"/>
      <c r="D623" s="127">
        <v>50</v>
      </c>
      <c r="E623" s="409">
        <v>45016</v>
      </c>
      <c r="F623" s="137" t="s">
        <v>196</v>
      </c>
      <c r="G623" s="134" t="s">
        <v>196</v>
      </c>
      <c r="H623" s="134" t="s">
        <v>196</v>
      </c>
      <c r="I623" s="134" t="s">
        <v>196</v>
      </c>
      <c r="J623" s="134" t="s">
        <v>196</v>
      </c>
      <c r="K623" s="134" t="s">
        <v>196</v>
      </c>
      <c r="L623" s="134" t="s">
        <v>196</v>
      </c>
      <c r="M623" s="135" t="s">
        <v>196</v>
      </c>
      <c r="N623" s="128">
        <v>0</v>
      </c>
      <c r="O623" s="128"/>
      <c r="P623" s="155"/>
    </row>
    <row r="624" spans="3:16" s="245" customFormat="1" ht="15" customHeight="1">
      <c r="C624" s="378"/>
      <c r="D624" s="122"/>
      <c r="E624" s="407" t="s">
        <v>468</v>
      </c>
      <c r="F624" s="129"/>
      <c r="G624" s="130"/>
      <c r="H624" s="130"/>
      <c r="I624" s="130"/>
      <c r="J624" s="130"/>
      <c r="K624" s="198"/>
      <c r="L624" s="130"/>
      <c r="M624" s="131"/>
      <c r="N624" s="408"/>
      <c r="O624" s="136"/>
      <c r="P624" s="155"/>
    </row>
    <row r="625" spans="3:16" s="245" customFormat="1" ht="15" customHeight="1">
      <c r="C625" s="378"/>
      <c r="D625" s="127">
        <v>51</v>
      </c>
      <c r="E625" s="406" t="s">
        <v>445</v>
      </c>
      <c r="F625" s="133">
        <v>1447.4934456456779</v>
      </c>
      <c r="G625" s="134">
        <v>1472.9033166851991</v>
      </c>
      <c r="H625" s="134">
        <v>1491.8402661371238</v>
      </c>
      <c r="I625" s="134">
        <v>1504.0494836721061</v>
      </c>
      <c r="J625" s="134">
        <v>1515.5242427973985</v>
      </c>
      <c r="K625" s="134">
        <v>1526.6076987255633</v>
      </c>
      <c r="L625" s="134">
        <v>1538.126277393309</v>
      </c>
      <c r="M625" s="135">
        <v>1549.5633718538279</v>
      </c>
      <c r="N625" s="128">
        <v>12046.108102910206</v>
      </c>
      <c r="O625" s="128">
        <v>1505.7635128637758</v>
      </c>
      <c r="P625" s="155"/>
    </row>
    <row r="626" spans="3:16" s="245" customFormat="1" ht="15" customHeight="1">
      <c r="C626" s="378"/>
      <c r="D626" s="127">
        <v>52</v>
      </c>
      <c r="E626" s="406" t="s">
        <v>446</v>
      </c>
      <c r="F626" s="222">
        <v>0.65</v>
      </c>
      <c r="G626" s="223">
        <v>0.65</v>
      </c>
      <c r="H626" s="223">
        <v>0.65</v>
      </c>
      <c r="I626" s="223">
        <v>0.65</v>
      </c>
      <c r="J626" s="223">
        <v>0.65</v>
      </c>
      <c r="K626" s="223">
        <v>0.65</v>
      </c>
      <c r="L626" s="223">
        <v>0.65</v>
      </c>
      <c r="M626" s="224">
        <v>0.65</v>
      </c>
      <c r="N626" s="225">
        <v>0.65</v>
      </c>
      <c r="O626" s="225">
        <v>0.65</v>
      </c>
      <c r="P626" s="155"/>
    </row>
    <row r="627" spans="3:16" s="245" customFormat="1" ht="15" customHeight="1">
      <c r="C627" s="379"/>
      <c r="D627" s="127">
        <v>53</v>
      </c>
      <c r="E627" s="406" t="s">
        <v>431</v>
      </c>
      <c r="F627" s="133">
        <v>506.62270597598723</v>
      </c>
      <c r="G627" s="134">
        <v>515.51616083981969</v>
      </c>
      <c r="H627" s="134">
        <v>522.14409314799332</v>
      </c>
      <c r="I627" s="134">
        <v>526.41731928523711</v>
      </c>
      <c r="J627" s="134">
        <v>530.43348497908949</v>
      </c>
      <c r="K627" s="134">
        <v>534.31269455394715</v>
      </c>
      <c r="L627" s="134">
        <v>538.34419708765813</v>
      </c>
      <c r="M627" s="135">
        <v>542.3471801488397</v>
      </c>
      <c r="N627" s="128">
        <v>4216.1378360185718</v>
      </c>
      <c r="O627" s="128">
        <v>527.01722950232147</v>
      </c>
      <c r="P627" s="155"/>
    </row>
    <row r="628" spans="3:16" s="245" customFormat="1" ht="15" customHeight="1">
      <c r="C628" s="379"/>
      <c r="D628" s="127">
        <v>54</v>
      </c>
      <c r="E628" s="406" t="s">
        <v>447</v>
      </c>
      <c r="F628" s="137">
        <v>23.99220386157711</v>
      </c>
      <c r="G628" s="134">
        <v>24.413372474057173</v>
      </c>
      <c r="H628" s="134">
        <v>24.727252411222825</v>
      </c>
      <c r="I628" s="134">
        <v>24.929620191865158</v>
      </c>
      <c r="J628" s="134">
        <v>25.119814324366878</v>
      </c>
      <c r="K628" s="134">
        <v>25.303522606376209</v>
      </c>
      <c r="L628" s="134">
        <v>25.494443047794096</v>
      </c>
      <c r="M628" s="135">
        <v>25.684012888477199</v>
      </c>
      <c r="N628" s="128">
        <v>199.66424180573665</v>
      </c>
      <c r="O628" s="128">
        <v>24.958030225717081</v>
      </c>
      <c r="P628" s="155"/>
    </row>
    <row r="629" spans="3:16" s="245" customFormat="1" ht="15" customHeight="1" thickBot="1">
      <c r="C629" s="379"/>
      <c r="D629" s="138">
        <v>55</v>
      </c>
      <c r="E629" s="410" t="s">
        <v>677</v>
      </c>
      <c r="F629" s="254">
        <v>506.62270597598723</v>
      </c>
      <c r="G629" s="139">
        <v>515.51616083981969</v>
      </c>
      <c r="H629" s="139">
        <v>522.14409314799332</v>
      </c>
      <c r="I629" s="139">
        <v>526.41731928523711</v>
      </c>
      <c r="J629" s="139">
        <v>530.43348497908949</v>
      </c>
      <c r="K629" s="139">
        <v>534.31269455394715</v>
      </c>
      <c r="L629" s="139">
        <v>538.34419708765813</v>
      </c>
      <c r="M629" s="226">
        <v>542.3471801488397</v>
      </c>
      <c r="N629" s="253"/>
      <c r="O629" s="253">
        <v>527.01722950232147</v>
      </c>
      <c r="P629" s="155"/>
    </row>
    <row r="630" spans="3:16" s="245" customFormat="1" ht="15" customHeight="1">
      <c r="C630" s="379"/>
      <c r="D630" s="244"/>
      <c r="E630" s="402"/>
      <c r="F630" s="155"/>
      <c r="G630" s="155"/>
      <c r="H630" s="155"/>
      <c r="I630" s="155"/>
      <c r="J630" s="155"/>
      <c r="K630" s="155"/>
      <c r="L630" s="155"/>
      <c r="M630" s="155"/>
      <c r="N630" s="155"/>
      <c r="O630" s="155"/>
      <c r="P630" s="155"/>
    </row>
    <row r="631" spans="3:16" s="245" customFormat="1" ht="15" customHeight="1">
      <c r="C631" s="378"/>
      <c r="D631" s="244"/>
      <c r="E631" s="190"/>
      <c r="F631" s="155"/>
      <c r="G631" s="155"/>
      <c r="H631" s="155"/>
      <c r="I631" s="155"/>
      <c r="J631" s="155"/>
      <c r="K631" s="155"/>
      <c r="L631" s="155"/>
      <c r="M631" s="383"/>
      <c r="N631" s="155"/>
      <c r="O631" s="155"/>
      <c r="P631" s="155"/>
    </row>
    <row r="632" spans="3:16" s="245" customFormat="1" ht="15" customHeight="1">
      <c r="C632" s="378"/>
      <c r="D632" s="244"/>
      <c r="E632" s="190"/>
      <c r="F632" s="155"/>
      <c r="G632" s="155"/>
      <c r="H632" s="155"/>
      <c r="I632" s="155"/>
      <c r="J632" s="155"/>
      <c r="K632" s="155"/>
      <c r="L632" s="155"/>
      <c r="M632" s="383"/>
      <c r="N632" s="155"/>
      <c r="O632" s="155"/>
      <c r="P632" s="155"/>
    </row>
    <row r="633" spans="3:16" s="245" customFormat="1" ht="15" customHeight="1">
      <c r="C633" s="378"/>
      <c r="D633" s="244"/>
      <c r="E633" s="190"/>
      <c r="F633" s="155"/>
      <c r="G633" s="155"/>
      <c r="H633" s="155"/>
      <c r="I633" s="155"/>
      <c r="J633" s="155"/>
      <c r="K633" s="155"/>
      <c r="L633" s="155"/>
      <c r="M633" s="383"/>
      <c r="N633" s="155"/>
      <c r="O633" s="155"/>
      <c r="P633" s="155"/>
    </row>
    <row r="634" spans="3:16" s="245" customFormat="1" ht="15" customHeight="1">
      <c r="C634" s="378"/>
      <c r="D634" s="244"/>
      <c r="E634" s="190"/>
      <c r="F634" s="378"/>
      <c r="G634" s="378"/>
      <c r="H634" s="378"/>
      <c r="I634" s="378"/>
      <c r="J634" s="378"/>
      <c r="K634" s="378"/>
      <c r="L634" s="378"/>
      <c r="M634" s="378"/>
      <c r="N634" s="378"/>
      <c r="O634" s="378"/>
      <c r="P634" s="155"/>
    </row>
    <row r="635" spans="3:16" s="245" customFormat="1" ht="15" customHeight="1">
      <c r="C635" s="380" t="s">
        <v>812</v>
      </c>
      <c r="D635" s="380"/>
      <c r="E635" s="380"/>
      <c r="F635" s="380"/>
      <c r="G635" s="380"/>
      <c r="H635" s="380"/>
      <c r="I635" s="380"/>
      <c r="J635" s="380"/>
      <c r="K635" s="380"/>
      <c r="L635" s="380"/>
      <c r="M635" s="380"/>
      <c r="N635" s="380"/>
      <c r="O635" s="380"/>
      <c r="P635" s="155"/>
    </row>
    <row r="636" spans="3:16" s="245" customFormat="1" ht="15" customHeight="1">
      <c r="C636" s="379"/>
      <c r="D636" s="379"/>
      <c r="E636" s="379"/>
      <c r="F636" s="379"/>
      <c r="G636" s="379"/>
      <c r="H636" s="379"/>
      <c r="I636" s="379"/>
      <c r="J636" s="379"/>
      <c r="K636" s="379"/>
      <c r="L636" s="379"/>
      <c r="M636" s="379"/>
      <c r="N636" s="379"/>
      <c r="O636" s="379"/>
      <c r="P636" s="155"/>
    </row>
    <row r="637" spans="3:16" s="245" customFormat="1" ht="15" customHeight="1">
      <c r="C637" s="379"/>
      <c r="D637" s="376"/>
      <c r="E637" s="376"/>
      <c r="F637" s="377"/>
      <c r="G637" s="377"/>
      <c r="H637" s="377"/>
      <c r="I637" s="377"/>
      <c r="J637" s="377"/>
      <c r="K637" s="377"/>
      <c r="L637" s="377"/>
      <c r="M637" s="377"/>
      <c r="N637" s="376"/>
      <c r="O637" s="376"/>
      <c r="P637" s="155"/>
    </row>
    <row r="638" spans="3:16" s="245" customFormat="1" ht="15" customHeight="1">
      <c r="C638" s="379"/>
      <c r="D638" s="376"/>
      <c r="E638" s="381" t="s">
        <v>56</v>
      </c>
      <c r="F638" s="381" t="s">
        <v>234</v>
      </c>
      <c r="G638" s="377"/>
      <c r="H638" s="381" t="s">
        <v>37</v>
      </c>
      <c r="I638" s="377"/>
      <c r="J638" s="377"/>
      <c r="K638" s="377"/>
      <c r="L638" s="377"/>
      <c r="M638" s="377"/>
      <c r="N638" s="376"/>
      <c r="O638" s="376"/>
      <c r="P638" s="155"/>
    </row>
    <row r="639" spans="3:16" s="245" customFormat="1" ht="15" customHeight="1">
      <c r="C639" s="379"/>
      <c r="D639" s="118"/>
      <c r="E639" s="118" t="s">
        <v>515</v>
      </c>
      <c r="F639" s="345">
        <v>42460</v>
      </c>
      <c r="G639" s="119"/>
      <c r="H639" s="118" t="s">
        <v>851</v>
      </c>
      <c r="I639" s="119"/>
      <c r="J639" s="119"/>
      <c r="K639" s="119"/>
      <c r="L639" s="119"/>
      <c r="M639" s="119"/>
      <c r="N639" s="118"/>
      <c r="O639" s="118"/>
      <c r="P639" s="155"/>
    </row>
    <row r="640" spans="3:16" s="245" customFormat="1" ht="15" customHeight="1" thickBot="1">
      <c r="C640" s="379"/>
      <c r="D640" s="379"/>
      <c r="E640" s="379"/>
      <c r="F640" s="430"/>
      <c r="G640" s="430"/>
      <c r="H640" s="430"/>
      <c r="I640" s="430"/>
      <c r="J640" s="430"/>
      <c r="K640" s="430"/>
      <c r="L640" s="430"/>
      <c r="M640" s="430"/>
      <c r="N640" s="379"/>
      <c r="O640" s="379"/>
      <c r="P640" s="155"/>
    </row>
    <row r="641" spans="3:16" s="245" customFormat="1" ht="15" customHeight="1">
      <c r="C641" s="379"/>
      <c r="D641" s="120"/>
      <c r="E641" s="189" t="s">
        <v>231</v>
      </c>
      <c r="F641" s="181">
        <v>42460</v>
      </c>
      <c r="G641" s="182">
        <v>42825</v>
      </c>
      <c r="H641" s="182">
        <v>43190</v>
      </c>
      <c r="I641" s="182">
        <v>43555</v>
      </c>
      <c r="J641" s="182">
        <v>43921</v>
      </c>
      <c r="K641" s="182">
        <v>44286</v>
      </c>
      <c r="L641" s="182">
        <v>44651</v>
      </c>
      <c r="M641" s="183">
        <v>45016</v>
      </c>
      <c r="N641" s="243" t="s">
        <v>83</v>
      </c>
      <c r="O641" s="184" t="s">
        <v>84</v>
      </c>
      <c r="P641" s="155"/>
    </row>
    <row r="642" spans="3:16" s="245" customFormat="1" ht="15" customHeight="1">
      <c r="C642" s="379"/>
      <c r="D642" s="121"/>
      <c r="E642" s="406" t="s">
        <v>235</v>
      </c>
      <c r="F642" s="185" t="s">
        <v>728</v>
      </c>
      <c r="G642" s="186" t="s">
        <v>728</v>
      </c>
      <c r="H642" s="186" t="s">
        <v>728</v>
      </c>
      <c r="I642" s="186" t="s">
        <v>728</v>
      </c>
      <c r="J642" s="186" t="s">
        <v>728</v>
      </c>
      <c r="K642" s="186" t="s">
        <v>728</v>
      </c>
      <c r="L642" s="186" t="s">
        <v>728</v>
      </c>
      <c r="M642" s="187" t="s">
        <v>728</v>
      </c>
      <c r="N642" s="188" t="s">
        <v>728</v>
      </c>
      <c r="O642" s="188" t="s">
        <v>728</v>
      </c>
      <c r="P642" s="155"/>
    </row>
    <row r="643" spans="3:16" s="245" customFormat="1" ht="15" customHeight="1">
      <c r="C643" s="379"/>
      <c r="D643" s="122"/>
      <c r="E643" s="407" t="s">
        <v>67</v>
      </c>
      <c r="F643" s="123"/>
      <c r="G643" s="124"/>
      <c r="H643" s="124"/>
      <c r="I643" s="124"/>
      <c r="J643" s="124"/>
      <c r="K643" s="124"/>
      <c r="L643" s="124"/>
      <c r="M643" s="125"/>
      <c r="N643" s="126"/>
      <c r="O643" s="126"/>
      <c r="P643" s="155"/>
    </row>
    <row r="644" spans="3:16" s="245" customFormat="1" ht="15" customHeight="1">
      <c r="C644" s="379"/>
      <c r="D644" s="127">
        <v>1</v>
      </c>
      <c r="E644" s="406" t="s">
        <v>209</v>
      </c>
      <c r="F644" s="133">
        <v>151.83473364655845</v>
      </c>
      <c r="G644" s="134">
        <v>165.97330795103318</v>
      </c>
      <c r="H644" s="134">
        <v>156.79687901353094</v>
      </c>
      <c r="I644" s="134">
        <v>148.47596750873896</v>
      </c>
      <c r="J644" s="134">
        <v>142.02008288557582</v>
      </c>
      <c r="K644" s="134">
        <v>137.44692689597068</v>
      </c>
      <c r="L644" s="134">
        <v>136.85258031979342</v>
      </c>
      <c r="M644" s="135">
        <v>131.85234423208905</v>
      </c>
      <c r="N644" s="128">
        <v>1171.2528224532905</v>
      </c>
      <c r="O644" s="128">
        <v>146.40660280666131</v>
      </c>
      <c r="P644" s="155"/>
    </row>
    <row r="645" spans="3:16" s="245" customFormat="1" ht="15" customHeight="1">
      <c r="C645" s="379"/>
      <c r="D645" s="127">
        <v>2</v>
      </c>
      <c r="E645" s="406" t="s">
        <v>679</v>
      </c>
      <c r="F645" s="133">
        <v>71.451639363086315</v>
      </c>
      <c r="G645" s="134">
        <v>78.105086094603848</v>
      </c>
      <c r="H645" s="134">
        <v>73.786766594602767</v>
      </c>
      <c r="I645" s="134">
        <v>69.871043533524187</v>
      </c>
      <c r="J645" s="134">
        <v>66.832980181447425</v>
      </c>
      <c r="K645" s="134">
        <v>64.680906774574424</v>
      </c>
      <c r="L645" s="134">
        <v>64.401214268138062</v>
      </c>
      <c r="M645" s="135">
        <v>62.048161991571305</v>
      </c>
      <c r="N645" s="128">
        <v>551.17779880154831</v>
      </c>
      <c r="O645" s="128">
        <v>68.897224850193538</v>
      </c>
      <c r="P645" s="155"/>
    </row>
    <row r="646" spans="3:16" s="245" customFormat="1" ht="15" customHeight="1">
      <c r="C646" s="379"/>
      <c r="D646" s="127">
        <v>3</v>
      </c>
      <c r="E646" s="406" t="s">
        <v>210</v>
      </c>
      <c r="F646" s="133">
        <v>223.28637300964476</v>
      </c>
      <c r="G646" s="134">
        <v>244.07839404563703</v>
      </c>
      <c r="H646" s="134">
        <v>230.58364560813371</v>
      </c>
      <c r="I646" s="134">
        <v>218.34701104226315</v>
      </c>
      <c r="J646" s="134">
        <v>208.85306306702324</v>
      </c>
      <c r="K646" s="134">
        <v>202.1278336705451</v>
      </c>
      <c r="L646" s="134">
        <v>201.25379458793148</v>
      </c>
      <c r="M646" s="135">
        <v>193.90050622366036</v>
      </c>
      <c r="N646" s="128">
        <v>1722.430621254839</v>
      </c>
      <c r="O646" s="128">
        <v>215.30382765685488</v>
      </c>
      <c r="P646" s="155"/>
    </row>
    <row r="647" spans="3:16" s="245" customFormat="1" ht="15" customHeight="1">
      <c r="C647" s="379"/>
      <c r="D647" s="122"/>
      <c r="E647" s="407" t="s">
        <v>15</v>
      </c>
      <c r="F647" s="123"/>
      <c r="G647" s="124"/>
      <c r="H647" s="124"/>
      <c r="I647" s="124"/>
      <c r="J647" s="124"/>
      <c r="K647" s="124"/>
      <c r="L647" s="124"/>
      <c r="M647" s="125"/>
      <c r="N647" s="126"/>
      <c r="O647" s="126"/>
      <c r="P647" s="155"/>
    </row>
    <row r="648" spans="3:16" s="245" customFormat="1" ht="15" customHeight="1">
      <c r="C648" s="379"/>
      <c r="D648" s="127">
        <v>4</v>
      </c>
      <c r="E648" s="406" t="s">
        <v>448</v>
      </c>
      <c r="F648" s="133">
        <v>1486.0625906301343</v>
      </c>
      <c r="G648" s="134">
        <v>1513.9430422338389</v>
      </c>
      <c r="H648" s="134">
        <v>1551.8536482869831</v>
      </c>
      <c r="I648" s="134">
        <v>1577.4080478838075</v>
      </c>
      <c r="J648" s="134">
        <v>1591.5223688217841</v>
      </c>
      <c r="K648" s="134">
        <v>1605.4427106432661</v>
      </c>
      <c r="L648" s="134">
        <v>1613.796536603405</v>
      </c>
      <c r="M648" s="135">
        <v>1621.7794547891488</v>
      </c>
      <c r="N648" s="128"/>
      <c r="O648" s="128">
        <v>1570.2260499865458</v>
      </c>
      <c r="P648" s="155"/>
    </row>
    <row r="649" spans="3:16" s="245" customFormat="1" ht="15" customHeight="1">
      <c r="C649" s="379"/>
      <c r="D649" s="127">
        <v>5</v>
      </c>
      <c r="E649" s="406" t="s">
        <v>119</v>
      </c>
      <c r="F649" s="133">
        <v>0</v>
      </c>
      <c r="G649" s="134">
        <v>0</v>
      </c>
      <c r="H649" s="134">
        <v>0</v>
      </c>
      <c r="I649" s="134">
        <v>0</v>
      </c>
      <c r="J649" s="134">
        <v>0</v>
      </c>
      <c r="K649" s="134">
        <v>0</v>
      </c>
      <c r="L649" s="134">
        <v>0</v>
      </c>
      <c r="M649" s="135">
        <v>0</v>
      </c>
      <c r="N649" s="128">
        <v>0</v>
      </c>
      <c r="O649" s="128">
        <v>0</v>
      </c>
      <c r="P649" s="190"/>
    </row>
    <row r="650" spans="3:16" s="245" customFormat="1" ht="15" customHeight="1">
      <c r="C650" s="379"/>
      <c r="D650" s="127">
        <v>6</v>
      </c>
      <c r="E650" s="406" t="s">
        <v>449</v>
      </c>
      <c r="F650" s="133">
        <v>1486.0625906301343</v>
      </c>
      <c r="G650" s="134">
        <v>1513.9430422338389</v>
      </c>
      <c r="H650" s="134">
        <v>1551.8536482869831</v>
      </c>
      <c r="I650" s="134">
        <v>1577.4080478838075</v>
      </c>
      <c r="J650" s="134">
        <v>1591.5223688217841</v>
      </c>
      <c r="K650" s="134">
        <v>1605.4427106432661</v>
      </c>
      <c r="L650" s="134">
        <v>1613.796536603405</v>
      </c>
      <c r="M650" s="135">
        <v>1621.7794547891488</v>
      </c>
      <c r="N650" s="128"/>
      <c r="O650" s="128">
        <v>1570.2260499865458</v>
      </c>
      <c r="P650" s="190"/>
    </row>
    <row r="651" spans="3:16" s="245" customFormat="1" ht="15" customHeight="1">
      <c r="C651" s="379"/>
      <c r="D651" s="127">
        <v>7</v>
      </c>
      <c r="E651" s="406" t="s">
        <v>211</v>
      </c>
      <c r="F651" s="133">
        <v>151.83473364655845</v>
      </c>
      <c r="G651" s="134">
        <v>165.97330795103318</v>
      </c>
      <c r="H651" s="134">
        <v>156.79687901353094</v>
      </c>
      <c r="I651" s="134">
        <v>148.47596750873896</v>
      </c>
      <c r="J651" s="134">
        <v>142.02008288557582</v>
      </c>
      <c r="K651" s="134">
        <v>137.44692689597068</v>
      </c>
      <c r="L651" s="134">
        <v>136.85258031979342</v>
      </c>
      <c r="M651" s="135">
        <v>131.85234423208905</v>
      </c>
      <c r="N651" s="128">
        <v>1171.2528224532905</v>
      </c>
      <c r="O651" s="128">
        <v>146.40660280666131</v>
      </c>
      <c r="P651" s="190"/>
    </row>
    <row r="652" spans="3:16" s="245" customFormat="1" ht="15" customHeight="1">
      <c r="C652" s="379"/>
      <c r="D652" s="127">
        <v>8</v>
      </c>
      <c r="E652" s="406" t="s">
        <v>0</v>
      </c>
      <c r="F652" s="133">
        <v>-123.95428204285395</v>
      </c>
      <c r="G652" s="134">
        <v>-128.06270189788904</v>
      </c>
      <c r="H652" s="134">
        <v>-131.24247941670669</v>
      </c>
      <c r="I652" s="134">
        <v>-134.36164657076228</v>
      </c>
      <c r="J652" s="134">
        <v>-128.09974106409385</v>
      </c>
      <c r="K652" s="134">
        <v>-129.09310093583176</v>
      </c>
      <c r="L652" s="134">
        <v>-128.86966213404966</v>
      </c>
      <c r="M652" s="135">
        <v>-126.948413563785</v>
      </c>
      <c r="N652" s="128">
        <v>-1030.6320276259723</v>
      </c>
      <c r="O652" s="128">
        <v>-128.82900345324654</v>
      </c>
      <c r="P652" s="155"/>
    </row>
    <row r="653" spans="3:16" s="245" customFormat="1" ht="15" customHeight="1">
      <c r="C653" s="379"/>
      <c r="D653" s="127">
        <v>9</v>
      </c>
      <c r="E653" s="406" t="s">
        <v>16</v>
      </c>
      <c r="F653" s="133">
        <v>1513.9430422338389</v>
      </c>
      <c r="G653" s="134">
        <v>1551.8536482869831</v>
      </c>
      <c r="H653" s="134">
        <v>1577.4080478838075</v>
      </c>
      <c r="I653" s="134">
        <v>1591.5223688217841</v>
      </c>
      <c r="J653" s="134">
        <v>1605.4427106432661</v>
      </c>
      <c r="K653" s="134">
        <v>1613.796536603405</v>
      </c>
      <c r="L653" s="134">
        <v>1621.7794547891488</v>
      </c>
      <c r="M653" s="135">
        <v>1626.6833854574529</v>
      </c>
      <c r="N653" s="128"/>
      <c r="O653" s="128">
        <v>1587.8036493399607</v>
      </c>
      <c r="P653" s="190"/>
    </row>
    <row r="654" spans="3:16" s="245" customFormat="1" ht="15" customHeight="1">
      <c r="C654" s="379"/>
      <c r="D654" s="122"/>
      <c r="E654" s="407" t="s">
        <v>296</v>
      </c>
      <c r="F654" s="129"/>
      <c r="G654" s="130"/>
      <c r="H654" s="130"/>
      <c r="I654" s="130"/>
      <c r="J654" s="130"/>
      <c r="K654" s="130"/>
      <c r="L654" s="130"/>
      <c r="M654" s="131"/>
      <c r="N654" s="132"/>
      <c r="O654" s="132"/>
      <c r="P654" s="190"/>
    </row>
    <row r="655" spans="3:16" s="245" customFormat="1" ht="15" customHeight="1">
      <c r="C655" s="379"/>
      <c r="D655" s="127">
        <v>10</v>
      </c>
      <c r="E655" s="406" t="s">
        <v>97</v>
      </c>
      <c r="F655" s="133">
        <v>71.451639363086315</v>
      </c>
      <c r="G655" s="134">
        <v>78.105086094603848</v>
      </c>
      <c r="H655" s="134">
        <v>73.786766594602767</v>
      </c>
      <c r="I655" s="134">
        <v>69.871043533524187</v>
      </c>
      <c r="J655" s="134">
        <v>66.832980181447425</v>
      </c>
      <c r="K655" s="134">
        <v>64.680906774574424</v>
      </c>
      <c r="L655" s="134">
        <v>64.401214268138062</v>
      </c>
      <c r="M655" s="135">
        <v>62.048161991571305</v>
      </c>
      <c r="N655" s="128">
        <v>551.17779880154831</v>
      </c>
      <c r="O655" s="128">
        <v>68.897224850193538</v>
      </c>
      <c r="P655" s="190"/>
    </row>
    <row r="656" spans="3:16" s="245" customFormat="1" ht="15" customHeight="1">
      <c r="C656" s="379"/>
      <c r="D656" s="127">
        <v>11</v>
      </c>
      <c r="E656" s="406" t="s">
        <v>600</v>
      </c>
      <c r="F656" s="133">
        <v>32.839901634737387</v>
      </c>
      <c r="G656" s="134">
        <v>33.869467503000863</v>
      </c>
      <c r="H656" s="134">
        <v>35.366892652701459</v>
      </c>
      <c r="I656" s="134">
        <v>35.474931574857152</v>
      </c>
      <c r="J656" s="134">
        <v>35.681308820366127</v>
      </c>
      <c r="K656" s="134">
        <v>36.256159119767332</v>
      </c>
      <c r="L656" s="134">
        <v>35.538164106782752</v>
      </c>
      <c r="M656" s="135">
        <v>35.748164106782752</v>
      </c>
      <c r="N656" s="128">
        <v>280.77498951899577</v>
      </c>
      <c r="O656" s="128">
        <v>35.096873689874471</v>
      </c>
      <c r="P656" s="190"/>
    </row>
    <row r="657" spans="3:16" s="245" customFormat="1" ht="15" customHeight="1">
      <c r="C657" s="379"/>
      <c r="D657" s="127">
        <v>12</v>
      </c>
      <c r="E657" s="406" t="s">
        <v>65</v>
      </c>
      <c r="F657" s="133">
        <v>123.95428204285395</v>
      </c>
      <c r="G657" s="134">
        <v>128.06270189788904</v>
      </c>
      <c r="H657" s="134">
        <v>131.24247941670669</v>
      </c>
      <c r="I657" s="134">
        <v>134.36164657076228</v>
      </c>
      <c r="J657" s="134">
        <v>128.09974106409385</v>
      </c>
      <c r="K657" s="134">
        <v>129.09310093583176</v>
      </c>
      <c r="L657" s="134">
        <v>128.86966213404966</v>
      </c>
      <c r="M657" s="135">
        <v>126.948413563785</v>
      </c>
      <c r="N657" s="128">
        <v>1030.6320276259723</v>
      </c>
      <c r="O657" s="128">
        <v>128.82900345324654</v>
      </c>
      <c r="P657" s="190"/>
    </row>
    <row r="658" spans="3:16" s="245" customFormat="1" ht="15" customHeight="1">
      <c r="C658" s="379"/>
      <c r="D658" s="127">
        <v>13</v>
      </c>
      <c r="E658" s="406" t="s">
        <v>18</v>
      </c>
      <c r="F658" s="133">
        <v>55.332556506330526</v>
      </c>
      <c r="G658" s="134">
        <v>56.542812565358361</v>
      </c>
      <c r="H658" s="134">
        <v>57.717774778916905</v>
      </c>
      <c r="I658" s="134">
        <v>58.453447831838091</v>
      </c>
      <c r="J658" s="134">
        <v>58.970678002887901</v>
      </c>
      <c r="K658" s="134">
        <v>59.383470193961088</v>
      </c>
      <c r="L658" s="134">
        <v>59.684965394934181</v>
      </c>
      <c r="M658" s="135">
        <v>59.923740554902501</v>
      </c>
      <c r="N658" s="128">
        <v>466.00944582912956</v>
      </c>
      <c r="O658" s="128">
        <v>58.251180728641195</v>
      </c>
      <c r="P658" s="190"/>
    </row>
    <row r="659" spans="3:16" s="245" customFormat="1" ht="15" customHeight="1">
      <c r="C659" s="379"/>
      <c r="D659" s="127">
        <v>14</v>
      </c>
      <c r="E659" s="406" t="s">
        <v>102</v>
      </c>
      <c r="F659" s="133">
        <v>0</v>
      </c>
      <c r="G659" s="134">
        <v>0</v>
      </c>
      <c r="H659" s="134">
        <v>0</v>
      </c>
      <c r="I659" s="134">
        <v>0</v>
      </c>
      <c r="J659" s="134">
        <v>0</v>
      </c>
      <c r="K659" s="134">
        <v>0</v>
      </c>
      <c r="L659" s="134">
        <v>0</v>
      </c>
      <c r="M659" s="135">
        <v>0</v>
      </c>
      <c r="N659" s="128">
        <v>0</v>
      </c>
      <c r="O659" s="128">
        <v>0</v>
      </c>
      <c r="P659" s="190"/>
    </row>
    <row r="660" spans="3:16" s="245" customFormat="1" ht="15" customHeight="1">
      <c r="C660" s="379"/>
      <c r="D660" s="127">
        <v>15</v>
      </c>
      <c r="E660" s="406" t="s">
        <v>22</v>
      </c>
      <c r="F660" s="133">
        <v>-2.1861012409352765</v>
      </c>
      <c r="G660" s="134">
        <v>-2.3820447425774849</v>
      </c>
      <c r="H660" s="134">
        <v>-2.2418672366929897</v>
      </c>
      <c r="I660" s="134">
        <v>-2.1147812646907029</v>
      </c>
      <c r="J660" s="134">
        <v>-2.0146177086326591</v>
      </c>
      <c r="K660" s="134">
        <v>-1.9421313262105093</v>
      </c>
      <c r="L660" s="134">
        <v>-1.9248856430948595</v>
      </c>
      <c r="M660" s="135">
        <v>-1.8464451304225615</v>
      </c>
      <c r="N660" s="128">
        <v>-16.652874293257042</v>
      </c>
      <c r="O660" s="128">
        <v>-2.0816092866571303</v>
      </c>
      <c r="P660" s="190"/>
    </row>
    <row r="661" spans="3:16" s="245" customFormat="1" ht="15" customHeight="1">
      <c r="C661" s="379"/>
      <c r="D661" s="127">
        <v>16</v>
      </c>
      <c r="E661" s="406" t="s">
        <v>215</v>
      </c>
      <c r="F661" s="133">
        <v>27.51719487257466</v>
      </c>
      <c r="G661" s="134">
        <v>18.743703584791859</v>
      </c>
      <c r="H661" s="134">
        <v>23.402775067782564</v>
      </c>
      <c r="I661" s="134">
        <v>30.1920273640891</v>
      </c>
      <c r="J661" s="134">
        <v>45.482619740755013</v>
      </c>
      <c r="K661" s="134">
        <v>52.320896354584519</v>
      </c>
      <c r="L661" s="134">
        <v>59.838768820267163</v>
      </c>
      <c r="M661" s="135">
        <v>70.487665981669068</v>
      </c>
      <c r="N661" s="128">
        <v>327.98565178651393</v>
      </c>
      <c r="O661" s="128">
        <v>40.998206473314241</v>
      </c>
      <c r="P661" s="190"/>
    </row>
    <row r="662" spans="3:16" s="245" customFormat="1" ht="15" customHeight="1">
      <c r="C662" s="379"/>
      <c r="D662" s="127">
        <v>17</v>
      </c>
      <c r="E662" s="406" t="s">
        <v>6</v>
      </c>
      <c r="F662" s="133">
        <v>13.140047247588498</v>
      </c>
      <c r="G662" s="134">
        <v>12.473662254414496</v>
      </c>
      <c r="H662" s="134">
        <v>12.91670889362401</v>
      </c>
      <c r="I662" s="134">
        <v>14.070165159431038</v>
      </c>
      <c r="J662" s="134">
        <v>15.651136796515686</v>
      </c>
      <c r="K662" s="134">
        <v>17.459328334535513</v>
      </c>
      <c r="L662" s="134">
        <v>19.601834812219611</v>
      </c>
      <c r="M662" s="135">
        <v>21.787172930162562</v>
      </c>
      <c r="N662" s="128">
        <v>127.1000564284914</v>
      </c>
      <c r="O662" s="128">
        <v>15.887507053561425</v>
      </c>
      <c r="P662" s="155"/>
    </row>
    <row r="663" spans="3:16" s="245" customFormat="1" ht="15" customHeight="1">
      <c r="C663" s="379"/>
      <c r="D663" s="122"/>
      <c r="E663" s="407" t="s">
        <v>164</v>
      </c>
      <c r="F663" s="129"/>
      <c r="G663" s="130"/>
      <c r="H663" s="130"/>
      <c r="I663" s="130"/>
      <c r="J663" s="130"/>
      <c r="K663" s="130"/>
      <c r="L663" s="130"/>
      <c r="M663" s="131"/>
      <c r="N663" s="132"/>
      <c r="O663" s="132"/>
      <c r="P663" s="155"/>
    </row>
    <row r="664" spans="3:16" s="245" customFormat="1" ht="15" customHeight="1">
      <c r="C664" s="379"/>
      <c r="D664" s="127">
        <v>18</v>
      </c>
      <c r="E664" s="406" t="s">
        <v>97</v>
      </c>
      <c r="F664" s="133">
        <v>71.451639363086315</v>
      </c>
      <c r="G664" s="134">
        <v>78.105086094603848</v>
      </c>
      <c r="H664" s="134">
        <v>73.786766594602767</v>
      </c>
      <c r="I664" s="134">
        <v>69.871043533524187</v>
      </c>
      <c r="J664" s="134">
        <v>66.832980181447425</v>
      </c>
      <c r="K664" s="134">
        <v>64.680906774574424</v>
      </c>
      <c r="L664" s="134">
        <v>64.401214268138062</v>
      </c>
      <c r="M664" s="135">
        <v>62.048161991571305</v>
      </c>
      <c r="N664" s="128">
        <v>551.17779880154831</v>
      </c>
      <c r="O664" s="128">
        <v>68.897224850193538</v>
      </c>
      <c r="P664" s="155"/>
    </row>
    <row r="665" spans="3:16" s="245" customFormat="1" ht="15" customHeight="1">
      <c r="C665" s="379"/>
      <c r="D665" s="127">
        <v>19</v>
      </c>
      <c r="E665" s="406" t="s">
        <v>600</v>
      </c>
      <c r="F665" s="133">
        <v>32.839901634737387</v>
      </c>
      <c r="G665" s="134">
        <v>33.869467503000863</v>
      </c>
      <c r="H665" s="134">
        <v>35.366892652701459</v>
      </c>
      <c r="I665" s="134">
        <v>35.474931574857152</v>
      </c>
      <c r="J665" s="134">
        <v>35.681308820366127</v>
      </c>
      <c r="K665" s="134">
        <v>36.256159119767332</v>
      </c>
      <c r="L665" s="134">
        <v>35.538164106782752</v>
      </c>
      <c r="M665" s="135">
        <v>35.748164106782752</v>
      </c>
      <c r="N665" s="128">
        <v>280.77498951899577</v>
      </c>
      <c r="O665" s="128">
        <v>35.096873689874471</v>
      </c>
      <c r="P665" s="155"/>
    </row>
    <row r="666" spans="3:16" s="245" customFormat="1" ht="15" customHeight="1">
      <c r="C666" s="379"/>
      <c r="D666" s="127">
        <v>20</v>
      </c>
      <c r="E666" s="406" t="s">
        <v>65</v>
      </c>
      <c r="F666" s="133">
        <v>123.95428204285395</v>
      </c>
      <c r="G666" s="134">
        <v>128.06270189788904</v>
      </c>
      <c r="H666" s="134">
        <v>131.24247941670669</v>
      </c>
      <c r="I666" s="134">
        <v>134.36164657076228</v>
      </c>
      <c r="J666" s="134">
        <v>128.09974106409385</v>
      </c>
      <c r="K666" s="134">
        <v>129.09310093583176</v>
      </c>
      <c r="L666" s="134">
        <v>128.86966213404966</v>
      </c>
      <c r="M666" s="135">
        <v>126.948413563785</v>
      </c>
      <c r="N666" s="128">
        <v>1030.6320276259723</v>
      </c>
      <c r="O666" s="128">
        <v>128.82900345324654</v>
      </c>
      <c r="P666" s="155"/>
    </row>
    <row r="667" spans="3:16" s="245" customFormat="1" ht="15" customHeight="1">
      <c r="C667" s="379"/>
      <c r="D667" s="127">
        <v>21</v>
      </c>
      <c r="E667" s="406" t="s">
        <v>18</v>
      </c>
      <c r="F667" s="133">
        <v>55.332556506330526</v>
      </c>
      <c r="G667" s="134">
        <v>56.542812565358361</v>
      </c>
      <c r="H667" s="134">
        <v>57.717774778916905</v>
      </c>
      <c r="I667" s="134">
        <v>58.453447831838091</v>
      </c>
      <c r="J667" s="134">
        <v>58.970678002887901</v>
      </c>
      <c r="K667" s="134">
        <v>59.383470193961088</v>
      </c>
      <c r="L667" s="134">
        <v>59.684965394934181</v>
      </c>
      <c r="M667" s="135">
        <v>59.923740554902501</v>
      </c>
      <c r="N667" s="128">
        <v>466.00944582912956</v>
      </c>
      <c r="O667" s="128">
        <v>58.251180728641195</v>
      </c>
      <c r="P667" s="155"/>
    </row>
    <row r="668" spans="3:16" s="245" customFormat="1" ht="15" customHeight="1">
      <c r="C668" s="379"/>
      <c r="D668" s="127">
        <v>22</v>
      </c>
      <c r="E668" s="406" t="s">
        <v>102</v>
      </c>
      <c r="F668" s="133">
        <v>0</v>
      </c>
      <c r="G668" s="134">
        <v>0</v>
      </c>
      <c r="H668" s="134">
        <v>0</v>
      </c>
      <c r="I668" s="134">
        <v>0</v>
      </c>
      <c r="J668" s="134">
        <v>0</v>
      </c>
      <c r="K668" s="134">
        <v>0</v>
      </c>
      <c r="L668" s="134">
        <v>0</v>
      </c>
      <c r="M668" s="135">
        <v>0</v>
      </c>
      <c r="N668" s="128">
        <v>0</v>
      </c>
      <c r="O668" s="128">
        <v>0</v>
      </c>
    </row>
    <row r="669" spans="3:16" s="245" customFormat="1" ht="15" customHeight="1">
      <c r="C669" s="379"/>
      <c r="D669" s="127">
        <v>23</v>
      </c>
      <c r="E669" s="406" t="s">
        <v>22</v>
      </c>
      <c r="F669" s="133">
        <v>-2.1861012409352765</v>
      </c>
      <c r="G669" s="134">
        <v>-2.3820447425774849</v>
      </c>
      <c r="H669" s="134">
        <v>-2.2418672366929897</v>
      </c>
      <c r="I669" s="134">
        <v>-2.1147812646907029</v>
      </c>
      <c r="J669" s="134">
        <v>-2.0146177086326591</v>
      </c>
      <c r="K669" s="134">
        <v>-1.9421313262105093</v>
      </c>
      <c r="L669" s="134">
        <v>-1.9248856430948595</v>
      </c>
      <c r="M669" s="135">
        <v>-1.8464451304225615</v>
      </c>
      <c r="N669" s="128">
        <v>-16.652874293257042</v>
      </c>
      <c r="O669" s="128">
        <v>-2.0816092866571303</v>
      </c>
    </row>
    <row r="670" spans="3:16" s="245" customFormat="1" ht="15" customHeight="1">
      <c r="C670" s="379"/>
      <c r="D670" s="127">
        <v>24</v>
      </c>
      <c r="E670" s="406" t="s">
        <v>215</v>
      </c>
      <c r="F670" s="133">
        <v>27.51719487257466</v>
      </c>
      <c r="G670" s="134">
        <v>18.743703584791859</v>
      </c>
      <c r="H670" s="134">
        <v>23.402775067782564</v>
      </c>
      <c r="I670" s="134">
        <v>30.1920273640891</v>
      </c>
      <c r="J670" s="134">
        <v>45.482619740755013</v>
      </c>
      <c r="K670" s="134">
        <v>52.320896354584519</v>
      </c>
      <c r="L670" s="134">
        <v>59.838768820267163</v>
      </c>
      <c r="M670" s="135">
        <v>70.487665981669068</v>
      </c>
      <c r="N670" s="128">
        <v>327.98565178651393</v>
      </c>
      <c r="O670" s="128">
        <v>40.998206473314241</v>
      </c>
    </row>
    <row r="671" spans="3:16" s="245" customFormat="1" ht="15" customHeight="1">
      <c r="C671" s="379"/>
      <c r="D671" s="127">
        <v>25</v>
      </c>
      <c r="E671" s="406" t="s">
        <v>6</v>
      </c>
      <c r="F671" s="133">
        <v>13.140047247588498</v>
      </c>
      <c r="G671" s="134">
        <v>12.473662254414496</v>
      </c>
      <c r="H671" s="134">
        <v>12.91670889362401</v>
      </c>
      <c r="I671" s="134">
        <v>14.070165159431038</v>
      </c>
      <c r="J671" s="134">
        <v>15.651136796515686</v>
      </c>
      <c r="K671" s="134">
        <v>17.459328334535513</v>
      </c>
      <c r="L671" s="134">
        <v>19.601834812219611</v>
      </c>
      <c r="M671" s="135">
        <v>21.787172930162562</v>
      </c>
      <c r="N671" s="128">
        <v>127.1000564284914</v>
      </c>
      <c r="O671" s="128">
        <v>15.887507053561425</v>
      </c>
    </row>
    <row r="672" spans="3:16" s="245" customFormat="1" ht="15" customHeight="1">
      <c r="C672" s="379"/>
      <c r="D672" s="122"/>
      <c r="E672" s="407" t="s">
        <v>19</v>
      </c>
      <c r="F672" s="129"/>
      <c r="G672" s="130"/>
      <c r="H672" s="130"/>
      <c r="I672" s="130"/>
      <c r="J672" s="130"/>
      <c r="K672" s="130"/>
      <c r="L672" s="130"/>
      <c r="M672" s="131"/>
      <c r="N672" s="408"/>
      <c r="O672" s="136"/>
    </row>
    <row r="673" spans="3:15" s="245" customFormat="1" ht="15" customHeight="1">
      <c r="C673" s="379"/>
      <c r="D673" s="127">
        <v>26</v>
      </c>
      <c r="E673" s="406" t="s">
        <v>460</v>
      </c>
      <c r="F673" s="133">
        <v>322.04952042623603</v>
      </c>
      <c r="G673" s="134">
        <v>325.415389157481</v>
      </c>
      <c r="H673" s="134">
        <v>332.19153016764136</v>
      </c>
      <c r="I673" s="134">
        <v>340.30848076981113</v>
      </c>
      <c r="J673" s="134">
        <v>348.70384689743332</v>
      </c>
      <c r="K673" s="134">
        <v>357.25173038704418</v>
      </c>
      <c r="L673" s="134">
        <v>366.00972389329655</v>
      </c>
      <c r="M673" s="135">
        <v>375.09687399845063</v>
      </c>
      <c r="N673" s="128">
        <v>2767.0270956973941</v>
      </c>
      <c r="O673" s="128">
        <v>345.87838696217426</v>
      </c>
    </row>
    <row r="674" spans="3:15" s="245" customFormat="1" ht="15" customHeight="1">
      <c r="C674" s="379"/>
      <c r="D674" s="127">
        <v>27</v>
      </c>
      <c r="E674" s="406" t="s">
        <v>58</v>
      </c>
      <c r="F674" s="133">
        <v>0</v>
      </c>
      <c r="G674" s="134">
        <v>0</v>
      </c>
      <c r="H674" s="134">
        <v>0</v>
      </c>
      <c r="I674" s="134">
        <v>0</v>
      </c>
      <c r="J674" s="134">
        <v>0</v>
      </c>
      <c r="K674" s="134">
        <v>0</v>
      </c>
      <c r="L674" s="134">
        <v>0</v>
      </c>
      <c r="M674" s="135">
        <v>0</v>
      </c>
      <c r="N674" s="128">
        <v>0</v>
      </c>
      <c r="O674" s="128">
        <v>0</v>
      </c>
    </row>
    <row r="675" spans="3:15" s="245" customFormat="1" ht="15" customHeight="1">
      <c r="C675" s="379"/>
      <c r="D675" s="127">
        <v>28</v>
      </c>
      <c r="E675" s="406" t="s">
        <v>43</v>
      </c>
      <c r="F675" s="137">
        <v>322.04952042623603</v>
      </c>
      <c r="G675" s="134">
        <v>325.415389157481</v>
      </c>
      <c r="H675" s="134">
        <v>332.19153016764136</v>
      </c>
      <c r="I675" s="134">
        <v>340.30848076981113</v>
      </c>
      <c r="J675" s="134">
        <v>348.70384689743332</v>
      </c>
      <c r="K675" s="134">
        <v>357.25173038704418</v>
      </c>
      <c r="L675" s="134">
        <v>366.00972389329655</v>
      </c>
      <c r="M675" s="135">
        <v>375.09687399845063</v>
      </c>
      <c r="N675" s="128">
        <v>2767.0270956973941</v>
      </c>
      <c r="O675" s="128">
        <v>345.87838696217426</v>
      </c>
    </row>
    <row r="676" spans="3:15" s="245" customFormat="1" ht="15" customHeight="1">
      <c r="C676" s="379"/>
      <c r="D676" s="127">
        <v>29</v>
      </c>
      <c r="E676" s="406" t="s">
        <v>739</v>
      </c>
      <c r="F676" s="137">
        <v>6.0962962987058376</v>
      </c>
      <c r="G676" s="134">
        <v>5.1609625001206467</v>
      </c>
      <c r="H676" s="134">
        <v>3.9308209039018491</v>
      </c>
      <c r="I676" s="134">
        <v>2.918442924017052</v>
      </c>
      <c r="J676" s="134">
        <v>1.9829451635851343</v>
      </c>
      <c r="K676" s="134">
        <v>1.3784418587750285</v>
      </c>
      <c r="L676" s="134">
        <v>1.1600625259421435</v>
      </c>
      <c r="M676" s="135">
        <v>1.0134830003258326</v>
      </c>
      <c r="N676" s="128">
        <v>23.64145517537353</v>
      </c>
      <c r="O676" s="128">
        <v>2.9551818969216912</v>
      </c>
    </row>
    <row r="677" spans="3:15" s="245" customFormat="1" ht="15" customHeight="1">
      <c r="C677" s="379"/>
      <c r="D677" s="127">
        <v>30</v>
      </c>
      <c r="E677" s="406" t="s">
        <v>770</v>
      </c>
      <c r="F677" s="431">
        <v>-9.6544132614295357</v>
      </c>
      <c r="G677" s="137">
        <v>17.59119676712778</v>
      </c>
      <c r="H677" s="137">
        <v>0</v>
      </c>
      <c r="I677" s="137">
        <v>0</v>
      </c>
      <c r="J677" s="137">
        <v>0</v>
      </c>
      <c r="K677" s="137">
        <v>0</v>
      </c>
      <c r="L677" s="137">
        <v>0</v>
      </c>
      <c r="M677" s="137">
        <v>0</v>
      </c>
      <c r="N677" s="128">
        <v>7.9367835056982443</v>
      </c>
      <c r="O677" s="128">
        <v>0.99209793821228054</v>
      </c>
    </row>
    <row r="678" spans="3:15" s="245" customFormat="1" ht="15" customHeight="1">
      <c r="C678" s="379"/>
      <c r="D678" s="127">
        <v>31</v>
      </c>
      <c r="E678" s="406" t="s">
        <v>764</v>
      </c>
      <c r="F678" s="137">
        <v>0</v>
      </c>
      <c r="G678" s="134">
        <v>0</v>
      </c>
      <c r="H678" s="134">
        <v>0</v>
      </c>
      <c r="I678" s="134">
        <v>0</v>
      </c>
      <c r="J678" s="134">
        <v>0</v>
      </c>
      <c r="K678" s="134">
        <v>0</v>
      </c>
      <c r="L678" s="134">
        <v>0</v>
      </c>
      <c r="M678" s="135">
        <v>0</v>
      </c>
      <c r="N678" s="128">
        <v>0</v>
      </c>
      <c r="O678" s="128">
        <v>0</v>
      </c>
    </row>
    <row r="679" spans="3:15" s="245" customFormat="1" ht="15" customHeight="1">
      <c r="C679" s="379"/>
      <c r="D679" s="127">
        <v>32</v>
      </c>
      <c r="E679" s="406" t="s">
        <v>9</v>
      </c>
      <c r="F679" s="137">
        <v>318.49140346351237</v>
      </c>
      <c r="G679" s="134">
        <v>348.16754842472943</v>
      </c>
      <c r="H679" s="134">
        <v>336.12235107154322</v>
      </c>
      <c r="I679" s="134">
        <v>343.22692369382816</v>
      </c>
      <c r="J679" s="134">
        <v>350.68679206101848</v>
      </c>
      <c r="K679" s="134">
        <v>358.63017224581921</v>
      </c>
      <c r="L679" s="134">
        <v>367.16978641923868</v>
      </c>
      <c r="M679" s="367">
        <v>376.11035699877647</v>
      </c>
      <c r="N679" s="128">
        <v>2798.6053343784656</v>
      </c>
      <c r="O679" s="128">
        <v>349.8256667973082</v>
      </c>
    </row>
    <row r="680" spans="3:15" s="245" customFormat="1" ht="15" customHeight="1">
      <c r="C680" s="379"/>
      <c r="D680" s="122"/>
      <c r="E680" s="407" t="s">
        <v>173</v>
      </c>
      <c r="F680" s="129"/>
      <c r="G680" s="130"/>
      <c r="H680" s="130"/>
      <c r="I680" s="130"/>
      <c r="J680" s="130"/>
      <c r="K680" s="198"/>
      <c r="L680" s="130"/>
      <c r="M680" s="131"/>
      <c r="N680" s="408"/>
      <c r="O680" s="136"/>
    </row>
    <row r="681" spans="3:15" s="245" customFormat="1" ht="15" customHeight="1">
      <c r="C681" s="379"/>
      <c r="D681" s="127">
        <v>33</v>
      </c>
      <c r="E681" s="406" t="s">
        <v>173</v>
      </c>
      <c r="F681" s="133">
        <v>322.04952042623603</v>
      </c>
      <c r="G681" s="134">
        <v>325.415389157481</v>
      </c>
      <c r="H681" s="134">
        <v>332.19153016764136</v>
      </c>
      <c r="I681" s="134">
        <v>340.30848076981113</v>
      </c>
      <c r="J681" s="134">
        <v>348.70384689743332</v>
      </c>
      <c r="K681" s="134">
        <v>357.25173038704418</v>
      </c>
      <c r="L681" s="134">
        <v>366.00972389329655</v>
      </c>
      <c r="M681" s="135">
        <v>375.09687399845063</v>
      </c>
      <c r="N681" s="128">
        <v>2767.0270956973941</v>
      </c>
      <c r="O681" s="128">
        <v>345.87838696217426</v>
      </c>
    </row>
    <row r="682" spans="3:15" s="245" customFormat="1" ht="15" customHeight="1">
      <c r="C682" s="379"/>
      <c r="D682" s="127">
        <v>34</v>
      </c>
      <c r="E682" s="406" t="s">
        <v>187</v>
      </c>
      <c r="F682" s="133">
        <v>0</v>
      </c>
      <c r="G682" s="134">
        <v>0</v>
      </c>
      <c r="H682" s="134">
        <v>0</v>
      </c>
      <c r="I682" s="134">
        <v>0</v>
      </c>
      <c r="J682" s="134">
        <v>0</v>
      </c>
      <c r="K682" s="134">
        <v>0</v>
      </c>
      <c r="L682" s="134">
        <v>0</v>
      </c>
      <c r="M682" s="135">
        <v>0</v>
      </c>
      <c r="N682" s="128">
        <v>0</v>
      </c>
      <c r="O682" s="128">
        <v>0</v>
      </c>
    </row>
    <row r="683" spans="3:15" s="245" customFormat="1" ht="15" customHeight="1">
      <c r="C683" s="378"/>
      <c r="D683" s="122"/>
      <c r="E683" s="407" t="s">
        <v>297</v>
      </c>
      <c r="F683" s="129"/>
      <c r="G683" s="130"/>
      <c r="H683" s="130"/>
      <c r="I683" s="130"/>
      <c r="J683" s="130"/>
      <c r="K683" s="198"/>
      <c r="L683" s="130"/>
      <c r="M683" s="131"/>
      <c r="N683" s="408"/>
      <c r="O683" s="136"/>
    </row>
    <row r="684" spans="3:15" s="245" customFormat="1" ht="15" customHeight="1">
      <c r="C684" s="378"/>
      <c r="D684" s="127">
        <v>35</v>
      </c>
      <c r="E684" s="409">
        <v>42460</v>
      </c>
      <c r="F684" s="137">
        <v>322.04952042623603</v>
      </c>
      <c r="G684" s="134">
        <v>325.415389157481</v>
      </c>
      <c r="H684" s="134">
        <v>332.19153016764136</v>
      </c>
      <c r="I684" s="134">
        <v>340.30848076981113</v>
      </c>
      <c r="J684" s="134">
        <v>348.70384689743332</v>
      </c>
      <c r="K684" s="134">
        <v>357.25173038704418</v>
      </c>
      <c r="L684" s="134">
        <v>366.00972389329655</v>
      </c>
      <c r="M684" s="135">
        <v>375.09687399845063</v>
      </c>
      <c r="N684" s="128">
        <v>2767.0270956973941</v>
      </c>
      <c r="O684" s="128">
        <v>345.87838696217426</v>
      </c>
    </row>
    <row r="685" spans="3:15" s="245" customFormat="1" ht="15" customHeight="1">
      <c r="C685" s="378"/>
      <c r="D685" s="127">
        <v>36</v>
      </c>
      <c r="E685" s="409">
        <v>42825</v>
      </c>
      <c r="F685" s="137" t="s">
        <v>196</v>
      </c>
      <c r="G685" s="134" t="s">
        <v>196</v>
      </c>
      <c r="H685" s="134" t="s">
        <v>196</v>
      </c>
      <c r="I685" s="134" t="s">
        <v>196</v>
      </c>
      <c r="J685" s="134" t="s">
        <v>196</v>
      </c>
      <c r="K685" s="134" t="s">
        <v>196</v>
      </c>
      <c r="L685" s="134" t="s">
        <v>196</v>
      </c>
      <c r="M685" s="135" t="s">
        <v>196</v>
      </c>
      <c r="N685" s="128">
        <v>0</v>
      </c>
      <c r="O685" s="128">
        <v>0</v>
      </c>
    </row>
    <row r="686" spans="3:15" s="245" customFormat="1" ht="15" customHeight="1">
      <c r="C686" s="378"/>
      <c r="D686" s="127">
        <v>37</v>
      </c>
      <c r="E686" s="409">
        <v>43190</v>
      </c>
      <c r="F686" s="137" t="s">
        <v>196</v>
      </c>
      <c r="G686" s="134" t="s">
        <v>196</v>
      </c>
      <c r="H686" s="134" t="s">
        <v>196</v>
      </c>
      <c r="I686" s="134" t="s">
        <v>196</v>
      </c>
      <c r="J686" s="134" t="s">
        <v>196</v>
      </c>
      <c r="K686" s="134" t="s">
        <v>196</v>
      </c>
      <c r="L686" s="134" t="s">
        <v>196</v>
      </c>
      <c r="M686" s="135" t="s">
        <v>196</v>
      </c>
      <c r="N686" s="128">
        <v>0</v>
      </c>
      <c r="O686" s="128">
        <v>0</v>
      </c>
    </row>
    <row r="687" spans="3:15" s="245" customFormat="1" ht="15" customHeight="1">
      <c r="C687" s="378"/>
      <c r="D687" s="127">
        <v>38</v>
      </c>
      <c r="E687" s="409">
        <v>43555</v>
      </c>
      <c r="F687" s="137" t="s">
        <v>196</v>
      </c>
      <c r="G687" s="134" t="s">
        <v>196</v>
      </c>
      <c r="H687" s="134" t="s">
        <v>196</v>
      </c>
      <c r="I687" s="134" t="s">
        <v>196</v>
      </c>
      <c r="J687" s="134" t="s">
        <v>196</v>
      </c>
      <c r="K687" s="134" t="s">
        <v>196</v>
      </c>
      <c r="L687" s="134" t="s">
        <v>196</v>
      </c>
      <c r="M687" s="135" t="s">
        <v>196</v>
      </c>
      <c r="N687" s="128">
        <v>0</v>
      </c>
      <c r="O687" s="128">
        <v>0</v>
      </c>
    </row>
    <row r="688" spans="3:15" s="245" customFormat="1" ht="15" customHeight="1">
      <c r="C688" s="378"/>
      <c r="D688" s="127">
        <v>39</v>
      </c>
      <c r="E688" s="409">
        <v>43921</v>
      </c>
      <c r="F688" s="137" t="s">
        <v>196</v>
      </c>
      <c r="G688" s="134" t="s">
        <v>196</v>
      </c>
      <c r="H688" s="134" t="s">
        <v>196</v>
      </c>
      <c r="I688" s="134" t="s">
        <v>196</v>
      </c>
      <c r="J688" s="134" t="s">
        <v>196</v>
      </c>
      <c r="K688" s="134" t="s">
        <v>196</v>
      </c>
      <c r="L688" s="134" t="s">
        <v>196</v>
      </c>
      <c r="M688" s="135" t="s">
        <v>196</v>
      </c>
      <c r="N688" s="128">
        <v>0</v>
      </c>
      <c r="O688" s="128">
        <v>0</v>
      </c>
    </row>
    <row r="689" spans="3:15" s="245" customFormat="1" ht="15" customHeight="1">
      <c r="C689" s="378"/>
      <c r="D689" s="127">
        <v>40</v>
      </c>
      <c r="E689" s="409">
        <v>44286</v>
      </c>
      <c r="F689" s="137" t="s">
        <v>196</v>
      </c>
      <c r="G689" s="134" t="s">
        <v>196</v>
      </c>
      <c r="H689" s="134" t="s">
        <v>196</v>
      </c>
      <c r="I689" s="134" t="s">
        <v>196</v>
      </c>
      <c r="J689" s="134" t="s">
        <v>196</v>
      </c>
      <c r="K689" s="134" t="s">
        <v>196</v>
      </c>
      <c r="L689" s="134" t="s">
        <v>196</v>
      </c>
      <c r="M689" s="135" t="s">
        <v>196</v>
      </c>
      <c r="N689" s="128">
        <v>0</v>
      </c>
      <c r="O689" s="128">
        <v>0</v>
      </c>
    </row>
    <row r="690" spans="3:15" s="245" customFormat="1" ht="15" customHeight="1">
      <c r="C690" s="378"/>
      <c r="D690" s="127">
        <v>41</v>
      </c>
      <c r="E690" s="409">
        <v>44651</v>
      </c>
      <c r="F690" s="137" t="s">
        <v>196</v>
      </c>
      <c r="G690" s="134" t="s">
        <v>196</v>
      </c>
      <c r="H690" s="134" t="s">
        <v>196</v>
      </c>
      <c r="I690" s="134" t="s">
        <v>196</v>
      </c>
      <c r="J690" s="134" t="s">
        <v>196</v>
      </c>
      <c r="K690" s="134" t="s">
        <v>196</v>
      </c>
      <c r="L690" s="134" t="s">
        <v>196</v>
      </c>
      <c r="M690" s="135" t="s">
        <v>196</v>
      </c>
      <c r="N690" s="128">
        <v>0</v>
      </c>
      <c r="O690" s="128">
        <v>0</v>
      </c>
    </row>
    <row r="691" spans="3:15" s="245" customFormat="1" ht="15" customHeight="1">
      <c r="C691" s="378"/>
      <c r="D691" s="127">
        <v>42</v>
      </c>
      <c r="E691" s="409">
        <v>45016</v>
      </c>
      <c r="F691" s="137" t="s">
        <v>196</v>
      </c>
      <c r="G691" s="134" t="s">
        <v>196</v>
      </c>
      <c r="H691" s="134" t="s">
        <v>196</v>
      </c>
      <c r="I691" s="134" t="s">
        <v>196</v>
      </c>
      <c r="J691" s="134" t="s">
        <v>196</v>
      </c>
      <c r="K691" s="134" t="s">
        <v>196</v>
      </c>
      <c r="L691" s="134" t="s">
        <v>196</v>
      </c>
      <c r="M691" s="135" t="s">
        <v>196</v>
      </c>
      <c r="N691" s="128">
        <v>0</v>
      </c>
      <c r="O691" s="128">
        <v>0</v>
      </c>
    </row>
    <row r="692" spans="3:15" s="245" customFormat="1" ht="15" customHeight="1">
      <c r="C692" s="378"/>
      <c r="D692" s="122"/>
      <c r="E692" s="407" t="s">
        <v>461</v>
      </c>
      <c r="F692" s="129"/>
      <c r="G692" s="130"/>
      <c r="H692" s="130"/>
      <c r="I692" s="130"/>
      <c r="J692" s="130"/>
      <c r="K692" s="198"/>
      <c r="L692" s="130"/>
      <c r="M692" s="131"/>
      <c r="N692" s="408"/>
      <c r="O692" s="136"/>
    </row>
    <row r="693" spans="3:15" s="245" customFormat="1" ht="15" customHeight="1">
      <c r="C693" s="378"/>
      <c r="D693" s="127">
        <v>43</v>
      </c>
      <c r="E693" s="409">
        <v>42460</v>
      </c>
      <c r="F693" s="137">
        <v>0</v>
      </c>
      <c r="G693" s="134">
        <v>0</v>
      </c>
      <c r="H693" s="134">
        <v>0</v>
      </c>
      <c r="I693" s="134">
        <v>0</v>
      </c>
      <c r="J693" s="134">
        <v>0</v>
      </c>
      <c r="K693" s="134">
        <v>0</v>
      </c>
      <c r="L693" s="134">
        <v>0</v>
      </c>
      <c r="M693" s="135">
        <v>0</v>
      </c>
      <c r="N693" s="128">
        <v>0</v>
      </c>
      <c r="O693" s="128"/>
    </row>
    <row r="694" spans="3:15" s="245" customFormat="1" ht="15" customHeight="1">
      <c r="C694" s="378"/>
      <c r="D694" s="127">
        <v>44</v>
      </c>
      <c r="E694" s="409">
        <v>42825</v>
      </c>
      <c r="F694" s="137" t="s">
        <v>196</v>
      </c>
      <c r="G694" s="134" t="s">
        <v>196</v>
      </c>
      <c r="H694" s="134" t="s">
        <v>196</v>
      </c>
      <c r="I694" s="134" t="s">
        <v>196</v>
      </c>
      <c r="J694" s="134" t="s">
        <v>196</v>
      </c>
      <c r="K694" s="134" t="s">
        <v>196</v>
      </c>
      <c r="L694" s="134" t="s">
        <v>196</v>
      </c>
      <c r="M694" s="135" t="s">
        <v>196</v>
      </c>
      <c r="N694" s="128">
        <v>0</v>
      </c>
      <c r="O694" s="128"/>
    </row>
    <row r="695" spans="3:15" s="245" customFormat="1" ht="15" customHeight="1">
      <c r="C695" s="378"/>
      <c r="D695" s="127">
        <v>45</v>
      </c>
      <c r="E695" s="409">
        <v>43190</v>
      </c>
      <c r="F695" s="137" t="s">
        <v>196</v>
      </c>
      <c r="G695" s="134" t="s">
        <v>196</v>
      </c>
      <c r="H695" s="134" t="s">
        <v>196</v>
      </c>
      <c r="I695" s="134" t="s">
        <v>196</v>
      </c>
      <c r="J695" s="134" t="s">
        <v>196</v>
      </c>
      <c r="K695" s="134" t="s">
        <v>196</v>
      </c>
      <c r="L695" s="134" t="s">
        <v>196</v>
      </c>
      <c r="M695" s="135" t="s">
        <v>196</v>
      </c>
      <c r="N695" s="128">
        <v>0</v>
      </c>
      <c r="O695" s="128"/>
    </row>
    <row r="696" spans="3:15" s="245" customFormat="1" ht="15" customHeight="1">
      <c r="C696" s="378"/>
      <c r="D696" s="127">
        <v>46</v>
      </c>
      <c r="E696" s="409">
        <v>43555</v>
      </c>
      <c r="F696" s="137" t="s">
        <v>196</v>
      </c>
      <c r="G696" s="134" t="s">
        <v>196</v>
      </c>
      <c r="H696" s="134" t="s">
        <v>196</v>
      </c>
      <c r="I696" s="134" t="s">
        <v>196</v>
      </c>
      <c r="J696" s="134" t="s">
        <v>196</v>
      </c>
      <c r="K696" s="134" t="s">
        <v>196</v>
      </c>
      <c r="L696" s="134" t="s">
        <v>196</v>
      </c>
      <c r="M696" s="135" t="s">
        <v>196</v>
      </c>
      <c r="N696" s="128">
        <v>0</v>
      </c>
      <c r="O696" s="128"/>
    </row>
    <row r="697" spans="3:15" s="245" customFormat="1" ht="15" customHeight="1">
      <c r="C697" s="378"/>
      <c r="D697" s="127">
        <v>47</v>
      </c>
      <c r="E697" s="409">
        <v>43921</v>
      </c>
      <c r="F697" s="137" t="s">
        <v>196</v>
      </c>
      <c r="G697" s="134" t="s">
        <v>196</v>
      </c>
      <c r="H697" s="134" t="s">
        <v>196</v>
      </c>
      <c r="I697" s="134" t="s">
        <v>196</v>
      </c>
      <c r="J697" s="134" t="s">
        <v>196</v>
      </c>
      <c r="K697" s="134" t="s">
        <v>196</v>
      </c>
      <c r="L697" s="134" t="s">
        <v>196</v>
      </c>
      <c r="M697" s="135" t="s">
        <v>196</v>
      </c>
      <c r="N697" s="128">
        <v>0</v>
      </c>
      <c r="O697" s="128"/>
    </row>
    <row r="698" spans="3:15" s="245" customFormat="1" ht="15" customHeight="1">
      <c r="C698" s="378"/>
      <c r="D698" s="127">
        <v>48</v>
      </c>
      <c r="E698" s="409">
        <v>44286</v>
      </c>
      <c r="F698" s="137" t="s">
        <v>196</v>
      </c>
      <c r="G698" s="134" t="s">
        <v>196</v>
      </c>
      <c r="H698" s="134" t="s">
        <v>196</v>
      </c>
      <c r="I698" s="134" t="s">
        <v>196</v>
      </c>
      <c r="J698" s="134" t="s">
        <v>196</v>
      </c>
      <c r="K698" s="134" t="s">
        <v>196</v>
      </c>
      <c r="L698" s="134" t="s">
        <v>196</v>
      </c>
      <c r="M698" s="135" t="s">
        <v>196</v>
      </c>
      <c r="N698" s="128">
        <v>0</v>
      </c>
      <c r="O698" s="128"/>
    </row>
    <row r="699" spans="3:15" s="245" customFormat="1" ht="15" customHeight="1">
      <c r="C699" s="378"/>
      <c r="D699" s="127">
        <v>49</v>
      </c>
      <c r="E699" s="409">
        <v>44651</v>
      </c>
      <c r="F699" s="137" t="s">
        <v>196</v>
      </c>
      <c r="G699" s="134" t="s">
        <v>196</v>
      </c>
      <c r="H699" s="134" t="s">
        <v>196</v>
      </c>
      <c r="I699" s="134" t="s">
        <v>196</v>
      </c>
      <c r="J699" s="134" t="s">
        <v>196</v>
      </c>
      <c r="K699" s="134" t="s">
        <v>196</v>
      </c>
      <c r="L699" s="134" t="s">
        <v>196</v>
      </c>
      <c r="M699" s="135" t="s">
        <v>196</v>
      </c>
      <c r="N699" s="128">
        <v>0</v>
      </c>
      <c r="O699" s="128"/>
    </row>
    <row r="700" spans="3:15" s="245" customFormat="1" ht="15" customHeight="1">
      <c r="C700" s="378"/>
      <c r="D700" s="127">
        <v>50</v>
      </c>
      <c r="E700" s="409">
        <v>45016</v>
      </c>
      <c r="F700" s="137" t="s">
        <v>196</v>
      </c>
      <c r="G700" s="134" t="s">
        <v>196</v>
      </c>
      <c r="H700" s="134" t="s">
        <v>196</v>
      </c>
      <c r="I700" s="134" t="s">
        <v>196</v>
      </c>
      <c r="J700" s="134" t="s">
        <v>196</v>
      </c>
      <c r="K700" s="134" t="s">
        <v>196</v>
      </c>
      <c r="L700" s="134" t="s">
        <v>196</v>
      </c>
      <c r="M700" s="135" t="s">
        <v>196</v>
      </c>
      <c r="N700" s="128">
        <v>0</v>
      </c>
      <c r="O700" s="128"/>
    </row>
    <row r="701" spans="3:15" s="245" customFormat="1" ht="15" customHeight="1">
      <c r="C701" s="378"/>
      <c r="D701" s="122"/>
      <c r="E701" s="407" t="s">
        <v>468</v>
      </c>
      <c r="F701" s="129"/>
      <c r="G701" s="130"/>
      <c r="H701" s="130"/>
      <c r="I701" s="130"/>
      <c r="J701" s="130"/>
      <c r="K701" s="198"/>
      <c r="L701" s="130"/>
      <c r="M701" s="131"/>
      <c r="N701" s="408"/>
      <c r="O701" s="136"/>
    </row>
    <row r="702" spans="3:15" s="245" customFormat="1" ht="15" customHeight="1">
      <c r="C702" s="378"/>
      <c r="D702" s="127">
        <v>51</v>
      </c>
      <c r="E702" s="406" t="s">
        <v>445</v>
      </c>
      <c r="F702" s="133">
        <v>1472.5896608471198</v>
      </c>
      <c r="G702" s="134">
        <v>1504.798737601021</v>
      </c>
      <c r="H702" s="134">
        <v>1536.0685237236703</v>
      </c>
      <c r="I702" s="134">
        <v>1555.6473142205748</v>
      </c>
      <c r="J702" s="134">
        <v>1569.4125882338765</v>
      </c>
      <c r="K702" s="134">
        <v>1580.3984083555847</v>
      </c>
      <c r="L702" s="134">
        <v>1588.4222327327793</v>
      </c>
      <c r="M702" s="135">
        <v>1594.7768610752496</v>
      </c>
      <c r="N702" s="128">
        <v>12402.114326789877</v>
      </c>
      <c r="O702" s="128">
        <v>1550.2642908487346</v>
      </c>
    </row>
    <row r="703" spans="3:15" s="245" customFormat="1" ht="15" customHeight="1">
      <c r="C703" s="378"/>
      <c r="D703" s="127">
        <v>52</v>
      </c>
      <c r="E703" s="406" t="s">
        <v>446</v>
      </c>
      <c r="F703" s="222">
        <v>0.65</v>
      </c>
      <c r="G703" s="223">
        <v>0.65</v>
      </c>
      <c r="H703" s="223">
        <v>0.65</v>
      </c>
      <c r="I703" s="223">
        <v>0.65</v>
      </c>
      <c r="J703" s="223">
        <v>0.65</v>
      </c>
      <c r="K703" s="223">
        <v>0.65</v>
      </c>
      <c r="L703" s="223">
        <v>0.65</v>
      </c>
      <c r="M703" s="224">
        <v>0.65</v>
      </c>
      <c r="N703" s="225">
        <v>0.64999999999999991</v>
      </c>
      <c r="O703" s="225">
        <v>0.65</v>
      </c>
    </row>
    <row r="704" spans="3:15" s="245" customFormat="1" ht="15" customHeight="1">
      <c r="C704" s="379"/>
      <c r="D704" s="127">
        <v>53</v>
      </c>
      <c r="E704" s="406" t="s">
        <v>431</v>
      </c>
      <c r="F704" s="133">
        <v>515.40638129649187</v>
      </c>
      <c r="G704" s="134">
        <v>526.67955816035737</v>
      </c>
      <c r="H704" s="134">
        <v>537.6239833032846</v>
      </c>
      <c r="I704" s="134">
        <v>544.47655997720119</v>
      </c>
      <c r="J704" s="134">
        <v>549.29440588185673</v>
      </c>
      <c r="K704" s="134">
        <v>553.13944292445456</v>
      </c>
      <c r="L704" s="134">
        <v>555.94778145647274</v>
      </c>
      <c r="M704" s="135">
        <v>558.17190137633736</v>
      </c>
      <c r="N704" s="128">
        <v>4340.7400143764571</v>
      </c>
      <c r="O704" s="128">
        <v>542.59250179705714</v>
      </c>
    </row>
    <row r="705" spans="3:15" s="245" customFormat="1" ht="15" customHeight="1">
      <c r="C705" s="379"/>
      <c r="D705" s="127">
        <v>54</v>
      </c>
      <c r="E705" s="406" t="s">
        <v>447</v>
      </c>
      <c r="F705" s="137">
        <v>24.408173628541011</v>
      </c>
      <c r="G705" s="134">
        <v>24.942039075736922</v>
      </c>
      <c r="H705" s="134">
        <v>25.460335780719834</v>
      </c>
      <c r="I705" s="134">
        <v>25.784854233206026</v>
      </c>
      <c r="J705" s="134">
        <v>26.0130136499765</v>
      </c>
      <c r="K705" s="134">
        <v>26.195103618493814</v>
      </c>
      <c r="L705" s="134">
        <v>26.328098507545818</v>
      </c>
      <c r="M705" s="135">
        <v>26.433426472322264</v>
      </c>
      <c r="N705" s="128">
        <v>205.56504496654219</v>
      </c>
      <c r="O705" s="128">
        <v>25.695630620817774</v>
      </c>
    </row>
    <row r="706" spans="3:15" s="245" customFormat="1" ht="15" customHeight="1" thickBot="1">
      <c r="C706" s="379"/>
      <c r="D706" s="138">
        <v>55</v>
      </c>
      <c r="E706" s="410" t="s">
        <v>677</v>
      </c>
      <c r="F706" s="254">
        <v>515.40638129649187</v>
      </c>
      <c r="G706" s="139">
        <v>526.67955816035737</v>
      </c>
      <c r="H706" s="139">
        <v>537.6239833032846</v>
      </c>
      <c r="I706" s="139">
        <v>544.47655997720119</v>
      </c>
      <c r="J706" s="139">
        <v>549.29440588185673</v>
      </c>
      <c r="K706" s="139">
        <v>553.13944292445456</v>
      </c>
      <c r="L706" s="139">
        <v>555.94778145647274</v>
      </c>
      <c r="M706" s="226">
        <v>558.17190137633736</v>
      </c>
      <c r="N706" s="253"/>
      <c r="O706" s="253">
        <v>542.59250179705714</v>
      </c>
    </row>
    <row r="707" spans="3:15" s="245" customFormat="1" ht="15" customHeight="1">
      <c r="C707" s="379"/>
      <c r="D707" s="244"/>
      <c r="E707" s="402"/>
      <c r="F707" s="155"/>
      <c r="G707" s="155"/>
      <c r="H707" s="155"/>
      <c r="I707" s="155"/>
      <c r="J707" s="155"/>
      <c r="K707" s="155"/>
      <c r="L707" s="155"/>
      <c r="M707" s="155"/>
      <c r="N707" s="155"/>
      <c r="O707" s="155"/>
    </row>
    <row r="708" spans="3:15" s="245" customFormat="1" ht="15" customHeight="1">
      <c r="C708" s="378"/>
      <c r="D708" s="244"/>
      <c r="E708" s="190"/>
      <c r="F708" s="155"/>
      <c r="G708" s="155"/>
      <c r="H708" s="155"/>
      <c r="I708" s="155"/>
      <c r="J708" s="155"/>
      <c r="K708" s="155"/>
      <c r="L708" s="155"/>
      <c r="M708" s="383"/>
      <c r="N708" s="155"/>
      <c r="O708" s="155"/>
    </row>
    <row r="709" spans="3:15" s="245" customFormat="1" ht="15" customHeight="1">
      <c r="C709" s="378"/>
      <c r="D709" s="244"/>
      <c r="E709" s="190"/>
      <c r="F709" s="155"/>
      <c r="G709" s="155"/>
      <c r="H709" s="155"/>
      <c r="I709" s="155"/>
      <c r="J709" s="155"/>
      <c r="K709" s="155"/>
      <c r="L709" s="155"/>
      <c r="M709" s="383"/>
      <c r="N709" s="155"/>
      <c r="O709" s="155"/>
    </row>
    <row r="710" spans="3:15" s="245" customFormat="1" ht="15" customHeight="1">
      <c r="C710" s="378"/>
      <c r="D710" s="244"/>
      <c r="E710" s="190"/>
      <c r="F710" s="155"/>
      <c r="G710" s="155"/>
      <c r="H710" s="155"/>
      <c r="I710" s="155"/>
      <c r="J710" s="155"/>
      <c r="K710" s="155"/>
      <c r="L710" s="155"/>
      <c r="M710" s="383"/>
      <c r="N710" s="155"/>
      <c r="O710" s="155"/>
    </row>
    <row r="711" spans="3:15" s="245" customFormat="1" ht="15" customHeight="1">
      <c r="C711" s="378"/>
      <c r="D711" s="244"/>
      <c r="E711" s="190"/>
      <c r="F711" s="378"/>
      <c r="G711" s="378"/>
      <c r="H711" s="378"/>
      <c r="I711" s="378"/>
      <c r="J711" s="378"/>
      <c r="K711" s="378"/>
      <c r="L711" s="378"/>
      <c r="M711" s="378"/>
      <c r="N711" s="378"/>
      <c r="O711" s="378"/>
    </row>
    <row r="712" spans="3:15" s="245" customFormat="1" ht="15" customHeight="1">
      <c r="C712" s="380" t="s">
        <v>813</v>
      </c>
      <c r="D712" s="380"/>
      <c r="E712" s="380"/>
      <c r="F712" s="380"/>
      <c r="G712" s="380"/>
      <c r="H712" s="380"/>
      <c r="I712" s="380"/>
      <c r="J712" s="380"/>
      <c r="K712" s="380"/>
      <c r="L712" s="380"/>
      <c r="M712" s="380"/>
      <c r="N712" s="380"/>
      <c r="O712" s="380"/>
    </row>
    <row r="713" spans="3:15" s="245" customFormat="1" ht="15" customHeight="1">
      <c r="C713" s="379"/>
      <c r="D713" s="379"/>
      <c r="E713" s="379"/>
      <c r="F713" s="379"/>
      <c r="G713" s="379"/>
      <c r="H713" s="379"/>
      <c r="I713" s="379"/>
      <c r="J713" s="379"/>
      <c r="K713" s="379"/>
      <c r="L713" s="379"/>
      <c r="M713" s="379"/>
      <c r="N713" s="379"/>
      <c r="O713" s="379"/>
    </row>
    <row r="714" spans="3:15" s="245" customFormat="1" ht="15" customHeight="1">
      <c r="C714" s="379"/>
      <c r="D714" s="376"/>
      <c r="E714" s="376"/>
      <c r="F714" s="377"/>
      <c r="G714" s="377"/>
      <c r="H714" s="377"/>
      <c r="I714" s="377"/>
      <c r="J714" s="377"/>
      <c r="K714" s="377"/>
      <c r="L714" s="377"/>
      <c r="M714" s="377"/>
      <c r="N714" s="376"/>
      <c r="O714" s="376"/>
    </row>
    <row r="715" spans="3:15" s="245" customFormat="1" ht="15" customHeight="1">
      <c r="C715" s="379"/>
      <c r="D715" s="376"/>
      <c r="E715" s="381" t="s">
        <v>56</v>
      </c>
      <c r="F715" s="381" t="s">
        <v>234</v>
      </c>
      <c r="G715" s="377"/>
      <c r="H715" s="381" t="s">
        <v>37</v>
      </c>
      <c r="I715" s="377"/>
      <c r="J715" s="377"/>
      <c r="K715" s="377"/>
      <c r="L715" s="377"/>
      <c r="M715" s="377"/>
      <c r="N715" s="376"/>
      <c r="O715" s="376"/>
    </row>
    <row r="716" spans="3:15" s="245" customFormat="1" ht="15" customHeight="1">
      <c r="C716" s="379"/>
      <c r="D716" s="118"/>
      <c r="E716" s="118" t="s">
        <v>516</v>
      </c>
      <c r="F716" s="345">
        <v>42460</v>
      </c>
      <c r="G716" s="119"/>
      <c r="H716" s="118" t="s">
        <v>851</v>
      </c>
      <c r="I716" s="119"/>
      <c r="J716" s="119"/>
      <c r="K716" s="119"/>
      <c r="L716" s="119"/>
      <c r="M716" s="119"/>
      <c r="N716" s="118"/>
      <c r="O716" s="118"/>
    </row>
    <row r="717" spans="3:15" s="245" customFormat="1" ht="15" customHeight="1" thickBot="1">
      <c r="C717" s="379"/>
      <c r="D717" s="379"/>
      <c r="E717" s="379"/>
      <c r="F717" s="430"/>
      <c r="G717" s="430"/>
      <c r="H717" s="430"/>
      <c r="I717" s="430"/>
      <c r="J717" s="430"/>
      <c r="K717" s="430"/>
      <c r="L717" s="430"/>
      <c r="M717" s="430"/>
      <c r="N717" s="379"/>
      <c r="O717" s="379"/>
    </row>
    <row r="718" spans="3:15" s="245" customFormat="1" ht="15" customHeight="1">
      <c r="C718" s="379"/>
      <c r="D718" s="120"/>
      <c r="E718" s="189" t="s">
        <v>231</v>
      </c>
      <c r="F718" s="181">
        <v>42460</v>
      </c>
      <c r="G718" s="182">
        <v>42825</v>
      </c>
      <c r="H718" s="182">
        <v>43190</v>
      </c>
      <c r="I718" s="182">
        <v>43555</v>
      </c>
      <c r="J718" s="182">
        <v>43921</v>
      </c>
      <c r="K718" s="182">
        <v>44286</v>
      </c>
      <c r="L718" s="182">
        <v>44651</v>
      </c>
      <c r="M718" s="183">
        <v>45016</v>
      </c>
      <c r="N718" s="243" t="s">
        <v>83</v>
      </c>
      <c r="O718" s="184" t="s">
        <v>84</v>
      </c>
    </row>
    <row r="719" spans="3:15" s="245" customFormat="1" ht="15" customHeight="1">
      <c r="C719" s="379"/>
      <c r="D719" s="121"/>
      <c r="E719" s="406" t="s">
        <v>235</v>
      </c>
      <c r="F719" s="185" t="s">
        <v>728</v>
      </c>
      <c r="G719" s="186" t="s">
        <v>728</v>
      </c>
      <c r="H719" s="186" t="s">
        <v>728</v>
      </c>
      <c r="I719" s="186" t="s">
        <v>728</v>
      </c>
      <c r="J719" s="186" t="s">
        <v>728</v>
      </c>
      <c r="K719" s="186" t="s">
        <v>728</v>
      </c>
      <c r="L719" s="186" t="s">
        <v>728</v>
      </c>
      <c r="M719" s="187" t="s">
        <v>728</v>
      </c>
      <c r="N719" s="188" t="s">
        <v>728</v>
      </c>
      <c r="O719" s="188" t="s">
        <v>728</v>
      </c>
    </row>
    <row r="720" spans="3:15" s="245" customFormat="1" ht="15" customHeight="1">
      <c r="C720" s="379"/>
      <c r="D720" s="122"/>
      <c r="E720" s="407" t="s">
        <v>67</v>
      </c>
      <c r="F720" s="123"/>
      <c r="G720" s="124"/>
      <c r="H720" s="124"/>
      <c r="I720" s="124"/>
      <c r="J720" s="124"/>
      <c r="K720" s="124"/>
      <c r="L720" s="124"/>
      <c r="M720" s="125"/>
      <c r="N720" s="126"/>
      <c r="O720" s="126"/>
    </row>
    <row r="721" spans="3:15" s="245" customFormat="1" ht="15" customHeight="1">
      <c r="C721" s="379"/>
      <c r="D721" s="127">
        <v>1</v>
      </c>
      <c r="E721" s="406" t="s">
        <v>209</v>
      </c>
      <c r="F721" s="133">
        <v>225.97094290636679</v>
      </c>
      <c r="G721" s="134">
        <v>232.81603801379131</v>
      </c>
      <c r="H721" s="134">
        <v>221.80031737336714</v>
      </c>
      <c r="I721" s="134">
        <v>219.48276650079259</v>
      </c>
      <c r="J721" s="134">
        <v>217.0800447191788</v>
      </c>
      <c r="K721" s="134">
        <v>207.75737582901903</v>
      </c>
      <c r="L721" s="134">
        <v>204.97678522258957</v>
      </c>
      <c r="M721" s="135">
        <v>194.77930112488781</v>
      </c>
      <c r="N721" s="128">
        <v>1724.6635716899932</v>
      </c>
      <c r="O721" s="128">
        <v>215.58294646124915</v>
      </c>
    </row>
    <row r="722" spans="3:15" s="245" customFormat="1" ht="15" customHeight="1">
      <c r="C722" s="379"/>
      <c r="D722" s="127">
        <v>2</v>
      </c>
      <c r="E722" s="406" t="s">
        <v>679</v>
      </c>
      <c r="F722" s="133">
        <v>106.33926725005492</v>
      </c>
      <c r="G722" s="134">
        <v>109.56048847707822</v>
      </c>
      <c r="H722" s="134">
        <v>104.37661994040803</v>
      </c>
      <c r="I722" s="134">
        <v>103.28600776507886</v>
      </c>
      <c r="J722" s="134">
        <v>102.15531516196646</v>
      </c>
      <c r="K722" s="134">
        <v>97.768176860714817</v>
      </c>
      <c r="L722" s="134">
        <v>96.459663634159767</v>
      </c>
      <c r="M722" s="135">
        <v>91.660847588182492</v>
      </c>
      <c r="N722" s="128">
        <v>811.60638667764363</v>
      </c>
      <c r="O722" s="128">
        <v>101.45079833470545</v>
      </c>
    </row>
    <row r="723" spans="3:15" s="245" customFormat="1" ht="15" customHeight="1">
      <c r="C723" s="379"/>
      <c r="D723" s="127">
        <v>3</v>
      </c>
      <c r="E723" s="406" t="s">
        <v>210</v>
      </c>
      <c r="F723" s="133">
        <v>332.3102101564217</v>
      </c>
      <c r="G723" s="134">
        <v>342.37652649086954</v>
      </c>
      <c r="H723" s="134">
        <v>326.17693731377517</v>
      </c>
      <c r="I723" s="134">
        <v>322.76877426587146</v>
      </c>
      <c r="J723" s="134">
        <v>319.23535988114526</v>
      </c>
      <c r="K723" s="134">
        <v>305.52555268973384</v>
      </c>
      <c r="L723" s="134">
        <v>301.43644885674934</v>
      </c>
      <c r="M723" s="135">
        <v>286.4401487130703</v>
      </c>
      <c r="N723" s="128">
        <v>2536.2699583676367</v>
      </c>
      <c r="O723" s="128">
        <v>317.03374479595459</v>
      </c>
    </row>
    <row r="724" spans="3:15" s="245" customFormat="1" ht="15" customHeight="1">
      <c r="C724" s="379"/>
      <c r="D724" s="122"/>
      <c r="E724" s="407" t="s">
        <v>15</v>
      </c>
      <c r="F724" s="123"/>
      <c r="G724" s="124"/>
      <c r="H724" s="124"/>
      <c r="I724" s="124"/>
      <c r="J724" s="124"/>
      <c r="K724" s="124"/>
      <c r="L724" s="124"/>
      <c r="M724" s="125"/>
      <c r="N724" s="126"/>
      <c r="O724" s="126"/>
    </row>
    <row r="725" spans="3:15" s="245" customFormat="1" ht="15" customHeight="1">
      <c r="C725" s="379"/>
      <c r="D725" s="127">
        <v>4</v>
      </c>
      <c r="E725" s="406" t="s">
        <v>448</v>
      </c>
      <c r="F725" s="133">
        <v>2306.4750539105339</v>
      </c>
      <c r="G725" s="134">
        <v>2324.1367580307292</v>
      </c>
      <c r="H725" s="134">
        <v>2345.2734231665327</v>
      </c>
      <c r="I725" s="134">
        <v>2353.2657202354121</v>
      </c>
      <c r="J725" s="134">
        <v>2360.1717714672318</v>
      </c>
      <c r="K725" s="134">
        <v>2370.8159564284078</v>
      </c>
      <c r="L725" s="134">
        <v>2387.0745923596237</v>
      </c>
      <c r="M725" s="135">
        <v>2402.417864868813</v>
      </c>
      <c r="N725" s="128"/>
      <c r="O725" s="128">
        <v>2356.2038925584106</v>
      </c>
    </row>
    <row r="726" spans="3:15" s="245" customFormat="1" ht="15" customHeight="1">
      <c r="C726" s="379"/>
      <c r="D726" s="127">
        <v>5</v>
      </c>
      <c r="E726" s="406" t="s">
        <v>119</v>
      </c>
      <c r="F726" s="133">
        <v>0</v>
      </c>
      <c r="G726" s="134">
        <v>0</v>
      </c>
      <c r="H726" s="134">
        <v>0</v>
      </c>
      <c r="I726" s="134">
        <v>0</v>
      </c>
      <c r="J726" s="134">
        <v>0</v>
      </c>
      <c r="K726" s="134">
        <v>0</v>
      </c>
      <c r="L726" s="134">
        <v>0</v>
      </c>
      <c r="M726" s="135">
        <v>0</v>
      </c>
      <c r="N726" s="128">
        <v>0</v>
      </c>
      <c r="O726" s="128">
        <v>0</v>
      </c>
    </row>
    <row r="727" spans="3:15" s="245" customFormat="1" ht="15" customHeight="1">
      <c r="C727" s="379"/>
      <c r="D727" s="127">
        <v>6</v>
      </c>
      <c r="E727" s="406" t="s">
        <v>449</v>
      </c>
      <c r="F727" s="133">
        <v>2306.4750539105339</v>
      </c>
      <c r="G727" s="134">
        <v>2324.1367580307292</v>
      </c>
      <c r="H727" s="134">
        <v>2345.2734231665327</v>
      </c>
      <c r="I727" s="134">
        <v>2353.2657202354121</v>
      </c>
      <c r="J727" s="134">
        <v>2360.1717714672318</v>
      </c>
      <c r="K727" s="134">
        <v>2370.8159564284078</v>
      </c>
      <c r="L727" s="134">
        <v>2387.0745923596237</v>
      </c>
      <c r="M727" s="135">
        <v>2402.417864868813</v>
      </c>
      <c r="N727" s="128"/>
      <c r="O727" s="128">
        <v>2356.2038925584106</v>
      </c>
    </row>
    <row r="728" spans="3:15" s="245" customFormat="1" ht="15" customHeight="1">
      <c r="C728" s="379"/>
      <c r="D728" s="127">
        <v>7</v>
      </c>
      <c r="E728" s="406" t="s">
        <v>211</v>
      </c>
      <c r="F728" s="133">
        <v>225.97094290636679</v>
      </c>
      <c r="G728" s="134">
        <v>232.81603801379131</v>
      </c>
      <c r="H728" s="134">
        <v>221.80031737336714</v>
      </c>
      <c r="I728" s="134">
        <v>219.48276650079259</v>
      </c>
      <c r="J728" s="134">
        <v>217.0800447191788</v>
      </c>
      <c r="K728" s="134">
        <v>207.75737582901903</v>
      </c>
      <c r="L728" s="134">
        <v>204.97678522258957</v>
      </c>
      <c r="M728" s="135">
        <v>194.77930112488781</v>
      </c>
      <c r="N728" s="128">
        <v>1724.6635716899932</v>
      </c>
      <c r="O728" s="128">
        <v>215.58294646124915</v>
      </c>
    </row>
    <row r="729" spans="3:15" s="245" customFormat="1" ht="15" customHeight="1">
      <c r="C729" s="379"/>
      <c r="D729" s="127">
        <v>8</v>
      </c>
      <c r="E729" s="406" t="s">
        <v>0</v>
      </c>
      <c r="F729" s="133">
        <v>-208.30923878617139</v>
      </c>
      <c r="G729" s="134">
        <v>-211.67937287798782</v>
      </c>
      <c r="H729" s="134">
        <v>-213.80802030448794</v>
      </c>
      <c r="I729" s="134">
        <v>-212.57671526897278</v>
      </c>
      <c r="J729" s="134">
        <v>-206.43585975800272</v>
      </c>
      <c r="K729" s="134">
        <v>-191.49873989780338</v>
      </c>
      <c r="L729" s="134">
        <v>-189.63351271340039</v>
      </c>
      <c r="M729" s="135">
        <v>-187.92876396817678</v>
      </c>
      <c r="N729" s="128">
        <v>-1621.8702235750034</v>
      </c>
      <c r="O729" s="128">
        <v>-202.73377794687542</v>
      </c>
    </row>
    <row r="730" spans="3:15" s="245" customFormat="1" ht="15" customHeight="1">
      <c r="C730" s="379"/>
      <c r="D730" s="127">
        <v>9</v>
      </c>
      <c r="E730" s="406" t="s">
        <v>16</v>
      </c>
      <c r="F730" s="133">
        <v>2324.1367580307292</v>
      </c>
      <c r="G730" s="134">
        <v>2345.2734231665327</v>
      </c>
      <c r="H730" s="134">
        <v>2353.2657202354121</v>
      </c>
      <c r="I730" s="134">
        <v>2360.1717714672318</v>
      </c>
      <c r="J730" s="134">
        <v>2370.8159564284078</v>
      </c>
      <c r="K730" s="134">
        <v>2387.0745923596237</v>
      </c>
      <c r="L730" s="134">
        <v>2402.417864868813</v>
      </c>
      <c r="M730" s="135">
        <v>2409.2684020255238</v>
      </c>
      <c r="N730" s="128"/>
      <c r="O730" s="128">
        <v>2369.0530610727837</v>
      </c>
    </row>
    <row r="731" spans="3:15" s="245" customFormat="1" ht="15" customHeight="1">
      <c r="C731" s="379"/>
      <c r="D731" s="122"/>
      <c r="E731" s="407" t="s">
        <v>296</v>
      </c>
      <c r="F731" s="129"/>
      <c r="G731" s="130"/>
      <c r="H731" s="130"/>
      <c r="I731" s="130"/>
      <c r="J731" s="130"/>
      <c r="K731" s="130"/>
      <c r="L731" s="130"/>
      <c r="M731" s="131"/>
      <c r="N731" s="132"/>
      <c r="O731" s="132"/>
    </row>
    <row r="732" spans="3:15" s="245" customFormat="1" ht="15" customHeight="1">
      <c r="C732" s="379"/>
      <c r="D732" s="127">
        <v>10</v>
      </c>
      <c r="E732" s="406" t="s">
        <v>97</v>
      </c>
      <c r="F732" s="133">
        <v>106.33926725005492</v>
      </c>
      <c r="G732" s="134">
        <v>109.56048847707822</v>
      </c>
      <c r="H732" s="134">
        <v>104.37661994040803</v>
      </c>
      <c r="I732" s="134">
        <v>103.28600776507886</v>
      </c>
      <c r="J732" s="134">
        <v>102.15531516196646</v>
      </c>
      <c r="K732" s="134">
        <v>97.768176860714817</v>
      </c>
      <c r="L732" s="134">
        <v>96.459663634159767</v>
      </c>
      <c r="M732" s="135">
        <v>91.660847588182492</v>
      </c>
      <c r="N732" s="128">
        <v>811.60638667764363</v>
      </c>
      <c r="O732" s="128">
        <v>101.45079833470545</v>
      </c>
    </row>
    <row r="733" spans="3:15" s="245" customFormat="1" ht="15" customHeight="1">
      <c r="C733" s="379"/>
      <c r="D733" s="127">
        <v>11</v>
      </c>
      <c r="E733" s="406" t="s">
        <v>600</v>
      </c>
      <c r="F733" s="133">
        <v>71.708553304266914</v>
      </c>
      <c r="G733" s="134">
        <v>74.428119172530387</v>
      </c>
      <c r="H733" s="134">
        <v>75.775544322230985</v>
      </c>
      <c r="I733" s="134">
        <v>78.383583244386671</v>
      </c>
      <c r="J733" s="134">
        <v>81.20996048989565</v>
      </c>
      <c r="K733" s="134">
        <v>87.284810789296841</v>
      </c>
      <c r="L733" s="134">
        <v>84.379697405183919</v>
      </c>
      <c r="M733" s="135">
        <v>85.889697405183924</v>
      </c>
      <c r="N733" s="128">
        <v>639.05996613297532</v>
      </c>
      <c r="O733" s="128">
        <v>79.882495766621915</v>
      </c>
    </row>
    <row r="734" spans="3:15" s="245" customFormat="1" ht="15" customHeight="1">
      <c r="C734" s="379"/>
      <c r="D734" s="127">
        <v>12</v>
      </c>
      <c r="E734" s="406" t="s">
        <v>65</v>
      </c>
      <c r="F734" s="133">
        <v>208.30923878617139</v>
      </c>
      <c r="G734" s="134">
        <v>211.67937287798782</v>
      </c>
      <c r="H734" s="134">
        <v>213.80802030448794</v>
      </c>
      <c r="I734" s="134">
        <v>212.57671526897278</v>
      </c>
      <c r="J734" s="134">
        <v>206.43585975800272</v>
      </c>
      <c r="K734" s="134">
        <v>191.49873989780338</v>
      </c>
      <c r="L734" s="134">
        <v>189.63351271340039</v>
      </c>
      <c r="M734" s="135">
        <v>187.92876396817678</v>
      </c>
      <c r="N734" s="128">
        <v>1621.8702235750034</v>
      </c>
      <c r="O734" s="128">
        <v>202.73377794687542</v>
      </c>
    </row>
    <row r="735" spans="3:15" s="245" customFormat="1" ht="15" customHeight="1">
      <c r="C735" s="379"/>
      <c r="D735" s="127">
        <v>13</v>
      </c>
      <c r="E735" s="406" t="s">
        <v>18</v>
      </c>
      <c r="F735" s="133">
        <v>85.416334373108</v>
      </c>
      <c r="G735" s="134">
        <v>86.130877872443435</v>
      </c>
      <c r="H735" s="134">
        <v>86.672700489036615</v>
      </c>
      <c r="I735" s="134">
        <v>86.947904501652374</v>
      </c>
      <c r="J735" s="134">
        <v>87.270387524509147</v>
      </c>
      <c r="K735" s="134">
        <v>87.764762299126531</v>
      </c>
      <c r="L735" s="134">
        <v>88.348043971636173</v>
      </c>
      <c r="M735" s="135">
        <v>88.760349235051365</v>
      </c>
      <c r="N735" s="128">
        <v>697.3113602665635</v>
      </c>
      <c r="O735" s="128">
        <v>87.163920033320437</v>
      </c>
    </row>
    <row r="736" spans="3:15" s="245" customFormat="1" ht="15" customHeight="1">
      <c r="C736" s="379"/>
      <c r="D736" s="127">
        <v>14</v>
      </c>
      <c r="E736" s="406" t="s">
        <v>102</v>
      </c>
      <c r="F736" s="133">
        <v>0</v>
      </c>
      <c r="G736" s="134">
        <v>0</v>
      </c>
      <c r="H736" s="134">
        <v>0</v>
      </c>
      <c r="I736" s="134">
        <v>0</v>
      </c>
      <c r="J736" s="134">
        <v>0</v>
      </c>
      <c r="K736" s="134">
        <v>0</v>
      </c>
      <c r="L736" s="134">
        <v>0</v>
      </c>
      <c r="M736" s="135">
        <v>0</v>
      </c>
      <c r="N736" s="128">
        <v>0</v>
      </c>
      <c r="O736" s="128">
        <v>0</v>
      </c>
    </row>
    <row r="737" spans="3:15" s="245" customFormat="1" ht="15" customHeight="1">
      <c r="C737" s="379"/>
      <c r="D737" s="127">
        <v>15</v>
      </c>
      <c r="E737" s="406" t="s">
        <v>22</v>
      </c>
      <c r="F737" s="133">
        <v>-3.2612134183503572</v>
      </c>
      <c r="G737" s="134">
        <v>-3.3462554451402173</v>
      </c>
      <c r="H737" s="134">
        <v>-3.1732919768141143</v>
      </c>
      <c r="I737" s="134">
        <v>-3.1232404745251841</v>
      </c>
      <c r="J737" s="134">
        <v>-3.0767551306224106</v>
      </c>
      <c r="K737" s="134">
        <v>-2.9342177182087767</v>
      </c>
      <c r="L737" s="134">
        <v>-2.8825938479182072</v>
      </c>
      <c r="M737" s="135">
        <v>-2.7237011003750218</v>
      </c>
      <c r="N737" s="128">
        <v>-24.52126911195429</v>
      </c>
      <c r="O737" s="128">
        <v>-3.0651586389942862</v>
      </c>
    </row>
    <row r="738" spans="3:15" s="245" customFormat="1" ht="15" customHeight="1">
      <c r="C738" s="379"/>
      <c r="D738" s="127">
        <v>16</v>
      </c>
      <c r="E738" s="406" t="s">
        <v>215</v>
      </c>
      <c r="F738" s="133">
        <v>0.94777823792125915</v>
      </c>
      <c r="G738" s="134">
        <v>1.881540610871383</v>
      </c>
      <c r="H738" s="134">
        <v>1.0609863564092521</v>
      </c>
      <c r="I738" s="134">
        <v>4.510299511482895</v>
      </c>
      <c r="J738" s="134">
        <v>15.977568650905297</v>
      </c>
      <c r="K738" s="134">
        <v>36.289955895137489</v>
      </c>
      <c r="L738" s="134">
        <v>47.659811274386307</v>
      </c>
      <c r="M738" s="135">
        <v>58.555803386728087</v>
      </c>
      <c r="N738" s="128">
        <v>166.88374392384196</v>
      </c>
      <c r="O738" s="128">
        <v>20.860467990480245</v>
      </c>
    </row>
    <row r="739" spans="3:15" s="245" customFormat="1" ht="15" customHeight="1">
      <c r="C739" s="379"/>
      <c r="D739" s="127">
        <v>17</v>
      </c>
      <c r="E739" s="406" t="s">
        <v>6</v>
      </c>
      <c r="F739" s="133">
        <v>27.133147942107531</v>
      </c>
      <c r="G739" s="134">
        <v>27.506768763643588</v>
      </c>
      <c r="H739" s="134">
        <v>25.795785218281388</v>
      </c>
      <c r="I739" s="134">
        <v>25.244472739463173</v>
      </c>
      <c r="J739" s="134">
        <v>25.892105326351555</v>
      </c>
      <c r="K739" s="134">
        <v>26.400543350986908</v>
      </c>
      <c r="L739" s="134">
        <v>28.853747621320974</v>
      </c>
      <c r="M739" s="135">
        <v>30.713332733317579</v>
      </c>
      <c r="N739" s="128">
        <v>217.53990369547267</v>
      </c>
      <c r="O739" s="128">
        <v>27.192487961934084</v>
      </c>
    </row>
    <row r="740" spans="3:15" s="245" customFormat="1" ht="39" customHeight="1">
      <c r="C740" s="379"/>
      <c r="D740" s="122"/>
      <c r="E740" s="407" t="s">
        <v>164</v>
      </c>
      <c r="F740" s="129"/>
      <c r="G740" s="130"/>
      <c r="H740" s="130"/>
      <c r="I740" s="130"/>
      <c r="J740" s="130"/>
      <c r="K740" s="130"/>
      <c r="L740" s="130"/>
      <c r="M740" s="131"/>
      <c r="N740" s="132"/>
      <c r="O740" s="132"/>
    </row>
    <row r="741" spans="3:15" s="245" customFormat="1" ht="15" customHeight="1">
      <c r="C741" s="379"/>
      <c r="D741" s="127">
        <v>18</v>
      </c>
      <c r="E741" s="406" t="s">
        <v>97</v>
      </c>
      <c r="F741" s="133">
        <v>106.33926725005492</v>
      </c>
      <c r="G741" s="134">
        <v>109.56048847707822</v>
      </c>
      <c r="H741" s="134">
        <v>104.37661994040803</v>
      </c>
      <c r="I741" s="134">
        <v>103.28600776507886</v>
      </c>
      <c r="J741" s="134">
        <v>102.15531516196646</v>
      </c>
      <c r="K741" s="134">
        <v>97.768176860714817</v>
      </c>
      <c r="L741" s="134">
        <v>96.459663634159767</v>
      </c>
      <c r="M741" s="135">
        <v>91.660847588182492</v>
      </c>
      <c r="N741" s="128">
        <v>811.60638667764363</v>
      </c>
      <c r="O741" s="128">
        <v>101.45079833470545</v>
      </c>
    </row>
    <row r="742" spans="3:15" s="245" customFormat="1" ht="15" customHeight="1">
      <c r="C742" s="379"/>
      <c r="D742" s="127">
        <v>19</v>
      </c>
      <c r="E742" s="406" t="s">
        <v>600</v>
      </c>
      <c r="F742" s="133">
        <v>71.708553304266914</v>
      </c>
      <c r="G742" s="134">
        <v>74.428119172530387</v>
      </c>
      <c r="H742" s="134">
        <v>75.775544322230985</v>
      </c>
      <c r="I742" s="134">
        <v>78.383583244386671</v>
      </c>
      <c r="J742" s="134">
        <v>81.20996048989565</v>
      </c>
      <c r="K742" s="134">
        <v>87.284810789296841</v>
      </c>
      <c r="L742" s="134">
        <v>84.379697405183919</v>
      </c>
      <c r="M742" s="135">
        <v>85.889697405183924</v>
      </c>
      <c r="N742" s="128">
        <v>639.05996613297532</v>
      </c>
      <c r="O742" s="128">
        <v>79.882495766621915</v>
      </c>
    </row>
    <row r="743" spans="3:15" s="245" customFormat="1" ht="15" customHeight="1">
      <c r="C743" s="379"/>
      <c r="D743" s="127">
        <v>20</v>
      </c>
      <c r="E743" s="406" t="s">
        <v>65</v>
      </c>
      <c r="F743" s="133">
        <v>208.30923878617139</v>
      </c>
      <c r="G743" s="134">
        <v>211.67937287798782</v>
      </c>
      <c r="H743" s="134">
        <v>213.80802030448794</v>
      </c>
      <c r="I743" s="134">
        <v>212.57671526897278</v>
      </c>
      <c r="J743" s="134">
        <v>206.43585975800272</v>
      </c>
      <c r="K743" s="134">
        <v>191.49873989780338</v>
      </c>
      <c r="L743" s="134">
        <v>189.63351271340039</v>
      </c>
      <c r="M743" s="135">
        <v>187.92876396817678</v>
      </c>
      <c r="N743" s="128">
        <v>1621.8702235750034</v>
      </c>
      <c r="O743" s="128">
        <v>202.73377794687542</v>
      </c>
    </row>
    <row r="744" spans="3:15" s="245" customFormat="1" ht="15" customHeight="1">
      <c r="C744" s="379"/>
      <c r="D744" s="127">
        <v>21</v>
      </c>
      <c r="E744" s="406" t="s">
        <v>18</v>
      </c>
      <c r="F744" s="133">
        <v>85.416334373108</v>
      </c>
      <c r="G744" s="134">
        <v>86.130877872443435</v>
      </c>
      <c r="H744" s="134">
        <v>86.672700489036615</v>
      </c>
      <c r="I744" s="134">
        <v>86.947904501652374</v>
      </c>
      <c r="J744" s="134">
        <v>87.270387524509147</v>
      </c>
      <c r="K744" s="134">
        <v>87.764762299126531</v>
      </c>
      <c r="L744" s="134">
        <v>88.348043971636173</v>
      </c>
      <c r="M744" s="135">
        <v>88.760349235051365</v>
      </c>
      <c r="N744" s="128">
        <v>697.3113602665635</v>
      </c>
      <c r="O744" s="128">
        <v>87.163920033320437</v>
      </c>
    </row>
    <row r="745" spans="3:15" s="245" customFormat="1" ht="15" customHeight="1">
      <c r="C745" s="379"/>
      <c r="D745" s="127">
        <v>22</v>
      </c>
      <c r="E745" s="406" t="s">
        <v>102</v>
      </c>
      <c r="F745" s="133">
        <v>0</v>
      </c>
      <c r="G745" s="134">
        <v>0</v>
      </c>
      <c r="H745" s="134">
        <v>0</v>
      </c>
      <c r="I745" s="134">
        <v>0</v>
      </c>
      <c r="J745" s="134">
        <v>0</v>
      </c>
      <c r="K745" s="134">
        <v>0</v>
      </c>
      <c r="L745" s="134">
        <v>0</v>
      </c>
      <c r="M745" s="135">
        <v>0</v>
      </c>
      <c r="N745" s="128">
        <v>0</v>
      </c>
      <c r="O745" s="128">
        <v>0</v>
      </c>
    </row>
    <row r="746" spans="3:15" s="245" customFormat="1" ht="15" customHeight="1">
      <c r="C746" s="379"/>
      <c r="D746" s="127">
        <v>23</v>
      </c>
      <c r="E746" s="406" t="s">
        <v>22</v>
      </c>
      <c r="F746" s="133">
        <v>-3.2612134183503572</v>
      </c>
      <c r="G746" s="134">
        <v>-3.3462554451402173</v>
      </c>
      <c r="H746" s="134">
        <v>-3.1732919768141143</v>
      </c>
      <c r="I746" s="134">
        <v>-3.1232404745251841</v>
      </c>
      <c r="J746" s="134">
        <v>-3.0767551306224106</v>
      </c>
      <c r="K746" s="134">
        <v>-2.9342177182087767</v>
      </c>
      <c r="L746" s="134">
        <v>-2.8825938479182072</v>
      </c>
      <c r="M746" s="135">
        <v>-2.7237011003750218</v>
      </c>
      <c r="N746" s="128">
        <v>-24.52126911195429</v>
      </c>
      <c r="O746" s="128">
        <v>-3.0651586389942862</v>
      </c>
    </row>
    <row r="747" spans="3:15" s="245" customFormat="1" ht="15" customHeight="1">
      <c r="C747" s="379"/>
      <c r="D747" s="127">
        <v>24</v>
      </c>
      <c r="E747" s="406" t="s">
        <v>215</v>
      </c>
      <c r="F747" s="133">
        <v>0.94777823792125915</v>
      </c>
      <c r="G747" s="134">
        <v>1.881540610871383</v>
      </c>
      <c r="H747" s="134">
        <v>1.0609863564092521</v>
      </c>
      <c r="I747" s="134">
        <v>4.510299511482895</v>
      </c>
      <c r="J747" s="134">
        <v>15.977568650905297</v>
      </c>
      <c r="K747" s="134">
        <v>36.289955895137489</v>
      </c>
      <c r="L747" s="134">
        <v>47.659811274386307</v>
      </c>
      <c r="M747" s="135">
        <v>58.555803386728087</v>
      </c>
      <c r="N747" s="128">
        <v>166.88374392384196</v>
      </c>
      <c r="O747" s="128">
        <v>20.860467990480245</v>
      </c>
    </row>
    <row r="748" spans="3:15" s="245" customFormat="1" ht="15" customHeight="1">
      <c r="C748" s="379"/>
      <c r="D748" s="127">
        <v>25</v>
      </c>
      <c r="E748" s="406" t="s">
        <v>6</v>
      </c>
      <c r="F748" s="133">
        <v>27.133147942107531</v>
      </c>
      <c r="G748" s="134">
        <v>27.506768763643588</v>
      </c>
      <c r="H748" s="134">
        <v>25.795785218281388</v>
      </c>
      <c r="I748" s="134">
        <v>25.244472739463173</v>
      </c>
      <c r="J748" s="134">
        <v>25.892105326351555</v>
      </c>
      <c r="K748" s="134">
        <v>26.400543350986908</v>
      </c>
      <c r="L748" s="134">
        <v>28.853747621320974</v>
      </c>
      <c r="M748" s="135">
        <v>30.713332733317579</v>
      </c>
      <c r="N748" s="128">
        <v>217.53990369547267</v>
      </c>
      <c r="O748" s="128">
        <v>27.192487961934084</v>
      </c>
    </row>
    <row r="749" spans="3:15" s="245" customFormat="1" ht="15" customHeight="1">
      <c r="C749" s="379"/>
      <c r="D749" s="122"/>
      <c r="E749" s="407" t="s">
        <v>19</v>
      </c>
      <c r="F749" s="129"/>
      <c r="G749" s="130"/>
      <c r="H749" s="130"/>
      <c r="I749" s="130"/>
      <c r="J749" s="130"/>
      <c r="K749" s="130"/>
      <c r="L749" s="130"/>
      <c r="M749" s="131"/>
      <c r="N749" s="408"/>
      <c r="O749" s="136"/>
    </row>
    <row r="750" spans="3:15" s="245" customFormat="1" ht="15" customHeight="1">
      <c r="C750" s="379"/>
      <c r="D750" s="127">
        <v>26</v>
      </c>
      <c r="E750" s="406" t="s">
        <v>460</v>
      </c>
      <c r="F750" s="133">
        <v>496.59310647527974</v>
      </c>
      <c r="G750" s="134">
        <v>507.84091232941461</v>
      </c>
      <c r="H750" s="134">
        <v>504.31636465404006</v>
      </c>
      <c r="I750" s="134">
        <v>507.82574255651156</v>
      </c>
      <c r="J750" s="134">
        <v>515.86444178100851</v>
      </c>
      <c r="K750" s="134">
        <v>524.07277137485721</v>
      </c>
      <c r="L750" s="134">
        <v>532.45188277216937</v>
      </c>
      <c r="M750" s="135">
        <v>540.78509321626518</v>
      </c>
      <c r="N750" s="128">
        <v>4129.7503151595465</v>
      </c>
      <c r="O750" s="128">
        <v>516.21878939494331</v>
      </c>
    </row>
    <row r="751" spans="3:15" s="245" customFormat="1" ht="15" customHeight="1">
      <c r="C751" s="379"/>
      <c r="D751" s="127">
        <v>27</v>
      </c>
      <c r="E751" s="406" t="s">
        <v>58</v>
      </c>
      <c r="F751" s="133">
        <v>0</v>
      </c>
      <c r="G751" s="134">
        <v>0</v>
      </c>
      <c r="H751" s="134">
        <v>0</v>
      </c>
      <c r="I751" s="134">
        <v>0</v>
      </c>
      <c r="J751" s="134">
        <v>0</v>
      </c>
      <c r="K751" s="134">
        <v>0</v>
      </c>
      <c r="L751" s="134">
        <v>0</v>
      </c>
      <c r="M751" s="135">
        <v>0</v>
      </c>
      <c r="N751" s="128">
        <v>0</v>
      </c>
      <c r="O751" s="128">
        <v>0</v>
      </c>
    </row>
    <row r="752" spans="3:15" s="245" customFormat="1" ht="15" customHeight="1">
      <c r="C752" s="379"/>
      <c r="D752" s="127">
        <v>28</v>
      </c>
      <c r="E752" s="406" t="s">
        <v>43</v>
      </c>
      <c r="F752" s="137">
        <v>496.59310647527974</v>
      </c>
      <c r="G752" s="134">
        <v>507.84091232941461</v>
      </c>
      <c r="H752" s="134">
        <v>504.31636465404006</v>
      </c>
      <c r="I752" s="134">
        <v>507.82574255651156</v>
      </c>
      <c r="J752" s="134">
        <v>515.86444178100851</v>
      </c>
      <c r="K752" s="134">
        <v>524.07277137485721</v>
      </c>
      <c r="L752" s="134">
        <v>532.45188277216937</v>
      </c>
      <c r="M752" s="135">
        <v>540.78509321626518</v>
      </c>
      <c r="N752" s="128">
        <v>4129.7503151595465</v>
      </c>
      <c r="O752" s="128">
        <v>516.21878939494331</v>
      </c>
    </row>
    <row r="753" spans="3:15" s="245" customFormat="1" ht="15" customHeight="1">
      <c r="C753" s="379"/>
      <c r="D753" s="127">
        <v>29</v>
      </c>
      <c r="E753" s="406" t="s">
        <v>739</v>
      </c>
      <c r="F753" s="137">
        <v>9.719427333094945</v>
      </c>
      <c r="G753" s="134">
        <v>7.7500985471846304</v>
      </c>
      <c r="H753" s="134">
        <v>5.5083083010136686</v>
      </c>
      <c r="I753" s="134">
        <v>4.874998665395001</v>
      </c>
      <c r="J753" s="134">
        <v>2.9023870936389615</v>
      </c>
      <c r="K753" s="134">
        <v>1.9413353077710089</v>
      </c>
      <c r="L753" s="134">
        <v>1.9735672364000241</v>
      </c>
      <c r="M753" s="135">
        <v>2.2606856491762399</v>
      </c>
      <c r="N753" s="128">
        <v>36.930808133674475</v>
      </c>
      <c r="O753" s="128">
        <v>4.6163510167093094</v>
      </c>
    </row>
    <row r="754" spans="3:15" s="245" customFormat="1" ht="15" customHeight="1">
      <c r="C754" s="379"/>
      <c r="D754" s="127">
        <v>30</v>
      </c>
      <c r="E754" s="406" t="s">
        <v>770</v>
      </c>
      <c r="F754" s="431">
        <v>-15.410612256895364</v>
      </c>
      <c r="G754" s="137">
        <v>-15.410612256895362</v>
      </c>
      <c r="H754" s="137">
        <v>-3.8102122828532003</v>
      </c>
      <c r="I754" s="137">
        <v>0</v>
      </c>
      <c r="J754" s="137">
        <v>0</v>
      </c>
      <c r="K754" s="137">
        <v>0</v>
      </c>
      <c r="L754" s="137">
        <v>0</v>
      </c>
      <c r="M754" s="137">
        <v>0</v>
      </c>
      <c r="N754" s="128">
        <v>-34.631436796643925</v>
      </c>
      <c r="O754" s="128">
        <v>-4.3289295995804906</v>
      </c>
    </row>
    <row r="755" spans="3:15" s="245" customFormat="1" ht="15" customHeight="1">
      <c r="C755" s="379"/>
      <c r="D755" s="127">
        <v>31</v>
      </c>
      <c r="E755" s="406" t="s">
        <v>764</v>
      </c>
      <c r="F755" s="137">
        <v>0.1</v>
      </c>
      <c r="G755" s="134">
        <v>0.1</v>
      </c>
      <c r="H755" s="134">
        <v>0.1</v>
      </c>
      <c r="I755" s="134">
        <v>0.1</v>
      </c>
      <c r="J755" s="134">
        <v>0.1</v>
      </c>
      <c r="K755" s="134">
        <v>0.1</v>
      </c>
      <c r="L755" s="134">
        <v>0.1</v>
      </c>
      <c r="M755" s="135">
        <v>0.1</v>
      </c>
      <c r="N755" s="128">
        <v>0.79999999999999993</v>
      </c>
      <c r="O755" s="128">
        <v>9.9999999999999992E-2</v>
      </c>
    </row>
    <row r="756" spans="3:15" s="245" customFormat="1" ht="15" customHeight="1">
      <c r="C756" s="379"/>
      <c r="D756" s="127">
        <v>32</v>
      </c>
      <c r="E756" s="406" t="s">
        <v>9</v>
      </c>
      <c r="F756" s="137">
        <v>491.00192155147931</v>
      </c>
      <c r="G756" s="134">
        <v>500.28039861970393</v>
      </c>
      <c r="H756" s="134">
        <v>506.11446067220049</v>
      </c>
      <c r="I756" s="134">
        <v>512.80074122190661</v>
      </c>
      <c r="J756" s="134">
        <v>518.86682887464747</v>
      </c>
      <c r="K756" s="134">
        <v>526.11410668262829</v>
      </c>
      <c r="L756" s="134">
        <v>534.52545000856946</v>
      </c>
      <c r="M756" s="367">
        <v>543.14577886544146</v>
      </c>
      <c r="N756" s="128">
        <v>4132.8496864965773</v>
      </c>
      <c r="O756" s="128">
        <v>516.60621081207216</v>
      </c>
    </row>
    <row r="757" spans="3:15" s="245" customFormat="1" ht="15" customHeight="1">
      <c r="C757" s="379"/>
      <c r="D757" s="122"/>
      <c r="E757" s="407" t="s">
        <v>173</v>
      </c>
      <c r="F757" s="129"/>
      <c r="G757" s="130"/>
      <c r="H757" s="130"/>
      <c r="I757" s="130"/>
      <c r="J757" s="130"/>
      <c r="K757" s="198"/>
      <c r="L757" s="130"/>
      <c r="M757" s="131"/>
      <c r="N757" s="408"/>
      <c r="O757" s="136"/>
    </row>
    <row r="758" spans="3:15" s="245" customFormat="1" ht="15" customHeight="1">
      <c r="C758" s="379"/>
      <c r="D758" s="127">
        <v>33</v>
      </c>
      <c r="E758" s="406" t="s">
        <v>173</v>
      </c>
      <c r="F758" s="133">
        <v>496.59310647527974</v>
      </c>
      <c r="G758" s="134">
        <v>507.84091232941461</v>
      </c>
      <c r="H758" s="134">
        <v>504.31636465404006</v>
      </c>
      <c r="I758" s="134">
        <v>507.82574255651156</v>
      </c>
      <c r="J758" s="134">
        <v>515.86444178100851</v>
      </c>
      <c r="K758" s="134">
        <v>524.07277137485721</v>
      </c>
      <c r="L758" s="134">
        <v>532.45188277216937</v>
      </c>
      <c r="M758" s="135">
        <v>540.78509321626518</v>
      </c>
      <c r="N758" s="128">
        <v>4129.7503151595465</v>
      </c>
      <c r="O758" s="128">
        <v>516.21878939494331</v>
      </c>
    </row>
    <row r="759" spans="3:15" s="245" customFormat="1" ht="15" customHeight="1">
      <c r="C759" s="379"/>
      <c r="D759" s="127">
        <v>34</v>
      </c>
      <c r="E759" s="406" t="s">
        <v>187</v>
      </c>
      <c r="F759" s="133">
        <v>0</v>
      </c>
      <c r="G759" s="134">
        <v>0</v>
      </c>
      <c r="H759" s="134">
        <v>0</v>
      </c>
      <c r="I759" s="134">
        <v>0</v>
      </c>
      <c r="J759" s="134">
        <v>0</v>
      </c>
      <c r="K759" s="134">
        <v>0</v>
      </c>
      <c r="L759" s="134">
        <v>0</v>
      </c>
      <c r="M759" s="135">
        <v>0</v>
      </c>
      <c r="N759" s="128">
        <v>0</v>
      </c>
      <c r="O759" s="128">
        <v>0</v>
      </c>
    </row>
    <row r="760" spans="3:15" s="245" customFormat="1" ht="15" customHeight="1">
      <c r="C760" s="378"/>
      <c r="D760" s="122"/>
      <c r="E760" s="407" t="s">
        <v>297</v>
      </c>
      <c r="F760" s="129"/>
      <c r="G760" s="130"/>
      <c r="H760" s="130"/>
      <c r="I760" s="130"/>
      <c r="J760" s="130"/>
      <c r="K760" s="198"/>
      <c r="L760" s="130"/>
      <c r="M760" s="131"/>
      <c r="N760" s="408"/>
      <c r="O760" s="136"/>
    </row>
    <row r="761" spans="3:15" s="245" customFormat="1" ht="15" customHeight="1">
      <c r="C761" s="378"/>
      <c r="D761" s="127">
        <v>35</v>
      </c>
      <c r="E761" s="409">
        <v>42460</v>
      </c>
      <c r="F761" s="137">
        <v>496.59310647527974</v>
      </c>
      <c r="G761" s="134">
        <v>507.84091232941461</v>
      </c>
      <c r="H761" s="134">
        <v>504.31636465404006</v>
      </c>
      <c r="I761" s="134">
        <v>507.82574255651156</v>
      </c>
      <c r="J761" s="134">
        <v>515.86444178100851</v>
      </c>
      <c r="K761" s="134">
        <v>524.07277137485721</v>
      </c>
      <c r="L761" s="134">
        <v>532.45188277216937</v>
      </c>
      <c r="M761" s="135">
        <v>540.78509321626518</v>
      </c>
      <c r="N761" s="128">
        <v>4129.7503151595465</v>
      </c>
      <c r="O761" s="128">
        <v>516.21878939494331</v>
      </c>
    </row>
    <row r="762" spans="3:15" s="245" customFormat="1" ht="15" customHeight="1">
      <c r="C762" s="378"/>
      <c r="D762" s="127">
        <v>36</v>
      </c>
      <c r="E762" s="409">
        <v>42825</v>
      </c>
      <c r="F762" s="137" t="s">
        <v>196</v>
      </c>
      <c r="G762" s="134" t="s">
        <v>196</v>
      </c>
      <c r="H762" s="134" t="s">
        <v>196</v>
      </c>
      <c r="I762" s="134" t="s">
        <v>196</v>
      </c>
      <c r="J762" s="134" t="s">
        <v>196</v>
      </c>
      <c r="K762" s="134" t="s">
        <v>196</v>
      </c>
      <c r="L762" s="134" t="s">
        <v>196</v>
      </c>
      <c r="M762" s="135" t="s">
        <v>196</v>
      </c>
      <c r="N762" s="128">
        <v>0</v>
      </c>
      <c r="O762" s="128">
        <v>0</v>
      </c>
    </row>
    <row r="763" spans="3:15" s="245" customFormat="1" ht="15" customHeight="1">
      <c r="C763" s="378"/>
      <c r="D763" s="127">
        <v>37</v>
      </c>
      <c r="E763" s="409">
        <v>43190</v>
      </c>
      <c r="F763" s="137" t="s">
        <v>196</v>
      </c>
      <c r="G763" s="134" t="s">
        <v>196</v>
      </c>
      <c r="H763" s="134" t="s">
        <v>196</v>
      </c>
      <c r="I763" s="134" t="s">
        <v>196</v>
      </c>
      <c r="J763" s="134" t="s">
        <v>196</v>
      </c>
      <c r="K763" s="134" t="s">
        <v>196</v>
      </c>
      <c r="L763" s="134" t="s">
        <v>196</v>
      </c>
      <c r="M763" s="135" t="s">
        <v>196</v>
      </c>
      <c r="N763" s="128">
        <v>0</v>
      </c>
      <c r="O763" s="128">
        <v>0</v>
      </c>
    </row>
    <row r="764" spans="3:15" s="245" customFormat="1" ht="15" customHeight="1">
      <c r="C764" s="378"/>
      <c r="D764" s="127">
        <v>38</v>
      </c>
      <c r="E764" s="409">
        <v>43555</v>
      </c>
      <c r="F764" s="137" t="s">
        <v>196</v>
      </c>
      <c r="G764" s="134" t="s">
        <v>196</v>
      </c>
      <c r="H764" s="134" t="s">
        <v>196</v>
      </c>
      <c r="I764" s="134" t="s">
        <v>196</v>
      </c>
      <c r="J764" s="134" t="s">
        <v>196</v>
      </c>
      <c r="K764" s="134" t="s">
        <v>196</v>
      </c>
      <c r="L764" s="134" t="s">
        <v>196</v>
      </c>
      <c r="M764" s="135" t="s">
        <v>196</v>
      </c>
      <c r="N764" s="128">
        <v>0</v>
      </c>
      <c r="O764" s="128">
        <v>0</v>
      </c>
    </row>
    <row r="765" spans="3:15" s="245" customFormat="1" ht="15" customHeight="1">
      <c r="C765" s="378"/>
      <c r="D765" s="127">
        <v>39</v>
      </c>
      <c r="E765" s="409">
        <v>43921</v>
      </c>
      <c r="F765" s="137" t="s">
        <v>196</v>
      </c>
      <c r="G765" s="134" t="s">
        <v>196</v>
      </c>
      <c r="H765" s="134" t="s">
        <v>196</v>
      </c>
      <c r="I765" s="134" t="s">
        <v>196</v>
      </c>
      <c r="J765" s="134" t="s">
        <v>196</v>
      </c>
      <c r="K765" s="134" t="s">
        <v>196</v>
      </c>
      <c r="L765" s="134" t="s">
        <v>196</v>
      </c>
      <c r="M765" s="135" t="s">
        <v>196</v>
      </c>
      <c r="N765" s="128">
        <v>0</v>
      </c>
      <c r="O765" s="128">
        <v>0</v>
      </c>
    </row>
    <row r="766" spans="3:15" s="245" customFormat="1" ht="15" customHeight="1">
      <c r="C766" s="378"/>
      <c r="D766" s="127">
        <v>40</v>
      </c>
      <c r="E766" s="409">
        <v>44286</v>
      </c>
      <c r="F766" s="137" t="s">
        <v>196</v>
      </c>
      <c r="G766" s="134" t="s">
        <v>196</v>
      </c>
      <c r="H766" s="134" t="s">
        <v>196</v>
      </c>
      <c r="I766" s="134" t="s">
        <v>196</v>
      </c>
      <c r="J766" s="134" t="s">
        <v>196</v>
      </c>
      <c r="K766" s="134" t="s">
        <v>196</v>
      </c>
      <c r="L766" s="134" t="s">
        <v>196</v>
      </c>
      <c r="M766" s="135" t="s">
        <v>196</v>
      </c>
      <c r="N766" s="128">
        <v>0</v>
      </c>
      <c r="O766" s="128">
        <v>0</v>
      </c>
    </row>
    <row r="767" spans="3:15" s="245" customFormat="1" ht="15" customHeight="1">
      <c r="C767" s="378"/>
      <c r="D767" s="127">
        <v>41</v>
      </c>
      <c r="E767" s="409">
        <v>44651</v>
      </c>
      <c r="F767" s="137" t="s">
        <v>196</v>
      </c>
      <c r="G767" s="134" t="s">
        <v>196</v>
      </c>
      <c r="H767" s="134" t="s">
        <v>196</v>
      </c>
      <c r="I767" s="134" t="s">
        <v>196</v>
      </c>
      <c r="J767" s="134" t="s">
        <v>196</v>
      </c>
      <c r="K767" s="134" t="s">
        <v>196</v>
      </c>
      <c r="L767" s="134" t="s">
        <v>196</v>
      </c>
      <c r="M767" s="135" t="s">
        <v>196</v>
      </c>
      <c r="N767" s="128">
        <v>0</v>
      </c>
      <c r="O767" s="128">
        <v>0</v>
      </c>
    </row>
    <row r="768" spans="3:15" s="245" customFormat="1" ht="15" customHeight="1">
      <c r="C768" s="378"/>
      <c r="D768" s="127">
        <v>42</v>
      </c>
      <c r="E768" s="409">
        <v>45016</v>
      </c>
      <c r="F768" s="137" t="s">
        <v>196</v>
      </c>
      <c r="G768" s="134" t="s">
        <v>196</v>
      </c>
      <c r="H768" s="134" t="s">
        <v>196</v>
      </c>
      <c r="I768" s="134" t="s">
        <v>196</v>
      </c>
      <c r="J768" s="134" t="s">
        <v>196</v>
      </c>
      <c r="K768" s="134" t="s">
        <v>196</v>
      </c>
      <c r="L768" s="134" t="s">
        <v>196</v>
      </c>
      <c r="M768" s="135" t="s">
        <v>196</v>
      </c>
      <c r="N768" s="128">
        <v>0</v>
      </c>
      <c r="O768" s="128">
        <v>0</v>
      </c>
    </row>
    <row r="769" spans="3:15" s="245" customFormat="1" ht="15" customHeight="1">
      <c r="C769" s="378"/>
      <c r="D769" s="122"/>
      <c r="E769" s="407" t="s">
        <v>461</v>
      </c>
      <c r="F769" s="129"/>
      <c r="G769" s="130"/>
      <c r="H769" s="130"/>
      <c r="I769" s="130"/>
      <c r="J769" s="130"/>
      <c r="K769" s="198"/>
      <c r="L769" s="130"/>
      <c r="M769" s="131"/>
      <c r="N769" s="408"/>
      <c r="O769" s="136"/>
    </row>
    <row r="770" spans="3:15" s="245" customFormat="1" ht="15" customHeight="1">
      <c r="C770" s="378"/>
      <c r="D770" s="127">
        <v>43</v>
      </c>
      <c r="E770" s="409">
        <v>42460</v>
      </c>
      <c r="F770" s="137">
        <v>0</v>
      </c>
      <c r="G770" s="134">
        <v>0</v>
      </c>
      <c r="H770" s="134">
        <v>0</v>
      </c>
      <c r="I770" s="134">
        <v>0</v>
      </c>
      <c r="J770" s="134">
        <v>0</v>
      </c>
      <c r="K770" s="134">
        <v>0</v>
      </c>
      <c r="L770" s="134">
        <v>0</v>
      </c>
      <c r="M770" s="135">
        <v>0</v>
      </c>
      <c r="N770" s="128">
        <v>0</v>
      </c>
      <c r="O770" s="128"/>
    </row>
    <row r="771" spans="3:15" s="245" customFormat="1" ht="15" customHeight="1">
      <c r="C771" s="378"/>
      <c r="D771" s="127">
        <v>44</v>
      </c>
      <c r="E771" s="409">
        <v>42825</v>
      </c>
      <c r="F771" s="137" t="s">
        <v>196</v>
      </c>
      <c r="G771" s="134" t="s">
        <v>196</v>
      </c>
      <c r="H771" s="134" t="s">
        <v>196</v>
      </c>
      <c r="I771" s="134" t="s">
        <v>196</v>
      </c>
      <c r="J771" s="134" t="s">
        <v>196</v>
      </c>
      <c r="K771" s="134" t="s">
        <v>196</v>
      </c>
      <c r="L771" s="134" t="s">
        <v>196</v>
      </c>
      <c r="M771" s="135" t="s">
        <v>196</v>
      </c>
      <c r="N771" s="128">
        <v>0</v>
      </c>
      <c r="O771" s="128"/>
    </row>
    <row r="772" spans="3:15" s="245" customFormat="1" ht="15" customHeight="1">
      <c r="C772" s="378"/>
      <c r="D772" s="127">
        <v>45</v>
      </c>
      <c r="E772" s="409">
        <v>43190</v>
      </c>
      <c r="F772" s="137" t="s">
        <v>196</v>
      </c>
      <c r="G772" s="134" t="s">
        <v>196</v>
      </c>
      <c r="H772" s="134" t="s">
        <v>196</v>
      </c>
      <c r="I772" s="134" t="s">
        <v>196</v>
      </c>
      <c r="J772" s="134" t="s">
        <v>196</v>
      </c>
      <c r="K772" s="134" t="s">
        <v>196</v>
      </c>
      <c r="L772" s="134" t="s">
        <v>196</v>
      </c>
      <c r="M772" s="135" t="s">
        <v>196</v>
      </c>
      <c r="N772" s="128">
        <v>0</v>
      </c>
      <c r="O772" s="128"/>
    </row>
    <row r="773" spans="3:15" s="245" customFormat="1" ht="15" customHeight="1">
      <c r="C773" s="378"/>
      <c r="D773" s="127">
        <v>46</v>
      </c>
      <c r="E773" s="409">
        <v>43555</v>
      </c>
      <c r="F773" s="137" t="s">
        <v>196</v>
      </c>
      <c r="G773" s="134" t="s">
        <v>196</v>
      </c>
      <c r="H773" s="134" t="s">
        <v>196</v>
      </c>
      <c r="I773" s="134" t="s">
        <v>196</v>
      </c>
      <c r="J773" s="134" t="s">
        <v>196</v>
      </c>
      <c r="K773" s="134" t="s">
        <v>196</v>
      </c>
      <c r="L773" s="134" t="s">
        <v>196</v>
      </c>
      <c r="M773" s="135" t="s">
        <v>196</v>
      </c>
      <c r="N773" s="128">
        <v>0</v>
      </c>
      <c r="O773" s="128"/>
    </row>
    <row r="774" spans="3:15" s="245" customFormat="1" ht="15" customHeight="1">
      <c r="C774" s="378"/>
      <c r="D774" s="127">
        <v>47</v>
      </c>
      <c r="E774" s="409">
        <v>43921</v>
      </c>
      <c r="F774" s="137" t="s">
        <v>196</v>
      </c>
      <c r="G774" s="134" t="s">
        <v>196</v>
      </c>
      <c r="H774" s="134" t="s">
        <v>196</v>
      </c>
      <c r="I774" s="134" t="s">
        <v>196</v>
      </c>
      <c r="J774" s="134" t="s">
        <v>196</v>
      </c>
      <c r="K774" s="134" t="s">
        <v>196</v>
      </c>
      <c r="L774" s="134" t="s">
        <v>196</v>
      </c>
      <c r="M774" s="135" t="s">
        <v>196</v>
      </c>
      <c r="N774" s="128">
        <v>0</v>
      </c>
      <c r="O774" s="128"/>
    </row>
    <row r="775" spans="3:15" s="245" customFormat="1" ht="15" customHeight="1">
      <c r="C775" s="378"/>
      <c r="D775" s="127">
        <v>48</v>
      </c>
      <c r="E775" s="409">
        <v>44286</v>
      </c>
      <c r="F775" s="137" t="s">
        <v>196</v>
      </c>
      <c r="G775" s="134" t="s">
        <v>196</v>
      </c>
      <c r="H775" s="134" t="s">
        <v>196</v>
      </c>
      <c r="I775" s="134" t="s">
        <v>196</v>
      </c>
      <c r="J775" s="134" t="s">
        <v>196</v>
      </c>
      <c r="K775" s="134" t="s">
        <v>196</v>
      </c>
      <c r="L775" s="134" t="s">
        <v>196</v>
      </c>
      <c r="M775" s="135" t="s">
        <v>196</v>
      </c>
      <c r="N775" s="128">
        <v>0</v>
      </c>
      <c r="O775" s="128"/>
    </row>
    <row r="776" spans="3:15" s="245" customFormat="1" ht="15" customHeight="1">
      <c r="C776" s="378"/>
      <c r="D776" s="127">
        <v>49</v>
      </c>
      <c r="E776" s="409">
        <v>44651</v>
      </c>
      <c r="F776" s="137" t="s">
        <v>196</v>
      </c>
      <c r="G776" s="134" t="s">
        <v>196</v>
      </c>
      <c r="H776" s="134" t="s">
        <v>196</v>
      </c>
      <c r="I776" s="134" t="s">
        <v>196</v>
      </c>
      <c r="J776" s="134" t="s">
        <v>196</v>
      </c>
      <c r="K776" s="134" t="s">
        <v>196</v>
      </c>
      <c r="L776" s="134" t="s">
        <v>196</v>
      </c>
      <c r="M776" s="135" t="s">
        <v>196</v>
      </c>
      <c r="N776" s="128">
        <v>0</v>
      </c>
      <c r="O776" s="128"/>
    </row>
    <row r="777" spans="3:15" s="245" customFormat="1" ht="15" customHeight="1">
      <c r="C777" s="378"/>
      <c r="D777" s="127">
        <v>50</v>
      </c>
      <c r="E777" s="409">
        <v>45016</v>
      </c>
      <c r="F777" s="137" t="s">
        <v>196</v>
      </c>
      <c r="G777" s="134" t="s">
        <v>196</v>
      </c>
      <c r="H777" s="134" t="s">
        <v>196</v>
      </c>
      <c r="I777" s="134" t="s">
        <v>196</v>
      </c>
      <c r="J777" s="134" t="s">
        <v>196</v>
      </c>
      <c r="K777" s="134" t="s">
        <v>196</v>
      </c>
      <c r="L777" s="134" t="s">
        <v>196</v>
      </c>
      <c r="M777" s="135" t="s">
        <v>196</v>
      </c>
      <c r="N777" s="128">
        <v>0</v>
      </c>
      <c r="O777" s="128"/>
    </row>
    <row r="778" spans="3:15" s="245" customFormat="1" ht="15" customHeight="1">
      <c r="C778" s="378"/>
      <c r="D778" s="122"/>
      <c r="E778" s="407" t="s">
        <v>468</v>
      </c>
      <c r="F778" s="129"/>
      <c r="G778" s="130"/>
      <c r="H778" s="130"/>
      <c r="I778" s="130"/>
      <c r="J778" s="130"/>
      <c r="K778" s="198"/>
      <c r="L778" s="130"/>
      <c r="M778" s="131"/>
      <c r="N778" s="408"/>
      <c r="O778" s="136"/>
    </row>
    <row r="779" spans="3:15" s="245" customFormat="1" ht="15" customHeight="1">
      <c r="C779" s="378"/>
      <c r="D779" s="127">
        <v>51</v>
      </c>
      <c r="E779" s="406" t="s">
        <v>445</v>
      </c>
      <c r="F779" s="133">
        <v>2273.2224716728679</v>
      </c>
      <c r="G779" s="134">
        <v>2292.2389320676898</v>
      </c>
      <c r="H779" s="134">
        <v>2306.6586956496772</v>
      </c>
      <c r="I779" s="134">
        <v>2313.9828210685928</v>
      </c>
      <c r="J779" s="134">
        <v>2322.5652035797511</v>
      </c>
      <c r="K779" s="134">
        <v>2335.7222168762883</v>
      </c>
      <c r="L779" s="134">
        <v>2351.2453485465385</v>
      </c>
      <c r="M779" s="135">
        <v>2362.2182098483399</v>
      </c>
      <c r="N779" s="128">
        <v>18557.853899309743</v>
      </c>
      <c r="O779" s="128">
        <v>2319.7317374137178</v>
      </c>
    </row>
    <row r="780" spans="3:15" s="245" customFormat="1" ht="15" customHeight="1">
      <c r="C780" s="378"/>
      <c r="D780" s="127">
        <v>52</v>
      </c>
      <c r="E780" s="406" t="s">
        <v>446</v>
      </c>
      <c r="F780" s="222">
        <v>0.65</v>
      </c>
      <c r="G780" s="223">
        <v>0.65</v>
      </c>
      <c r="H780" s="223">
        <v>0.65</v>
      </c>
      <c r="I780" s="223">
        <v>0.65</v>
      </c>
      <c r="J780" s="223">
        <v>0.65</v>
      </c>
      <c r="K780" s="223">
        <v>0.65</v>
      </c>
      <c r="L780" s="223">
        <v>0.65</v>
      </c>
      <c r="M780" s="224">
        <v>0.65</v>
      </c>
      <c r="N780" s="225">
        <v>0.64999999999999991</v>
      </c>
      <c r="O780" s="225">
        <v>0.65</v>
      </c>
    </row>
    <row r="781" spans="3:15" s="245" customFormat="1" ht="15" customHeight="1">
      <c r="C781" s="379"/>
      <c r="D781" s="127">
        <v>53</v>
      </c>
      <c r="E781" s="406" t="s">
        <v>431</v>
      </c>
      <c r="F781" s="133">
        <v>795.62786508550369</v>
      </c>
      <c r="G781" s="134">
        <v>802.28362622369139</v>
      </c>
      <c r="H781" s="134">
        <v>807.33054347738698</v>
      </c>
      <c r="I781" s="134">
        <v>809.89398737400745</v>
      </c>
      <c r="J781" s="134">
        <v>812.89782125291288</v>
      </c>
      <c r="K781" s="134">
        <v>817.50277590670089</v>
      </c>
      <c r="L781" s="134">
        <v>822.93587199128842</v>
      </c>
      <c r="M781" s="135">
        <v>826.77637344691891</v>
      </c>
      <c r="N781" s="128">
        <v>6495.2488647584105</v>
      </c>
      <c r="O781" s="128">
        <v>811.90610809480131</v>
      </c>
    </row>
    <row r="782" spans="3:15" s="245" customFormat="1" ht="15" customHeight="1">
      <c r="C782" s="379"/>
      <c r="D782" s="127">
        <v>54</v>
      </c>
      <c r="E782" s="406" t="s">
        <v>447</v>
      </c>
      <c r="F782" s="137">
        <v>37.67866246797778</v>
      </c>
      <c r="G782" s="134">
        <v>37.993860299021961</v>
      </c>
      <c r="H782" s="134">
        <v>38.2328678803934</v>
      </c>
      <c r="I782" s="134">
        <v>38.354265259211928</v>
      </c>
      <c r="J782" s="134">
        <v>38.496518249334379</v>
      </c>
      <c r="K782" s="134">
        <v>38.714595744724477</v>
      </c>
      <c r="L782" s="134">
        <v>38.971891652158874</v>
      </c>
      <c r="M782" s="135">
        <v>39.153766828236229</v>
      </c>
      <c r="N782" s="128">
        <v>307.59642838105901</v>
      </c>
      <c r="O782" s="128">
        <v>38.449553547632377</v>
      </c>
    </row>
    <row r="783" spans="3:15" s="245" customFormat="1" ht="15" customHeight="1" thickBot="1">
      <c r="C783" s="379"/>
      <c r="D783" s="138">
        <v>55</v>
      </c>
      <c r="E783" s="410" t="s">
        <v>677</v>
      </c>
      <c r="F783" s="254">
        <v>795.62786508550369</v>
      </c>
      <c r="G783" s="139">
        <v>802.28362622369139</v>
      </c>
      <c r="H783" s="139">
        <v>807.33054347738698</v>
      </c>
      <c r="I783" s="139">
        <v>809.89398737400745</v>
      </c>
      <c r="J783" s="139">
        <v>812.89782125291288</v>
      </c>
      <c r="K783" s="139">
        <v>817.50277590670089</v>
      </c>
      <c r="L783" s="139">
        <v>822.93587199128842</v>
      </c>
      <c r="M783" s="226">
        <v>826.77637344691891</v>
      </c>
      <c r="N783" s="253"/>
      <c r="O783" s="253">
        <v>811.90610809480131</v>
      </c>
    </row>
    <row r="784" spans="3:15" s="245" customFormat="1" ht="15" customHeight="1">
      <c r="C784" s="379"/>
      <c r="D784" s="244"/>
      <c r="E784" s="402"/>
      <c r="F784" s="155"/>
      <c r="G784" s="155"/>
      <c r="H784" s="155"/>
      <c r="I784" s="155"/>
      <c r="J784" s="155"/>
      <c r="K784" s="155"/>
      <c r="L784" s="155"/>
      <c r="M784" s="155"/>
      <c r="N784" s="155"/>
      <c r="O784" s="155"/>
    </row>
    <row r="785" spans="3:15" s="245" customFormat="1" ht="15" customHeight="1">
      <c r="C785" s="378"/>
      <c r="D785" s="244"/>
      <c r="E785" s="190"/>
      <c r="F785" s="155"/>
      <c r="G785" s="155"/>
      <c r="H785" s="155"/>
      <c r="I785" s="155"/>
      <c r="J785" s="155"/>
      <c r="K785" s="155"/>
      <c r="L785" s="155"/>
      <c r="M785" s="383"/>
      <c r="N785" s="155"/>
      <c r="O785" s="155"/>
    </row>
    <row r="786" spans="3:15" s="245" customFormat="1" ht="15" customHeight="1">
      <c r="C786" s="378"/>
      <c r="D786" s="244"/>
      <c r="E786" s="190"/>
      <c r="F786" s="155"/>
      <c r="G786" s="155"/>
      <c r="H786" s="155"/>
      <c r="I786" s="155"/>
      <c r="J786" s="155"/>
      <c r="K786" s="155"/>
      <c r="L786" s="155"/>
      <c r="M786" s="383"/>
      <c r="N786" s="155"/>
      <c r="O786" s="155"/>
    </row>
    <row r="787" spans="3:15" s="245" customFormat="1" ht="15" customHeight="1">
      <c r="C787" s="378"/>
      <c r="D787" s="244"/>
      <c r="E787" s="190"/>
      <c r="F787" s="155"/>
      <c r="G787" s="155"/>
      <c r="H787" s="155"/>
      <c r="I787" s="155"/>
      <c r="J787" s="155"/>
      <c r="K787" s="155"/>
      <c r="L787" s="155"/>
      <c r="M787" s="383"/>
      <c r="N787" s="155"/>
      <c r="O787" s="155"/>
    </row>
    <row r="788" spans="3:15" s="245" customFormat="1" ht="15" customHeight="1">
      <c r="C788" s="378"/>
      <c r="D788" s="244"/>
      <c r="E788" s="190"/>
      <c r="F788" s="378"/>
      <c r="G788" s="378"/>
      <c r="H788" s="378"/>
      <c r="I788" s="378"/>
      <c r="J788" s="378"/>
      <c r="K788" s="378"/>
      <c r="L788" s="378"/>
      <c r="M788" s="378"/>
      <c r="N788" s="378"/>
      <c r="O788" s="378"/>
    </row>
    <row r="789" spans="3:15" s="245" customFormat="1" ht="15" customHeight="1">
      <c r="C789" s="380" t="s">
        <v>814</v>
      </c>
      <c r="D789" s="380"/>
      <c r="E789" s="380"/>
      <c r="F789" s="380"/>
      <c r="G789" s="380"/>
      <c r="H789" s="380"/>
      <c r="I789" s="380"/>
      <c r="J789" s="380"/>
      <c r="K789" s="380"/>
      <c r="L789" s="380"/>
      <c r="M789" s="380"/>
      <c r="N789" s="380"/>
      <c r="O789" s="380"/>
    </row>
    <row r="790" spans="3:15" s="245" customFormat="1" ht="15" customHeight="1">
      <c r="C790" s="379"/>
      <c r="D790" s="379"/>
      <c r="E790" s="379"/>
      <c r="F790" s="379"/>
      <c r="G790" s="379"/>
      <c r="H790" s="379"/>
      <c r="I790" s="379"/>
      <c r="J790" s="379"/>
      <c r="K790" s="379"/>
      <c r="L790" s="379"/>
      <c r="M790" s="379"/>
      <c r="N790" s="379"/>
      <c r="O790" s="379"/>
    </row>
    <row r="791" spans="3:15" s="245" customFormat="1" ht="15" customHeight="1">
      <c r="C791" s="379"/>
      <c r="D791" s="376"/>
      <c r="E791" s="376"/>
      <c r="F791" s="377"/>
      <c r="G791" s="377"/>
      <c r="H791" s="377"/>
      <c r="I791" s="377"/>
      <c r="J791" s="377"/>
      <c r="K791" s="377"/>
      <c r="L791" s="377"/>
      <c r="M791" s="377"/>
      <c r="N791" s="376"/>
      <c r="O791" s="376"/>
    </row>
    <row r="792" spans="3:15" s="245" customFormat="1" ht="15" customHeight="1">
      <c r="C792" s="379"/>
      <c r="D792" s="376"/>
      <c r="E792" s="381" t="s">
        <v>56</v>
      </c>
      <c r="F792" s="381" t="s">
        <v>234</v>
      </c>
      <c r="G792" s="377"/>
      <c r="H792" s="381" t="s">
        <v>37</v>
      </c>
      <c r="I792" s="377"/>
      <c r="J792" s="377"/>
      <c r="K792" s="377"/>
      <c r="L792" s="377"/>
      <c r="M792" s="377"/>
      <c r="N792" s="376"/>
      <c r="O792" s="376"/>
    </row>
    <row r="793" spans="3:15" s="245" customFormat="1" ht="15" customHeight="1">
      <c r="C793" s="379"/>
      <c r="D793" s="118"/>
      <c r="E793" s="118" t="s">
        <v>517</v>
      </c>
      <c r="F793" s="345">
        <v>42460</v>
      </c>
      <c r="G793" s="119"/>
      <c r="H793" s="118" t="s">
        <v>851</v>
      </c>
      <c r="I793" s="119"/>
      <c r="J793" s="119"/>
      <c r="K793" s="119"/>
      <c r="L793" s="119"/>
      <c r="M793" s="119"/>
      <c r="N793" s="118"/>
      <c r="O793" s="118"/>
    </row>
    <row r="794" spans="3:15" s="245" customFormat="1" ht="15" customHeight="1" thickBot="1">
      <c r="C794" s="379"/>
      <c r="D794" s="379"/>
      <c r="E794" s="379"/>
      <c r="F794" s="430"/>
      <c r="G794" s="430"/>
      <c r="H794" s="430"/>
      <c r="I794" s="430"/>
      <c r="J794" s="430"/>
      <c r="K794" s="430"/>
      <c r="L794" s="430"/>
      <c r="M794" s="430"/>
      <c r="N794" s="379"/>
      <c r="O794" s="379"/>
    </row>
    <row r="795" spans="3:15" s="245" customFormat="1" ht="15" customHeight="1">
      <c r="C795" s="379"/>
      <c r="D795" s="120"/>
      <c r="E795" s="189" t="s">
        <v>231</v>
      </c>
      <c r="F795" s="181">
        <v>42460</v>
      </c>
      <c r="G795" s="182">
        <v>42825</v>
      </c>
      <c r="H795" s="182">
        <v>43190</v>
      </c>
      <c r="I795" s="182">
        <v>43555</v>
      </c>
      <c r="J795" s="182">
        <v>43921</v>
      </c>
      <c r="K795" s="182">
        <v>44286</v>
      </c>
      <c r="L795" s="182">
        <v>44651</v>
      </c>
      <c r="M795" s="183">
        <v>45016</v>
      </c>
      <c r="N795" s="243" t="s">
        <v>83</v>
      </c>
      <c r="O795" s="184" t="s">
        <v>84</v>
      </c>
    </row>
    <row r="796" spans="3:15" s="245" customFormat="1" ht="15" customHeight="1">
      <c r="C796" s="379"/>
      <c r="D796" s="121"/>
      <c r="E796" s="406" t="s">
        <v>235</v>
      </c>
      <c r="F796" s="185" t="s">
        <v>728</v>
      </c>
      <c r="G796" s="186" t="s">
        <v>728</v>
      </c>
      <c r="H796" s="186" t="s">
        <v>728</v>
      </c>
      <c r="I796" s="186" t="s">
        <v>728</v>
      </c>
      <c r="J796" s="186" t="s">
        <v>728</v>
      </c>
      <c r="K796" s="186" t="s">
        <v>728</v>
      </c>
      <c r="L796" s="186" t="s">
        <v>728</v>
      </c>
      <c r="M796" s="187" t="s">
        <v>728</v>
      </c>
      <c r="N796" s="188" t="s">
        <v>728</v>
      </c>
      <c r="O796" s="188" t="s">
        <v>728</v>
      </c>
    </row>
    <row r="797" spans="3:15" s="245" customFormat="1" ht="15" customHeight="1">
      <c r="C797" s="379"/>
      <c r="D797" s="122"/>
      <c r="E797" s="407" t="s">
        <v>67</v>
      </c>
      <c r="F797" s="123"/>
      <c r="G797" s="124"/>
      <c r="H797" s="124"/>
      <c r="I797" s="124"/>
      <c r="J797" s="124"/>
      <c r="K797" s="124"/>
      <c r="L797" s="124"/>
      <c r="M797" s="125"/>
      <c r="N797" s="126"/>
      <c r="O797" s="126"/>
    </row>
    <row r="798" spans="3:15" s="245" customFormat="1" ht="15" customHeight="1">
      <c r="C798" s="379"/>
      <c r="D798" s="127">
        <v>1</v>
      </c>
      <c r="E798" s="406" t="s">
        <v>209</v>
      </c>
      <c r="F798" s="133">
        <v>164.45951223611448</v>
      </c>
      <c r="G798" s="134">
        <v>161.18129911163535</v>
      </c>
      <c r="H798" s="134">
        <v>163.80324736903012</v>
      </c>
      <c r="I798" s="134">
        <v>155.74926655235865</v>
      </c>
      <c r="J798" s="134">
        <v>151.16187236001124</v>
      </c>
      <c r="K798" s="134">
        <v>144.73649156392068</v>
      </c>
      <c r="L798" s="134">
        <v>137.06771036109294</v>
      </c>
      <c r="M798" s="135">
        <v>132.85982079900822</v>
      </c>
      <c r="N798" s="128">
        <v>1211.0192203531717</v>
      </c>
      <c r="O798" s="128">
        <v>151.37740254414646</v>
      </c>
    </row>
    <row r="799" spans="3:15" s="245" customFormat="1" ht="15" customHeight="1">
      <c r="C799" s="379"/>
      <c r="D799" s="127">
        <v>2</v>
      </c>
      <c r="E799" s="406" t="s">
        <v>679</v>
      </c>
      <c r="F799" s="133">
        <v>41.114878059028598</v>
      </c>
      <c r="G799" s="134">
        <v>40.295324777908831</v>
      </c>
      <c r="H799" s="134">
        <v>40.950811842257508</v>
      </c>
      <c r="I799" s="134">
        <v>38.937316638089641</v>
      </c>
      <c r="J799" s="134">
        <v>37.790468090002804</v>
      </c>
      <c r="K799" s="134">
        <v>36.184122890980149</v>
      </c>
      <c r="L799" s="134">
        <v>34.266927590273241</v>
      </c>
      <c r="M799" s="135">
        <v>33.21495519975204</v>
      </c>
      <c r="N799" s="128">
        <v>302.75480508829276</v>
      </c>
      <c r="O799" s="128">
        <v>37.844350636036594</v>
      </c>
    </row>
    <row r="800" spans="3:15" s="245" customFormat="1" ht="15" customHeight="1">
      <c r="C800" s="379"/>
      <c r="D800" s="127">
        <v>3</v>
      </c>
      <c r="E800" s="406" t="s">
        <v>210</v>
      </c>
      <c r="F800" s="133">
        <v>205.57439029514308</v>
      </c>
      <c r="G800" s="134">
        <v>201.47662388954419</v>
      </c>
      <c r="H800" s="134">
        <v>204.75405921128763</v>
      </c>
      <c r="I800" s="134">
        <v>194.68658319044829</v>
      </c>
      <c r="J800" s="134">
        <v>188.95234045001405</v>
      </c>
      <c r="K800" s="134">
        <v>180.92061445490083</v>
      </c>
      <c r="L800" s="134">
        <v>171.33463795136618</v>
      </c>
      <c r="M800" s="135">
        <v>166.07477599876026</v>
      </c>
      <c r="N800" s="128">
        <v>1513.7740254414646</v>
      </c>
      <c r="O800" s="128">
        <v>189.22175318018307</v>
      </c>
    </row>
    <row r="801" spans="3:15" s="245" customFormat="1" ht="15" customHeight="1">
      <c r="C801" s="379"/>
      <c r="D801" s="122"/>
      <c r="E801" s="407" t="s">
        <v>15</v>
      </c>
      <c r="F801" s="123"/>
      <c r="G801" s="124"/>
      <c r="H801" s="124"/>
      <c r="I801" s="124"/>
      <c r="J801" s="124"/>
      <c r="K801" s="124"/>
      <c r="L801" s="124"/>
      <c r="M801" s="125"/>
      <c r="N801" s="126"/>
      <c r="O801" s="126"/>
    </row>
    <row r="802" spans="3:15" s="245" customFormat="1" ht="15" customHeight="1">
      <c r="C802" s="379"/>
      <c r="D802" s="127">
        <v>4</v>
      </c>
      <c r="E802" s="406" t="s">
        <v>448</v>
      </c>
      <c r="F802" s="133">
        <v>1520.01660938693</v>
      </c>
      <c r="G802" s="134">
        <v>1545.3063664844005</v>
      </c>
      <c r="H802" s="134">
        <v>1565.0747398844821</v>
      </c>
      <c r="I802" s="134">
        <v>1585.0995211612551</v>
      </c>
      <c r="J802" s="134">
        <v>1595.6693208094825</v>
      </c>
      <c r="K802" s="134">
        <v>1601.4837500816957</v>
      </c>
      <c r="L802" s="134">
        <v>1600.9171703038892</v>
      </c>
      <c r="M802" s="135">
        <v>1593.4812190030957</v>
      </c>
      <c r="N802" s="128"/>
      <c r="O802" s="128">
        <v>1575.8810871394037</v>
      </c>
    </row>
    <row r="803" spans="3:15" s="245" customFormat="1" ht="15" customHeight="1">
      <c r="C803" s="379"/>
      <c r="D803" s="127">
        <v>5</v>
      </c>
      <c r="E803" s="406" t="s">
        <v>119</v>
      </c>
      <c r="F803" s="133">
        <v>0</v>
      </c>
      <c r="G803" s="134">
        <v>0</v>
      </c>
      <c r="H803" s="134">
        <v>0</v>
      </c>
      <c r="I803" s="134">
        <v>0</v>
      </c>
      <c r="J803" s="134">
        <v>0</v>
      </c>
      <c r="K803" s="134">
        <v>0</v>
      </c>
      <c r="L803" s="134">
        <v>0</v>
      </c>
      <c r="M803" s="135">
        <v>0</v>
      </c>
      <c r="N803" s="128">
        <v>0</v>
      </c>
      <c r="O803" s="128">
        <v>0</v>
      </c>
    </row>
    <row r="804" spans="3:15" s="245" customFormat="1" ht="15" customHeight="1">
      <c r="C804" s="379"/>
      <c r="D804" s="127">
        <v>6</v>
      </c>
      <c r="E804" s="406" t="s">
        <v>449</v>
      </c>
      <c r="F804" s="133">
        <v>1520.01660938693</v>
      </c>
      <c r="G804" s="134">
        <v>1545.3063664844005</v>
      </c>
      <c r="H804" s="134">
        <v>1565.0747398844821</v>
      </c>
      <c r="I804" s="134">
        <v>1585.0995211612551</v>
      </c>
      <c r="J804" s="134">
        <v>1595.6693208094825</v>
      </c>
      <c r="K804" s="134">
        <v>1601.4837500816957</v>
      </c>
      <c r="L804" s="134">
        <v>1600.9171703038892</v>
      </c>
      <c r="M804" s="135">
        <v>1593.4812190030957</v>
      </c>
      <c r="N804" s="128"/>
      <c r="O804" s="128">
        <v>1575.8810871394037</v>
      </c>
    </row>
    <row r="805" spans="3:15" s="245" customFormat="1" ht="15" customHeight="1">
      <c r="C805" s="379"/>
      <c r="D805" s="127">
        <v>7</v>
      </c>
      <c r="E805" s="406" t="s">
        <v>211</v>
      </c>
      <c r="F805" s="133">
        <v>164.45951223611448</v>
      </c>
      <c r="G805" s="134">
        <v>161.18129911163535</v>
      </c>
      <c r="H805" s="134">
        <v>163.80324736903012</v>
      </c>
      <c r="I805" s="134">
        <v>155.74926655235865</v>
      </c>
      <c r="J805" s="134">
        <v>151.16187236001124</v>
      </c>
      <c r="K805" s="134">
        <v>144.73649156392068</v>
      </c>
      <c r="L805" s="134">
        <v>137.06771036109294</v>
      </c>
      <c r="M805" s="135">
        <v>132.85982079900822</v>
      </c>
      <c r="N805" s="128">
        <v>1211.0192203531717</v>
      </c>
      <c r="O805" s="128">
        <v>151.37740254414646</v>
      </c>
    </row>
    <row r="806" spans="3:15" s="245" customFormat="1" ht="15" customHeight="1">
      <c r="C806" s="379"/>
      <c r="D806" s="127">
        <v>8</v>
      </c>
      <c r="E806" s="406" t="s">
        <v>0</v>
      </c>
      <c r="F806" s="133">
        <v>-139.16975513864392</v>
      </c>
      <c r="G806" s="134">
        <v>-141.4129257115537</v>
      </c>
      <c r="H806" s="134">
        <v>-143.77846609225705</v>
      </c>
      <c r="I806" s="134">
        <v>-145.17946690413115</v>
      </c>
      <c r="J806" s="134">
        <v>-145.3474430877983</v>
      </c>
      <c r="K806" s="134">
        <v>-145.30307134172713</v>
      </c>
      <c r="L806" s="134">
        <v>-144.50366166188638</v>
      </c>
      <c r="M806" s="135">
        <v>-141.88079820254379</v>
      </c>
      <c r="N806" s="128">
        <v>-1146.5755881405412</v>
      </c>
      <c r="O806" s="128">
        <v>-143.32194851756765</v>
      </c>
    </row>
    <row r="807" spans="3:15" s="245" customFormat="1" ht="15" customHeight="1">
      <c r="C807" s="379"/>
      <c r="D807" s="127">
        <v>9</v>
      </c>
      <c r="E807" s="406" t="s">
        <v>16</v>
      </c>
      <c r="F807" s="133">
        <v>1545.3063664844005</v>
      </c>
      <c r="G807" s="134">
        <v>1565.0747398844821</v>
      </c>
      <c r="H807" s="134">
        <v>1585.0995211612551</v>
      </c>
      <c r="I807" s="134">
        <v>1595.6693208094825</v>
      </c>
      <c r="J807" s="134">
        <v>1601.4837500816957</v>
      </c>
      <c r="K807" s="134">
        <v>1600.9171703038892</v>
      </c>
      <c r="L807" s="134">
        <v>1593.4812190030957</v>
      </c>
      <c r="M807" s="135">
        <v>1584.4602415995603</v>
      </c>
      <c r="N807" s="128"/>
      <c r="O807" s="128">
        <v>1583.9365411659824</v>
      </c>
    </row>
    <row r="808" spans="3:15" s="245" customFormat="1" ht="15" customHeight="1">
      <c r="C808" s="379"/>
      <c r="D808" s="122"/>
      <c r="E808" s="407" t="s">
        <v>296</v>
      </c>
      <c r="F808" s="129"/>
      <c r="G808" s="130"/>
      <c r="H808" s="130"/>
      <c r="I808" s="130"/>
      <c r="J808" s="130"/>
      <c r="K808" s="130"/>
      <c r="L808" s="130"/>
      <c r="M808" s="131"/>
      <c r="N808" s="132"/>
      <c r="O808" s="132"/>
    </row>
    <row r="809" spans="3:15" s="245" customFormat="1" ht="15" customHeight="1">
      <c r="C809" s="379"/>
      <c r="D809" s="127">
        <v>10</v>
      </c>
      <c r="E809" s="406" t="s">
        <v>97</v>
      </c>
      <c r="F809" s="133">
        <v>41.114878059028598</v>
      </c>
      <c r="G809" s="134">
        <v>40.295324777908831</v>
      </c>
      <c r="H809" s="134">
        <v>40.950811842257508</v>
      </c>
      <c r="I809" s="134">
        <v>38.937316638089641</v>
      </c>
      <c r="J809" s="134">
        <v>37.790468090002804</v>
      </c>
      <c r="K809" s="134">
        <v>36.184122890980149</v>
      </c>
      <c r="L809" s="134">
        <v>34.266927590273241</v>
      </c>
      <c r="M809" s="135">
        <v>33.21495519975204</v>
      </c>
      <c r="N809" s="128">
        <v>302.75480508829276</v>
      </c>
      <c r="O809" s="128">
        <v>37.844350636036594</v>
      </c>
    </row>
    <row r="810" spans="3:15" s="245" customFormat="1" ht="15" customHeight="1">
      <c r="C810" s="379"/>
      <c r="D810" s="127">
        <v>11</v>
      </c>
      <c r="E810" s="406" t="s">
        <v>600</v>
      </c>
      <c r="F810" s="133">
        <v>63.802071724629599</v>
      </c>
      <c r="G810" s="134">
        <v>63.748701124697334</v>
      </c>
      <c r="H810" s="134">
        <v>63.801469416209144</v>
      </c>
      <c r="I810" s="134">
        <v>63.20373416301338</v>
      </c>
      <c r="J810" s="134">
        <v>62.730567287265472</v>
      </c>
      <c r="K810" s="134">
        <v>62.777942008513641</v>
      </c>
      <c r="L810" s="134">
        <v>62.090140298712598</v>
      </c>
      <c r="M810" s="135">
        <v>61.785744540851312</v>
      </c>
      <c r="N810" s="128">
        <v>503.94037056389243</v>
      </c>
      <c r="O810" s="128">
        <v>62.992546320486554</v>
      </c>
    </row>
    <row r="811" spans="3:15" s="245" customFormat="1" ht="15" customHeight="1">
      <c r="C811" s="379"/>
      <c r="D811" s="127">
        <v>12</v>
      </c>
      <c r="E811" s="406" t="s">
        <v>65</v>
      </c>
      <c r="F811" s="133">
        <v>139.16975513864392</v>
      </c>
      <c r="G811" s="134">
        <v>141.4129257115537</v>
      </c>
      <c r="H811" s="134">
        <v>143.77846609225705</v>
      </c>
      <c r="I811" s="134">
        <v>145.17946690413115</v>
      </c>
      <c r="J811" s="134">
        <v>145.3474430877983</v>
      </c>
      <c r="K811" s="134">
        <v>145.30307134172713</v>
      </c>
      <c r="L811" s="134">
        <v>144.50366166188638</v>
      </c>
      <c r="M811" s="135">
        <v>141.88079820254379</v>
      </c>
      <c r="N811" s="128">
        <v>1146.5755881405412</v>
      </c>
      <c r="O811" s="128">
        <v>143.32194851756765</v>
      </c>
    </row>
    <row r="812" spans="3:15" s="245" customFormat="1" ht="15" customHeight="1">
      <c r="C812" s="379"/>
      <c r="D812" s="127">
        <v>13</v>
      </c>
      <c r="E812" s="406" t="s">
        <v>18</v>
      </c>
      <c r="F812" s="133">
        <v>56.538367259637539</v>
      </c>
      <c r="G812" s="134">
        <v>57.37144697508095</v>
      </c>
      <c r="H812" s="134">
        <v>58.105436503729074</v>
      </c>
      <c r="I812" s="134">
        <v>58.673040763161602</v>
      </c>
      <c r="J812" s="134">
        <v>58.976903470444945</v>
      </c>
      <c r="K812" s="134">
        <v>59.07588292965859</v>
      </c>
      <c r="L812" s="134">
        <v>58.930594613975778</v>
      </c>
      <c r="M812" s="135">
        <v>58.627547715373176</v>
      </c>
      <c r="N812" s="128">
        <v>466.29922023106161</v>
      </c>
      <c r="O812" s="128">
        <v>58.287402528882701</v>
      </c>
    </row>
    <row r="813" spans="3:15" s="245" customFormat="1" ht="15" customHeight="1">
      <c r="C813" s="379"/>
      <c r="D813" s="127">
        <v>14</v>
      </c>
      <c r="E813" s="406" t="s">
        <v>102</v>
      </c>
      <c r="F813" s="133">
        <v>0</v>
      </c>
      <c r="G813" s="134">
        <v>0</v>
      </c>
      <c r="H813" s="134">
        <v>0</v>
      </c>
      <c r="I813" s="134">
        <v>0</v>
      </c>
      <c r="J813" s="134">
        <v>0</v>
      </c>
      <c r="K813" s="134">
        <v>0</v>
      </c>
      <c r="L813" s="134">
        <v>0</v>
      </c>
      <c r="M813" s="135">
        <v>0</v>
      </c>
      <c r="N813" s="128">
        <v>0</v>
      </c>
      <c r="O813" s="128">
        <v>0</v>
      </c>
    </row>
    <row r="814" spans="3:15" s="245" customFormat="1" ht="15" customHeight="1">
      <c r="C814" s="379"/>
      <c r="D814" s="127">
        <v>15</v>
      </c>
      <c r="E814" s="406" t="s">
        <v>22</v>
      </c>
      <c r="F814" s="133">
        <v>-1.8633532543800757</v>
      </c>
      <c r="G814" s="134">
        <v>-1.8182980405067262</v>
      </c>
      <c r="H814" s="134">
        <v>-1.83946756302578</v>
      </c>
      <c r="I814" s="134">
        <v>-1.7415973428180247</v>
      </c>
      <c r="J814" s="134">
        <v>-1.6798002111470465</v>
      </c>
      <c r="K814" s="134">
        <v>-1.5974456358596774</v>
      </c>
      <c r="L814" s="134">
        <v>-1.5016396120831343</v>
      </c>
      <c r="M814" s="135">
        <v>-1.4453638876860204</v>
      </c>
      <c r="N814" s="128">
        <v>-13.486965547506486</v>
      </c>
      <c r="O814" s="128">
        <v>-1.6858706934383108</v>
      </c>
    </row>
    <row r="815" spans="3:15" s="245" customFormat="1" ht="15" customHeight="1">
      <c r="C815" s="379"/>
      <c r="D815" s="127">
        <v>16</v>
      </c>
      <c r="E815" s="406" t="s">
        <v>215</v>
      </c>
      <c r="F815" s="133">
        <v>31.419120906105256</v>
      </c>
      <c r="G815" s="134">
        <v>35.853631405203053</v>
      </c>
      <c r="H815" s="134">
        <v>31.982617303038595</v>
      </c>
      <c r="I815" s="134">
        <v>32.458189878050348</v>
      </c>
      <c r="J815" s="134">
        <v>33.551412683550943</v>
      </c>
      <c r="K815" s="134">
        <v>34.665796609960445</v>
      </c>
      <c r="L815" s="134">
        <v>37.286368583776429</v>
      </c>
      <c r="M815" s="135">
        <v>40.891723446640782</v>
      </c>
      <c r="N815" s="128">
        <v>278.10886081632589</v>
      </c>
      <c r="O815" s="128">
        <v>34.763607602040736</v>
      </c>
    </row>
    <row r="816" spans="3:15" s="245" customFormat="1" ht="15" customHeight="1">
      <c r="C816" s="379"/>
      <c r="D816" s="127">
        <v>17</v>
      </c>
      <c r="E816" s="406" t="s">
        <v>6</v>
      </c>
      <c r="F816" s="133">
        <v>8.1447936665356657</v>
      </c>
      <c r="G816" s="134">
        <v>9.1338227879741023</v>
      </c>
      <c r="H816" s="134">
        <v>9.2170310486512967</v>
      </c>
      <c r="I816" s="134">
        <v>9.2776933117066154</v>
      </c>
      <c r="J816" s="134">
        <v>9.2629615793752116</v>
      </c>
      <c r="K816" s="134">
        <v>9.5663400360706365</v>
      </c>
      <c r="L816" s="134">
        <v>10.393949213521784</v>
      </c>
      <c r="M816" s="135">
        <v>11.012119966905782</v>
      </c>
      <c r="N816" s="128">
        <v>76.008711610741102</v>
      </c>
      <c r="O816" s="128">
        <v>9.5010889513426378</v>
      </c>
    </row>
    <row r="817" spans="3:15" s="245" customFormat="1" ht="15" customHeight="1">
      <c r="C817" s="379"/>
      <c r="D817" s="122"/>
      <c r="E817" s="407" t="s">
        <v>164</v>
      </c>
      <c r="F817" s="129"/>
      <c r="G817" s="130"/>
      <c r="H817" s="130"/>
      <c r="I817" s="130"/>
      <c r="J817" s="130"/>
      <c r="K817" s="130"/>
      <c r="L817" s="130"/>
      <c r="M817" s="131"/>
      <c r="N817" s="132"/>
      <c r="O817" s="132"/>
    </row>
    <row r="818" spans="3:15" s="245" customFormat="1" ht="15" customHeight="1">
      <c r="C818" s="379"/>
      <c r="D818" s="127">
        <v>18</v>
      </c>
      <c r="E818" s="406" t="s">
        <v>97</v>
      </c>
      <c r="F818" s="133">
        <v>41.114878059028598</v>
      </c>
      <c r="G818" s="134">
        <v>40.295324777908831</v>
      </c>
      <c r="H818" s="134">
        <v>40.950811842257508</v>
      </c>
      <c r="I818" s="134">
        <v>38.937316638089641</v>
      </c>
      <c r="J818" s="134">
        <v>37.790468090002804</v>
      </c>
      <c r="K818" s="134">
        <v>36.184122890980149</v>
      </c>
      <c r="L818" s="134">
        <v>34.266927590273241</v>
      </c>
      <c r="M818" s="135">
        <v>33.21495519975204</v>
      </c>
      <c r="N818" s="128">
        <v>302.75480508829276</v>
      </c>
      <c r="O818" s="128">
        <v>37.844350636036594</v>
      </c>
    </row>
    <row r="819" spans="3:15" s="245" customFormat="1" ht="15" customHeight="1">
      <c r="C819" s="379"/>
      <c r="D819" s="127">
        <v>19</v>
      </c>
      <c r="E819" s="406" t="s">
        <v>600</v>
      </c>
      <c r="F819" s="133">
        <v>63.802071724629599</v>
      </c>
      <c r="G819" s="134">
        <v>63.748701124697334</v>
      </c>
      <c r="H819" s="134">
        <v>63.801469416209144</v>
      </c>
      <c r="I819" s="134">
        <v>63.20373416301338</v>
      </c>
      <c r="J819" s="134">
        <v>62.730567287265472</v>
      </c>
      <c r="K819" s="134">
        <v>62.777942008513641</v>
      </c>
      <c r="L819" s="134">
        <v>62.090140298712598</v>
      </c>
      <c r="M819" s="135">
        <v>61.785744540851312</v>
      </c>
      <c r="N819" s="128">
        <v>503.94037056389243</v>
      </c>
      <c r="O819" s="128">
        <v>62.992546320486554</v>
      </c>
    </row>
    <row r="820" spans="3:15" s="245" customFormat="1" ht="15" customHeight="1">
      <c r="C820" s="379"/>
      <c r="D820" s="127">
        <v>20</v>
      </c>
      <c r="E820" s="406" t="s">
        <v>65</v>
      </c>
      <c r="F820" s="133">
        <v>139.16975513864392</v>
      </c>
      <c r="G820" s="134">
        <v>141.4129257115537</v>
      </c>
      <c r="H820" s="134">
        <v>143.77846609225705</v>
      </c>
      <c r="I820" s="134">
        <v>145.17946690413115</v>
      </c>
      <c r="J820" s="134">
        <v>145.3474430877983</v>
      </c>
      <c r="K820" s="134">
        <v>145.30307134172713</v>
      </c>
      <c r="L820" s="134">
        <v>144.50366166188638</v>
      </c>
      <c r="M820" s="135">
        <v>141.88079820254379</v>
      </c>
      <c r="N820" s="128">
        <v>1146.5755881405412</v>
      </c>
      <c r="O820" s="128">
        <v>143.32194851756765</v>
      </c>
    </row>
    <row r="821" spans="3:15" s="245" customFormat="1" ht="15" customHeight="1">
      <c r="C821" s="379"/>
      <c r="D821" s="127">
        <v>21</v>
      </c>
      <c r="E821" s="406" t="s">
        <v>18</v>
      </c>
      <c r="F821" s="133">
        <v>56.538367259637539</v>
      </c>
      <c r="G821" s="134">
        <v>57.37144697508095</v>
      </c>
      <c r="H821" s="134">
        <v>58.105436503729074</v>
      </c>
      <c r="I821" s="134">
        <v>58.673040763161602</v>
      </c>
      <c r="J821" s="134">
        <v>58.976903470444945</v>
      </c>
      <c r="K821" s="134">
        <v>59.07588292965859</v>
      </c>
      <c r="L821" s="134">
        <v>58.930594613975778</v>
      </c>
      <c r="M821" s="135">
        <v>58.627547715373176</v>
      </c>
      <c r="N821" s="128">
        <v>466.29922023106161</v>
      </c>
      <c r="O821" s="128">
        <v>58.287402528882701</v>
      </c>
    </row>
    <row r="822" spans="3:15" s="245" customFormat="1" ht="15" customHeight="1">
      <c r="C822" s="379"/>
      <c r="D822" s="127">
        <v>22</v>
      </c>
      <c r="E822" s="406" t="s">
        <v>102</v>
      </c>
      <c r="F822" s="133">
        <v>0</v>
      </c>
      <c r="G822" s="134">
        <v>0</v>
      </c>
      <c r="H822" s="134">
        <v>0</v>
      </c>
      <c r="I822" s="134">
        <v>0</v>
      </c>
      <c r="J822" s="134">
        <v>0</v>
      </c>
      <c r="K822" s="134">
        <v>0</v>
      </c>
      <c r="L822" s="134">
        <v>0</v>
      </c>
      <c r="M822" s="135">
        <v>0</v>
      </c>
      <c r="N822" s="128">
        <v>0</v>
      </c>
      <c r="O822" s="128">
        <v>0</v>
      </c>
    </row>
    <row r="823" spans="3:15" s="245" customFormat="1" ht="15" customHeight="1">
      <c r="C823" s="379"/>
      <c r="D823" s="127">
        <v>23</v>
      </c>
      <c r="E823" s="406" t="s">
        <v>22</v>
      </c>
      <c r="F823" s="133">
        <v>-1.8633532543800757</v>
      </c>
      <c r="G823" s="134">
        <v>-1.8182980405067262</v>
      </c>
      <c r="H823" s="134">
        <v>-1.83946756302578</v>
      </c>
      <c r="I823" s="134">
        <v>-1.7415973428180247</v>
      </c>
      <c r="J823" s="134">
        <v>-1.6798002111470465</v>
      </c>
      <c r="K823" s="134">
        <v>-1.5974456358596774</v>
      </c>
      <c r="L823" s="134">
        <v>-1.5016396120831343</v>
      </c>
      <c r="M823" s="135">
        <v>-1.4453638876860204</v>
      </c>
      <c r="N823" s="128">
        <v>-13.486965547506486</v>
      </c>
      <c r="O823" s="128">
        <v>-1.6858706934383108</v>
      </c>
    </row>
    <row r="824" spans="3:15" s="245" customFormat="1" ht="15" customHeight="1">
      <c r="C824" s="379"/>
      <c r="D824" s="127">
        <v>24</v>
      </c>
      <c r="E824" s="406" t="s">
        <v>215</v>
      </c>
      <c r="F824" s="133">
        <v>31.419120906105256</v>
      </c>
      <c r="G824" s="134">
        <v>35.853631405203053</v>
      </c>
      <c r="H824" s="134">
        <v>31.982617303038595</v>
      </c>
      <c r="I824" s="134">
        <v>32.458189878050348</v>
      </c>
      <c r="J824" s="134">
        <v>33.551412683550943</v>
      </c>
      <c r="K824" s="134">
        <v>34.665796609960445</v>
      </c>
      <c r="L824" s="134">
        <v>37.286368583776429</v>
      </c>
      <c r="M824" s="135">
        <v>40.891723446640782</v>
      </c>
      <c r="N824" s="128">
        <v>278.10886081632589</v>
      </c>
      <c r="O824" s="128">
        <v>34.763607602040736</v>
      </c>
    </row>
    <row r="825" spans="3:15" s="245" customFormat="1" ht="15" customHeight="1">
      <c r="C825" s="379"/>
      <c r="D825" s="127">
        <v>25</v>
      </c>
      <c r="E825" s="406" t="s">
        <v>6</v>
      </c>
      <c r="F825" s="133">
        <v>8.1447936665356657</v>
      </c>
      <c r="G825" s="134">
        <v>9.1338227879741023</v>
      </c>
      <c r="H825" s="134">
        <v>9.2170310486512967</v>
      </c>
      <c r="I825" s="134">
        <v>9.2776933117066154</v>
      </c>
      <c r="J825" s="134">
        <v>9.2629615793752116</v>
      </c>
      <c r="K825" s="134">
        <v>9.5663400360706365</v>
      </c>
      <c r="L825" s="134">
        <v>10.393949213521784</v>
      </c>
      <c r="M825" s="135">
        <v>11.012119966905782</v>
      </c>
      <c r="N825" s="128">
        <v>76.008711610741102</v>
      </c>
      <c r="O825" s="128">
        <v>9.5010889513426378</v>
      </c>
    </row>
    <row r="826" spans="3:15" s="245" customFormat="1" ht="15" customHeight="1">
      <c r="C826" s="379"/>
      <c r="D826" s="122"/>
      <c r="E826" s="407" t="s">
        <v>19</v>
      </c>
      <c r="F826" s="129"/>
      <c r="G826" s="130"/>
      <c r="H826" s="130"/>
      <c r="I826" s="130"/>
      <c r="J826" s="130"/>
      <c r="K826" s="130"/>
      <c r="L826" s="130"/>
      <c r="M826" s="131"/>
      <c r="N826" s="408"/>
      <c r="O826" s="136"/>
    </row>
    <row r="827" spans="3:15" s="245" customFormat="1" ht="15" customHeight="1">
      <c r="C827" s="379"/>
      <c r="D827" s="127">
        <v>26</v>
      </c>
      <c r="E827" s="406" t="s">
        <v>460</v>
      </c>
      <c r="F827" s="133">
        <v>338.32563350020058</v>
      </c>
      <c r="G827" s="134">
        <v>345.99755474191124</v>
      </c>
      <c r="H827" s="134">
        <v>345.99636464311686</v>
      </c>
      <c r="I827" s="134">
        <v>345.98784431533477</v>
      </c>
      <c r="J827" s="134">
        <v>345.97995598729062</v>
      </c>
      <c r="K827" s="134">
        <v>345.97571018105094</v>
      </c>
      <c r="L827" s="134">
        <v>345.97000235006311</v>
      </c>
      <c r="M827" s="135">
        <v>345.96752518438092</v>
      </c>
      <c r="N827" s="128">
        <v>2760.2005909033492</v>
      </c>
      <c r="O827" s="128">
        <v>345.02507386291865</v>
      </c>
    </row>
    <row r="828" spans="3:15" s="245" customFormat="1" ht="15" customHeight="1">
      <c r="C828" s="379"/>
      <c r="D828" s="127">
        <v>27</v>
      </c>
      <c r="E828" s="406" t="s">
        <v>58</v>
      </c>
      <c r="F828" s="133">
        <v>0</v>
      </c>
      <c r="G828" s="134">
        <v>0</v>
      </c>
      <c r="H828" s="134">
        <v>0</v>
      </c>
      <c r="I828" s="134">
        <v>0</v>
      </c>
      <c r="J828" s="134">
        <v>0</v>
      </c>
      <c r="K828" s="134">
        <v>0</v>
      </c>
      <c r="L828" s="134">
        <v>0</v>
      </c>
      <c r="M828" s="135">
        <v>0</v>
      </c>
      <c r="N828" s="128">
        <v>0</v>
      </c>
      <c r="O828" s="128">
        <v>0</v>
      </c>
    </row>
    <row r="829" spans="3:15" s="245" customFormat="1" ht="15" customHeight="1">
      <c r="C829" s="379"/>
      <c r="D829" s="127">
        <v>28</v>
      </c>
      <c r="E829" s="406" t="s">
        <v>43</v>
      </c>
      <c r="F829" s="137">
        <v>338.32563350020058</v>
      </c>
      <c r="G829" s="134">
        <v>345.99755474191124</v>
      </c>
      <c r="H829" s="134">
        <v>345.99636464311686</v>
      </c>
      <c r="I829" s="134">
        <v>345.98784431533477</v>
      </c>
      <c r="J829" s="134">
        <v>345.97995598729062</v>
      </c>
      <c r="K829" s="134">
        <v>345.97571018105094</v>
      </c>
      <c r="L829" s="134">
        <v>345.97000235006311</v>
      </c>
      <c r="M829" s="135">
        <v>345.96752518438092</v>
      </c>
      <c r="N829" s="128">
        <v>2760.2005909033492</v>
      </c>
      <c r="O829" s="128">
        <v>345.02507386291865</v>
      </c>
    </row>
    <row r="830" spans="3:15" s="245" customFormat="1" ht="15" customHeight="1">
      <c r="C830" s="379"/>
      <c r="D830" s="127">
        <v>29</v>
      </c>
      <c r="E830" s="406" t="s">
        <v>739</v>
      </c>
      <c r="F830" s="137">
        <v>8.5066314054049439</v>
      </c>
      <c r="G830" s="134">
        <v>5.1393380509005349</v>
      </c>
      <c r="H830" s="134">
        <v>3.4238944265027471</v>
      </c>
      <c r="I830" s="134">
        <v>1.7164514200513652</v>
      </c>
      <c r="J830" s="134">
        <v>0.34262101648093729</v>
      </c>
      <c r="K830" s="134">
        <v>-0.32151170390300104</v>
      </c>
      <c r="L830" s="134">
        <v>0.15559934025774608</v>
      </c>
      <c r="M830" s="135">
        <v>0.12351261995281987</v>
      </c>
      <c r="N830" s="128">
        <v>19.086536575648093</v>
      </c>
      <c r="O830" s="128">
        <v>2.3858170719560117</v>
      </c>
    </row>
    <row r="831" spans="3:15" s="245" customFormat="1" ht="15" customHeight="1">
      <c r="C831" s="379"/>
      <c r="D831" s="127">
        <v>30</v>
      </c>
      <c r="E831" s="406" t="s">
        <v>770</v>
      </c>
      <c r="F831" s="431">
        <v>10.655040327775916</v>
      </c>
      <c r="G831" s="137">
        <v>-17.174771713653442</v>
      </c>
      <c r="H831" s="137">
        <v>0</v>
      </c>
      <c r="I831" s="137">
        <v>0</v>
      </c>
      <c r="J831" s="137">
        <v>0</v>
      </c>
      <c r="K831" s="137">
        <v>0</v>
      </c>
      <c r="L831" s="137">
        <v>0</v>
      </c>
      <c r="M831" s="137">
        <v>0</v>
      </c>
      <c r="N831" s="128">
        <v>-6.5197313858775257</v>
      </c>
      <c r="O831" s="128">
        <v>-0.81496642323469071</v>
      </c>
    </row>
    <row r="832" spans="3:15" s="245" customFormat="1" ht="15" customHeight="1">
      <c r="C832" s="379"/>
      <c r="D832" s="127">
        <v>31</v>
      </c>
      <c r="E832" s="406" t="s">
        <v>764</v>
      </c>
      <c r="F832" s="137">
        <v>1.69</v>
      </c>
      <c r="G832" s="134">
        <v>1.69</v>
      </c>
      <c r="H832" s="134">
        <v>1.69</v>
      </c>
      <c r="I832" s="134">
        <v>1.69</v>
      </c>
      <c r="J832" s="134">
        <v>1.69</v>
      </c>
      <c r="K832" s="134">
        <v>1.69</v>
      </c>
      <c r="L832" s="134">
        <v>1.69</v>
      </c>
      <c r="M832" s="135">
        <v>1.69</v>
      </c>
      <c r="N832" s="128">
        <v>13.519999999999998</v>
      </c>
      <c r="O832" s="128">
        <v>1.6899999999999997</v>
      </c>
    </row>
    <row r="833" spans="3:15" s="245" customFormat="1" ht="15" customHeight="1">
      <c r="C833" s="379"/>
      <c r="D833" s="127">
        <v>32</v>
      </c>
      <c r="E833" s="406" t="s">
        <v>9</v>
      </c>
      <c r="F833" s="137">
        <v>359.17730523338145</v>
      </c>
      <c r="G833" s="134">
        <v>335.65212107915835</v>
      </c>
      <c r="H833" s="134">
        <v>351.11025906961959</v>
      </c>
      <c r="I833" s="134">
        <v>349.39429573538615</v>
      </c>
      <c r="J833" s="134">
        <v>348.01257700377158</v>
      </c>
      <c r="K833" s="134">
        <v>347.34419847714793</v>
      </c>
      <c r="L833" s="134">
        <v>347.81560169032088</v>
      </c>
      <c r="M833" s="367">
        <v>347.78103780433372</v>
      </c>
      <c r="N833" s="128">
        <v>2786.2873960931197</v>
      </c>
      <c r="O833" s="128">
        <v>348.28592451163996</v>
      </c>
    </row>
    <row r="834" spans="3:15" s="245" customFormat="1" ht="15" customHeight="1">
      <c r="C834" s="379"/>
      <c r="D834" s="122"/>
      <c r="E834" s="407" t="s">
        <v>173</v>
      </c>
      <c r="F834" s="129"/>
      <c r="G834" s="130"/>
      <c r="H834" s="130"/>
      <c r="I834" s="130"/>
      <c r="J834" s="130"/>
      <c r="K834" s="198"/>
      <c r="L834" s="130"/>
      <c r="M834" s="131"/>
      <c r="N834" s="408"/>
      <c r="O834" s="136"/>
    </row>
    <row r="835" spans="3:15" s="245" customFormat="1" ht="15" customHeight="1">
      <c r="C835" s="379"/>
      <c r="D835" s="127">
        <v>33</v>
      </c>
      <c r="E835" s="406" t="s">
        <v>173</v>
      </c>
      <c r="F835" s="133">
        <v>338.32563350020058</v>
      </c>
      <c r="G835" s="134">
        <v>345.99755474191124</v>
      </c>
      <c r="H835" s="134">
        <v>345.99636464311686</v>
      </c>
      <c r="I835" s="134">
        <v>345.98784431533477</v>
      </c>
      <c r="J835" s="134">
        <v>345.97995598729062</v>
      </c>
      <c r="K835" s="134">
        <v>345.97571018105094</v>
      </c>
      <c r="L835" s="134">
        <v>345.97000235006311</v>
      </c>
      <c r="M835" s="135">
        <v>345.96752518438092</v>
      </c>
      <c r="N835" s="128">
        <v>2760.2005909033492</v>
      </c>
      <c r="O835" s="128">
        <v>345.02507386291865</v>
      </c>
    </row>
    <row r="836" spans="3:15" s="245" customFormat="1" ht="15" customHeight="1">
      <c r="C836" s="379"/>
      <c r="D836" s="127">
        <v>34</v>
      </c>
      <c r="E836" s="406" t="s">
        <v>187</v>
      </c>
      <c r="F836" s="133">
        <v>0</v>
      </c>
      <c r="G836" s="134">
        <v>0</v>
      </c>
      <c r="H836" s="134">
        <v>0</v>
      </c>
      <c r="I836" s="134">
        <v>0</v>
      </c>
      <c r="J836" s="134">
        <v>0</v>
      </c>
      <c r="K836" s="134">
        <v>0</v>
      </c>
      <c r="L836" s="134">
        <v>0</v>
      </c>
      <c r="M836" s="135">
        <v>0</v>
      </c>
      <c r="N836" s="128">
        <v>0</v>
      </c>
      <c r="O836" s="128">
        <v>0</v>
      </c>
    </row>
    <row r="837" spans="3:15" s="245" customFormat="1" ht="15" customHeight="1">
      <c r="C837" s="378"/>
      <c r="D837" s="122"/>
      <c r="E837" s="407" t="s">
        <v>297</v>
      </c>
      <c r="F837" s="129"/>
      <c r="G837" s="130"/>
      <c r="H837" s="130"/>
      <c r="I837" s="130"/>
      <c r="J837" s="130"/>
      <c r="K837" s="198"/>
      <c r="L837" s="130"/>
      <c r="M837" s="131"/>
      <c r="N837" s="408"/>
      <c r="O837" s="136"/>
    </row>
    <row r="838" spans="3:15" s="245" customFormat="1" ht="15" customHeight="1">
      <c r="C838" s="378"/>
      <c r="D838" s="127">
        <v>35</v>
      </c>
      <c r="E838" s="409">
        <v>42460</v>
      </c>
      <c r="F838" s="137">
        <v>338.32563350020058</v>
      </c>
      <c r="G838" s="134">
        <v>345.99755474191124</v>
      </c>
      <c r="H838" s="134">
        <v>345.99636464311686</v>
      </c>
      <c r="I838" s="134">
        <v>345.98784431533477</v>
      </c>
      <c r="J838" s="134">
        <v>345.97995598729062</v>
      </c>
      <c r="K838" s="134">
        <v>345.97571018105094</v>
      </c>
      <c r="L838" s="134">
        <v>345.97000235006311</v>
      </c>
      <c r="M838" s="135">
        <v>345.96752518438092</v>
      </c>
      <c r="N838" s="128">
        <v>2760.2005909033492</v>
      </c>
      <c r="O838" s="128">
        <v>345.02507386291865</v>
      </c>
    </row>
    <row r="839" spans="3:15" s="245" customFormat="1" ht="15" customHeight="1">
      <c r="C839" s="378"/>
      <c r="D839" s="127">
        <v>36</v>
      </c>
      <c r="E839" s="409">
        <v>42825</v>
      </c>
      <c r="F839" s="137" t="s">
        <v>196</v>
      </c>
      <c r="G839" s="134" t="s">
        <v>196</v>
      </c>
      <c r="H839" s="134" t="s">
        <v>196</v>
      </c>
      <c r="I839" s="134" t="s">
        <v>196</v>
      </c>
      <c r="J839" s="134" t="s">
        <v>196</v>
      </c>
      <c r="K839" s="134" t="s">
        <v>196</v>
      </c>
      <c r="L839" s="134" t="s">
        <v>196</v>
      </c>
      <c r="M839" s="135" t="s">
        <v>196</v>
      </c>
      <c r="N839" s="128">
        <v>0</v>
      </c>
      <c r="O839" s="128">
        <v>0</v>
      </c>
    </row>
    <row r="840" spans="3:15" s="245" customFormat="1" ht="15" customHeight="1">
      <c r="C840" s="378"/>
      <c r="D840" s="127">
        <v>37</v>
      </c>
      <c r="E840" s="409">
        <v>43190</v>
      </c>
      <c r="F840" s="137" t="s">
        <v>196</v>
      </c>
      <c r="G840" s="134" t="s">
        <v>196</v>
      </c>
      <c r="H840" s="134" t="s">
        <v>196</v>
      </c>
      <c r="I840" s="134" t="s">
        <v>196</v>
      </c>
      <c r="J840" s="134" t="s">
        <v>196</v>
      </c>
      <c r="K840" s="134" t="s">
        <v>196</v>
      </c>
      <c r="L840" s="134" t="s">
        <v>196</v>
      </c>
      <c r="M840" s="135" t="s">
        <v>196</v>
      </c>
      <c r="N840" s="128">
        <v>0</v>
      </c>
      <c r="O840" s="128">
        <v>0</v>
      </c>
    </row>
    <row r="841" spans="3:15" s="245" customFormat="1" ht="15" customHeight="1">
      <c r="C841" s="378"/>
      <c r="D841" s="127">
        <v>38</v>
      </c>
      <c r="E841" s="409">
        <v>43555</v>
      </c>
      <c r="F841" s="137" t="s">
        <v>196</v>
      </c>
      <c r="G841" s="134" t="s">
        <v>196</v>
      </c>
      <c r="H841" s="134" t="s">
        <v>196</v>
      </c>
      <c r="I841" s="134" t="s">
        <v>196</v>
      </c>
      <c r="J841" s="134" t="s">
        <v>196</v>
      </c>
      <c r="K841" s="134" t="s">
        <v>196</v>
      </c>
      <c r="L841" s="134" t="s">
        <v>196</v>
      </c>
      <c r="M841" s="135" t="s">
        <v>196</v>
      </c>
      <c r="N841" s="128">
        <v>0</v>
      </c>
      <c r="O841" s="128">
        <v>0</v>
      </c>
    </row>
    <row r="842" spans="3:15" s="245" customFormat="1" ht="15" customHeight="1">
      <c r="C842" s="378"/>
      <c r="D842" s="127">
        <v>39</v>
      </c>
      <c r="E842" s="409">
        <v>43921</v>
      </c>
      <c r="F842" s="137" t="s">
        <v>196</v>
      </c>
      <c r="G842" s="134" t="s">
        <v>196</v>
      </c>
      <c r="H842" s="134" t="s">
        <v>196</v>
      </c>
      <c r="I842" s="134" t="s">
        <v>196</v>
      </c>
      <c r="J842" s="134" t="s">
        <v>196</v>
      </c>
      <c r="K842" s="134" t="s">
        <v>196</v>
      </c>
      <c r="L842" s="134" t="s">
        <v>196</v>
      </c>
      <c r="M842" s="135" t="s">
        <v>196</v>
      </c>
      <c r="N842" s="128">
        <v>0</v>
      </c>
      <c r="O842" s="128">
        <v>0</v>
      </c>
    </row>
    <row r="843" spans="3:15" s="245" customFormat="1" ht="15" customHeight="1">
      <c r="C843" s="378"/>
      <c r="D843" s="127">
        <v>40</v>
      </c>
      <c r="E843" s="409">
        <v>44286</v>
      </c>
      <c r="F843" s="137" t="s">
        <v>196</v>
      </c>
      <c r="G843" s="134" t="s">
        <v>196</v>
      </c>
      <c r="H843" s="134" t="s">
        <v>196</v>
      </c>
      <c r="I843" s="134" t="s">
        <v>196</v>
      </c>
      <c r="J843" s="134" t="s">
        <v>196</v>
      </c>
      <c r="K843" s="134" t="s">
        <v>196</v>
      </c>
      <c r="L843" s="134" t="s">
        <v>196</v>
      </c>
      <c r="M843" s="135" t="s">
        <v>196</v>
      </c>
      <c r="N843" s="128">
        <v>0</v>
      </c>
      <c r="O843" s="128">
        <v>0</v>
      </c>
    </row>
    <row r="844" spans="3:15" s="245" customFormat="1" ht="15" customHeight="1">
      <c r="C844" s="378"/>
      <c r="D844" s="127">
        <v>41</v>
      </c>
      <c r="E844" s="409">
        <v>44651</v>
      </c>
      <c r="F844" s="137" t="s">
        <v>196</v>
      </c>
      <c r="G844" s="134" t="s">
        <v>196</v>
      </c>
      <c r="H844" s="134" t="s">
        <v>196</v>
      </c>
      <c r="I844" s="134" t="s">
        <v>196</v>
      </c>
      <c r="J844" s="134" t="s">
        <v>196</v>
      </c>
      <c r="K844" s="134" t="s">
        <v>196</v>
      </c>
      <c r="L844" s="134" t="s">
        <v>196</v>
      </c>
      <c r="M844" s="135" t="s">
        <v>196</v>
      </c>
      <c r="N844" s="128">
        <v>0</v>
      </c>
      <c r="O844" s="128">
        <v>0</v>
      </c>
    </row>
    <row r="845" spans="3:15" s="245" customFormat="1" ht="15" customHeight="1">
      <c r="C845" s="378"/>
      <c r="D845" s="127">
        <v>42</v>
      </c>
      <c r="E845" s="409">
        <v>45016</v>
      </c>
      <c r="F845" s="137" t="s">
        <v>196</v>
      </c>
      <c r="G845" s="134" t="s">
        <v>196</v>
      </c>
      <c r="H845" s="134" t="s">
        <v>196</v>
      </c>
      <c r="I845" s="134" t="s">
        <v>196</v>
      </c>
      <c r="J845" s="134" t="s">
        <v>196</v>
      </c>
      <c r="K845" s="134" t="s">
        <v>196</v>
      </c>
      <c r="L845" s="134" t="s">
        <v>196</v>
      </c>
      <c r="M845" s="135" t="s">
        <v>196</v>
      </c>
      <c r="N845" s="128">
        <v>0</v>
      </c>
      <c r="O845" s="128">
        <v>0</v>
      </c>
    </row>
    <row r="846" spans="3:15" s="245" customFormat="1" ht="15" customHeight="1">
      <c r="C846" s="378"/>
      <c r="D846" s="122"/>
      <c r="E846" s="407" t="s">
        <v>461</v>
      </c>
      <c r="F846" s="129"/>
      <c r="G846" s="130"/>
      <c r="H846" s="130"/>
      <c r="I846" s="130"/>
      <c r="J846" s="130"/>
      <c r="K846" s="198"/>
      <c r="L846" s="130"/>
      <c r="M846" s="131"/>
      <c r="N846" s="408"/>
      <c r="O846" s="136"/>
    </row>
    <row r="847" spans="3:15" s="245" customFormat="1" ht="15" customHeight="1">
      <c r="C847" s="378"/>
      <c r="D847" s="127">
        <v>43</v>
      </c>
      <c r="E847" s="409">
        <v>42460</v>
      </c>
      <c r="F847" s="137">
        <v>0</v>
      </c>
      <c r="G847" s="134">
        <v>0</v>
      </c>
      <c r="H847" s="134">
        <v>0</v>
      </c>
      <c r="I847" s="134">
        <v>0</v>
      </c>
      <c r="J847" s="134">
        <v>0</v>
      </c>
      <c r="K847" s="134">
        <v>0</v>
      </c>
      <c r="L847" s="134">
        <v>0</v>
      </c>
      <c r="M847" s="135">
        <v>0</v>
      </c>
      <c r="N847" s="128">
        <v>0</v>
      </c>
      <c r="O847" s="128"/>
    </row>
    <row r="848" spans="3:15" s="245" customFormat="1" ht="15" customHeight="1">
      <c r="C848" s="378"/>
      <c r="D848" s="127">
        <v>44</v>
      </c>
      <c r="E848" s="409">
        <v>42825</v>
      </c>
      <c r="F848" s="137" t="s">
        <v>196</v>
      </c>
      <c r="G848" s="134" t="s">
        <v>196</v>
      </c>
      <c r="H848" s="134" t="s">
        <v>196</v>
      </c>
      <c r="I848" s="134" t="s">
        <v>196</v>
      </c>
      <c r="J848" s="134" t="s">
        <v>196</v>
      </c>
      <c r="K848" s="134" t="s">
        <v>196</v>
      </c>
      <c r="L848" s="134" t="s">
        <v>196</v>
      </c>
      <c r="M848" s="135" t="s">
        <v>196</v>
      </c>
      <c r="N848" s="128">
        <v>0</v>
      </c>
      <c r="O848" s="128"/>
    </row>
    <row r="849" spans="3:15" s="245" customFormat="1" ht="15" customHeight="1">
      <c r="C849" s="378"/>
      <c r="D849" s="127">
        <v>45</v>
      </c>
      <c r="E849" s="409">
        <v>43190</v>
      </c>
      <c r="F849" s="137" t="s">
        <v>196</v>
      </c>
      <c r="G849" s="134" t="s">
        <v>196</v>
      </c>
      <c r="H849" s="134" t="s">
        <v>196</v>
      </c>
      <c r="I849" s="134" t="s">
        <v>196</v>
      </c>
      <c r="J849" s="134" t="s">
        <v>196</v>
      </c>
      <c r="K849" s="134" t="s">
        <v>196</v>
      </c>
      <c r="L849" s="134" t="s">
        <v>196</v>
      </c>
      <c r="M849" s="135" t="s">
        <v>196</v>
      </c>
      <c r="N849" s="128">
        <v>0</v>
      </c>
      <c r="O849" s="128"/>
    </row>
    <row r="850" spans="3:15" s="245" customFormat="1" ht="15" customHeight="1">
      <c r="C850" s="378"/>
      <c r="D850" s="127">
        <v>46</v>
      </c>
      <c r="E850" s="409">
        <v>43555</v>
      </c>
      <c r="F850" s="137" t="s">
        <v>196</v>
      </c>
      <c r="G850" s="134" t="s">
        <v>196</v>
      </c>
      <c r="H850" s="134" t="s">
        <v>196</v>
      </c>
      <c r="I850" s="134" t="s">
        <v>196</v>
      </c>
      <c r="J850" s="134" t="s">
        <v>196</v>
      </c>
      <c r="K850" s="134" t="s">
        <v>196</v>
      </c>
      <c r="L850" s="134" t="s">
        <v>196</v>
      </c>
      <c r="M850" s="135" t="s">
        <v>196</v>
      </c>
      <c r="N850" s="128">
        <v>0</v>
      </c>
      <c r="O850" s="128"/>
    </row>
    <row r="851" spans="3:15" s="245" customFormat="1" ht="15" customHeight="1">
      <c r="C851" s="378"/>
      <c r="D851" s="127">
        <v>47</v>
      </c>
      <c r="E851" s="409">
        <v>43921</v>
      </c>
      <c r="F851" s="137" t="s">
        <v>196</v>
      </c>
      <c r="G851" s="134" t="s">
        <v>196</v>
      </c>
      <c r="H851" s="134" t="s">
        <v>196</v>
      </c>
      <c r="I851" s="134" t="s">
        <v>196</v>
      </c>
      <c r="J851" s="134" t="s">
        <v>196</v>
      </c>
      <c r="K851" s="134" t="s">
        <v>196</v>
      </c>
      <c r="L851" s="134" t="s">
        <v>196</v>
      </c>
      <c r="M851" s="135" t="s">
        <v>196</v>
      </c>
      <c r="N851" s="128">
        <v>0</v>
      </c>
      <c r="O851" s="128"/>
    </row>
    <row r="852" spans="3:15" s="245" customFormat="1" ht="15" customHeight="1">
      <c r="C852" s="378"/>
      <c r="D852" s="127">
        <v>48</v>
      </c>
      <c r="E852" s="409">
        <v>44286</v>
      </c>
      <c r="F852" s="137" t="s">
        <v>196</v>
      </c>
      <c r="G852" s="134" t="s">
        <v>196</v>
      </c>
      <c r="H852" s="134" t="s">
        <v>196</v>
      </c>
      <c r="I852" s="134" t="s">
        <v>196</v>
      </c>
      <c r="J852" s="134" t="s">
        <v>196</v>
      </c>
      <c r="K852" s="134" t="s">
        <v>196</v>
      </c>
      <c r="L852" s="134" t="s">
        <v>196</v>
      </c>
      <c r="M852" s="135" t="s">
        <v>196</v>
      </c>
      <c r="N852" s="128">
        <v>0</v>
      </c>
      <c r="O852" s="128"/>
    </row>
    <row r="853" spans="3:15" s="245" customFormat="1" ht="15" customHeight="1">
      <c r="C853" s="378"/>
      <c r="D853" s="127">
        <v>49</v>
      </c>
      <c r="E853" s="409">
        <v>44651</v>
      </c>
      <c r="F853" s="137" t="s">
        <v>196</v>
      </c>
      <c r="G853" s="134" t="s">
        <v>196</v>
      </c>
      <c r="H853" s="134" t="s">
        <v>196</v>
      </c>
      <c r="I853" s="134" t="s">
        <v>196</v>
      </c>
      <c r="J853" s="134" t="s">
        <v>196</v>
      </c>
      <c r="K853" s="134" t="s">
        <v>196</v>
      </c>
      <c r="L853" s="134" t="s">
        <v>196</v>
      </c>
      <c r="M853" s="135" t="s">
        <v>196</v>
      </c>
      <c r="N853" s="128">
        <v>0</v>
      </c>
      <c r="O853" s="128"/>
    </row>
    <row r="854" spans="3:15" s="245" customFormat="1" ht="15" customHeight="1">
      <c r="C854" s="378"/>
      <c r="D854" s="127">
        <v>50</v>
      </c>
      <c r="E854" s="409">
        <v>45016</v>
      </c>
      <c r="F854" s="137" t="s">
        <v>196</v>
      </c>
      <c r="G854" s="134" t="s">
        <v>196</v>
      </c>
      <c r="H854" s="134" t="s">
        <v>196</v>
      </c>
      <c r="I854" s="134" t="s">
        <v>196</v>
      </c>
      <c r="J854" s="134" t="s">
        <v>196</v>
      </c>
      <c r="K854" s="134" t="s">
        <v>196</v>
      </c>
      <c r="L854" s="134" t="s">
        <v>196</v>
      </c>
      <c r="M854" s="135" t="s">
        <v>196</v>
      </c>
      <c r="N854" s="128">
        <v>0</v>
      </c>
      <c r="O854" s="128"/>
    </row>
    <row r="855" spans="3:15" s="245" customFormat="1" ht="15" customHeight="1">
      <c r="C855" s="378"/>
      <c r="D855" s="122"/>
      <c r="E855" s="407" t="s">
        <v>468</v>
      </c>
      <c r="F855" s="129"/>
      <c r="G855" s="130"/>
      <c r="H855" s="130"/>
      <c r="I855" s="130"/>
      <c r="J855" s="130"/>
      <c r="K855" s="198"/>
      <c r="L855" s="130"/>
      <c r="M855" s="131"/>
      <c r="N855" s="408"/>
      <c r="O855" s="136"/>
    </row>
    <row r="856" spans="3:15" s="245" customFormat="1" ht="15" customHeight="1">
      <c r="C856" s="378"/>
      <c r="D856" s="127">
        <v>51</v>
      </c>
      <c r="E856" s="406" t="s">
        <v>445</v>
      </c>
      <c r="F856" s="133">
        <v>1504.6804327248847</v>
      </c>
      <c r="G856" s="134">
        <v>1526.8515495696861</v>
      </c>
      <c r="H856" s="134">
        <v>1546.3855356947192</v>
      </c>
      <c r="I856" s="134">
        <v>1561.4914374760242</v>
      </c>
      <c r="J856" s="134">
        <v>1569.5782693398523</v>
      </c>
      <c r="K856" s="134">
        <v>1572.2124532177936</v>
      </c>
      <c r="L856" s="134">
        <v>1568.3458313766009</v>
      </c>
      <c r="M856" s="135">
        <v>1560.2807109879755</v>
      </c>
      <c r="N856" s="128">
        <v>12409.826220387537</v>
      </c>
      <c r="O856" s="128">
        <v>1551.2282775484421</v>
      </c>
    </row>
    <row r="857" spans="3:15" s="245" customFormat="1" ht="15" customHeight="1">
      <c r="C857" s="378"/>
      <c r="D857" s="127">
        <v>52</v>
      </c>
      <c r="E857" s="406" t="s">
        <v>446</v>
      </c>
      <c r="F857" s="222">
        <v>0.65</v>
      </c>
      <c r="G857" s="223">
        <v>0.65</v>
      </c>
      <c r="H857" s="223">
        <v>0.65</v>
      </c>
      <c r="I857" s="223">
        <v>0.65</v>
      </c>
      <c r="J857" s="223">
        <v>0.65</v>
      </c>
      <c r="K857" s="223">
        <v>0.65</v>
      </c>
      <c r="L857" s="223">
        <v>0.65</v>
      </c>
      <c r="M857" s="224">
        <v>0.65</v>
      </c>
      <c r="N857" s="225">
        <v>0.65</v>
      </c>
      <c r="O857" s="225">
        <v>0.65</v>
      </c>
    </row>
    <row r="858" spans="3:15" s="245" customFormat="1" ht="15" customHeight="1">
      <c r="C858" s="379"/>
      <c r="D858" s="127">
        <v>53</v>
      </c>
      <c r="E858" s="406" t="s">
        <v>431</v>
      </c>
      <c r="F858" s="133">
        <v>526.63815145370961</v>
      </c>
      <c r="G858" s="134">
        <v>534.39804234939015</v>
      </c>
      <c r="H858" s="134">
        <v>541.23493749315173</v>
      </c>
      <c r="I858" s="134">
        <v>546.5220031166084</v>
      </c>
      <c r="J858" s="134">
        <v>549.35239426894827</v>
      </c>
      <c r="K858" s="134">
        <v>550.27435862622769</v>
      </c>
      <c r="L858" s="134">
        <v>548.92104098181028</v>
      </c>
      <c r="M858" s="135">
        <v>546.09824884579132</v>
      </c>
      <c r="N858" s="128">
        <v>4343.4391771356377</v>
      </c>
      <c r="O858" s="128">
        <v>542.92989714195471</v>
      </c>
    </row>
    <row r="859" spans="3:15" s="245" customFormat="1" ht="15" customHeight="1">
      <c r="C859" s="379"/>
      <c r="D859" s="127">
        <v>54</v>
      </c>
      <c r="E859" s="406" t="s">
        <v>447</v>
      </c>
      <c r="F859" s="137">
        <v>24.940078172414964</v>
      </c>
      <c r="G859" s="134">
        <v>25.307564434117545</v>
      </c>
      <c r="H859" s="134">
        <v>25.631340254139971</v>
      </c>
      <c r="I859" s="134">
        <v>25.881720576165101</v>
      </c>
      <c r="J859" s="134">
        <v>26.015759814308051</v>
      </c>
      <c r="K859" s="134">
        <v>26.05942141208493</v>
      </c>
      <c r="L859" s="134">
        <v>25.99533215506716</v>
      </c>
      <c r="M859" s="135">
        <v>25.861652784625694</v>
      </c>
      <c r="N859" s="128">
        <v>205.69286960292342</v>
      </c>
      <c r="O859" s="128">
        <v>25.711608700365428</v>
      </c>
    </row>
    <row r="860" spans="3:15" s="245" customFormat="1" ht="15" customHeight="1" thickBot="1">
      <c r="C860" s="379"/>
      <c r="D860" s="138">
        <v>55</v>
      </c>
      <c r="E860" s="410" t="s">
        <v>677</v>
      </c>
      <c r="F860" s="254">
        <v>526.63815145370961</v>
      </c>
      <c r="G860" s="139">
        <v>534.39804234939015</v>
      </c>
      <c r="H860" s="139">
        <v>541.23493749315173</v>
      </c>
      <c r="I860" s="139">
        <v>546.5220031166084</v>
      </c>
      <c r="J860" s="139">
        <v>549.35239426894827</v>
      </c>
      <c r="K860" s="139">
        <v>550.27435862622769</v>
      </c>
      <c r="L860" s="139">
        <v>548.92104098181028</v>
      </c>
      <c r="M860" s="226">
        <v>546.09824884579132</v>
      </c>
      <c r="N860" s="253"/>
      <c r="O860" s="253">
        <v>542.92989714195471</v>
      </c>
    </row>
    <row r="861" spans="3:15" s="245" customFormat="1" ht="15" customHeight="1">
      <c r="C861" s="379"/>
      <c r="D861" s="244"/>
      <c r="E861" s="402"/>
      <c r="F861" s="155"/>
      <c r="G861" s="155"/>
      <c r="H861" s="155"/>
      <c r="I861" s="155"/>
      <c r="J861" s="155"/>
      <c r="K861" s="155"/>
      <c r="L861" s="155"/>
      <c r="M861" s="155"/>
      <c r="N861" s="155"/>
      <c r="O861" s="155"/>
    </row>
    <row r="862" spans="3:15" s="245" customFormat="1" ht="15" customHeight="1">
      <c r="C862" s="378"/>
      <c r="D862" s="244"/>
      <c r="E862" s="190"/>
      <c r="F862" s="155"/>
      <c r="G862" s="155"/>
      <c r="H862" s="155"/>
      <c r="I862" s="155"/>
      <c r="J862" s="155"/>
      <c r="K862" s="155"/>
      <c r="L862" s="155"/>
      <c r="M862" s="383"/>
      <c r="N862" s="155"/>
      <c r="O862" s="155"/>
    </row>
    <row r="863" spans="3:15" s="245" customFormat="1" ht="15" customHeight="1">
      <c r="C863" s="378"/>
      <c r="D863" s="244"/>
      <c r="E863" s="190"/>
      <c r="F863" s="155"/>
      <c r="G863" s="155"/>
      <c r="H863" s="155"/>
      <c r="I863" s="155"/>
      <c r="J863" s="155"/>
      <c r="K863" s="155"/>
      <c r="L863" s="155"/>
      <c r="M863" s="383"/>
      <c r="N863" s="155"/>
      <c r="O863" s="155"/>
    </row>
    <row r="864" spans="3:15" s="245" customFormat="1" ht="15" customHeight="1">
      <c r="C864" s="378"/>
      <c r="D864" s="244"/>
      <c r="E864" s="190"/>
      <c r="F864" s="155"/>
      <c r="G864" s="155"/>
      <c r="H864" s="155"/>
      <c r="I864" s="155"/>
      <c r="J864" s="155"/>
      <c r="K864" s="155"/>
      <c r="L864" s="155"/>
      <c r="M864" s="383"/>
      <c r="N864" s="155"/>
      <c r="O864" s="155"/>
    </row>
    <row r="865" spans="3:15" s="245" customFormat="1" ht="15" customHeight="1">
      <c r="C865" s="378"/>
      <c r="D865" s="244"/>
      <c r="E865" s="190"/>
      <c r="F865" s="378"/>
      <c r="G865" s="378"/>
      <c r="H865" s="378"/>
      <c r="I865" s="378"/>
      <c r="J865" s="378"/>
      <c r="K865" s="378"/>
      <c r="L865" s="378"/>
      <c r="M865" s="378"/>
      <c r="N865" s="378"/>
      <c r="O865" s="378"/>
    </row>
    <row r="866" spans="3:15" s="245" customFormat="1" ht="15" customHeight="1">
      <c r="C866" s="380" t="s">
        <v>815</v>
      </c>
      <c r="D866" s="380"/>
      <c r="E866" s="380"/>
      <c r="F866" s="380"/>
      <c r="G866" s="380"/>
      <c r="H866" s="380"/>
      <c r="I866" s="380"/>
      <c r="J866" s="380"/>
      <c r="K866" s="380"/>
      <c r="L866" s="380"/>
      <c r="M866" s="380"/>
      <c r="N866" s="380"/>
      <c r="O866" s="380"/>
    </row>
    <row r="867" spans="3:15" s="245" customFormat="1" ht="15" customHeight="1">
      <c r="C867" s="379"/>
      <c r="D867" s="379"/>
      <c r="E867" s="379"/>
      <c r="F867" s="379"/>
      <c r="G867" s="379"/>
      <c r="H867" s="379"/>
      <c r="I867" s="379"/>
      <c r="J867" s="379"/>
      <c r="K867" s="379"/>
      <c r="L867" s="379"/>
      <c r="M867" s="379"/>
      <c r="N867" s="379"/>
      <c r="O867" s="379"/>
    </row>
    <row r="868" spans="3:15" s="245" customFormat="1" ht="15" customHeight="1">
      <c r="C868" s="379"/>
      <c r="D868" s="376"/>
      <c r="E868" s="376"/>
      <c r="F868" s="377"/>
      <c r="G868" s="377"/>
      <c r="H868" s="377"/>
      <c r="I868" s="377"/>
      <c r="J868" s="377"/>
      <c r="K868" s="377"/>
      <c r="L868" s="377"/>
      <c r="M868" s="377"/>
      <c r="N868" s="376"/>
      <c r="O868" s="376"/>
    </row>
    <row r="869" spans="3:15" s="245" customFormat="1" ht="15" customHeight="1">
      <c r="C869" s="379"/>
      <c r="D869" s="376"/>
      <c r="E869" s="381" t="s">
        <v>56</v>
      </c>
      <c r="F869" s="381" t="s">
        <v>234</v>
      </c>
      <c r="G869" s="377"/>
      <c r="H869" s="381" t="s">
        <v>37</v>
      </c>
      <c r="I869" s="377"/>
      <c r="J869" s="377"/>
      <c r="K869" s="377"/>
      <c r="L869" s="377"/>
      <c r="M869" s="377"/>
      <c r="N869" s="376"/>
      <c r="O869" s="376"/>
    </row>
    <row r="870" spans="3:15" s="245" customFormat="1" ht="15" customHeight="1">
      <c r="C870" s="379"/>
      <c r="D870" s="118"/>
      <c r="E870" s="118" t="s">
        <v>518</v>
      </c>
      <c r="F870" s="345">
        <v>42460</v>
      </c>
      <c r="G870" s="119"/>
      <c r="H870" s="118" t="s">
        <v>851</v>
      </c>
      <c r="I870" s="119"/>
      <c r="J870" s="119"/>
      <c r="K870" s="119"/>
      <c r="L870" s="119"/>
      <c r="M870" s="119"/>
      <c r="N870" s="118"/>
      <c r="O870" s="118"/>
    </row>
    <row r="871" spans="3:15" s="245" customFormat="1" ht="15" customHeight="1" thickBot="1">
      <c r="C871" s="379"/>
      <c r="D871" s="379"/>
      <c r="E871" s="379"/>
      <c r="F871" s="430"/>
      <c r="G871" s="430"/>
      <c r="H871" s="430"/>
      <c r="I871" s="430"/>
      <c r="J871" s="430"/>
      <c r="K871" s="430"/>
      <c r="L871" s="430"/>
      <c r="M871" s="430"/>
      <c r="N871" s="379"/>
      <c r="O871" s="379"/>
    </row>
    <row r="872" spans="3:15" s="245" customFormat="1" ht="15" customHeight="1">
      <c r="C872" s="379"/>
      <c r="D872" s="120"/>
      <c r="E872" s="189" t="s">
        <v>231</v>
      </c>
      <c r="F872" s="181">
        <v>42460</v>
      </c>
      <c r="G872" s="182">
        <v>42825</v>
      </c>
      <c r="H872" s="182">
        <v>43190</v>
      </c>
      <c r="I872" s="182">
        <v>43555</v>
      </c>
      <c r="J872" s="182">
        <v>43921</v>
      </c>
      <c r="K872" s="182">
        <v>44286</v>
      </c>
      <c r="L872" s="182">
        <v>44651</v>
      </c>
      <c r="M872" s="183">
        <v>45016</v>
      </c>
      <c r="N872" s="243" t="s">
        <v>83</v>
      </c>
      <c r="O872" s="184" t="s">
        <v>84</v>
      </c>
    </row>
    <row r="873" spans="3:15" s="245" customFormat="1" ht="15" customHeight="1">
      <c r="C873" s="379"/>
      <c r="D873" s="121"/>
      <c r="E873" s="406" t="s">
        <v>235</v>
      </c>
      <c r="F873" s="185" t="s">
        <v>728</v>
      </c>
      <c r="G873" s="186" t="s">
        <v>728</v>
      </c>
      <c r="H873" s="186" t="s">
        <v>728</v>
      </c>
      <c r="I873" s="186" t="s">
        <v>728</v>
      </c>
      <c r="J873" s="186" t="s">
        <v>728</v>
      </c>
      <c r="K873" s="186" t="s">
        <v>728</v>
      </c>
      <c r="L873" s="186" t="s">
        <v>728</v>
      </c>
      <c r="M873" s="187" t="s">
        <v>728</v>
      </c>
      <c r="N873" s="188" t="s">
        <v>728</v>
      </c>
      <c r="O873" s="188" t="s">
        <v>728</v>
      </c>
    </row>
    <row r="874" spans="3:15" s="245" customFormat="1" ht="15" customHeight="1">
      <c r="C874" s="379"/>
      <c r="D874" s="122"/>
      <c r="E874" s="407" t="s">
        <v>67</v>
      </c>
      <c r="F874" s="123"/>
      <c r="G874" s="124"/>
      <c r="H874" s="124"/>
      <c r="I874" s="124"/>
      <c r="J874" s="124"/>
      <c r="K874" s="124"/>
      <c r="L874" s="124"/>
      <c r="M874" s="125"/>
      <c r="N874" s="126"/>
      <c r="O874" s="126"/>
    </row>
    <row r="875" spans="3:15" s="245" customFormat="1" ht="15" customHeight="1">
      <c r="C875" s="379"/>
      <c r="D875" s="127">
        <v>1</v>
      </c>
      <c r="E875" s="406" t="s">
        <v>209</v>
      </c>
      <c r="F875" s="133">
        <v>188.11004225816319</v>
      </c>
      <c r="G875" s="134">
        <v>194.91368248336846</v>
      </c>
      <c r="H875" s="134">
        <v>177.4335439730892</v>
      </c>
      <c r="I875" s="134">
        <v>161.91069126985568</v>
      </c>
      <c r="J875" s="134">
        <v>160.6552030508139</v>
      </c>
      <c r="K875" s="134">
        <v>162.80976973025744</v>
      </c>
      <c r="L875" s="134">
        <v>150.66802014736663</v>
      </c>
      <c r="M875" s="135">
        <v>135.67493419770148</v>
      </c>
      <c r="N875" s="128">
        <v>1332.1758871106158</v>
      </c>
      <c r="O875" s="128">
        <v>166.52198588882698</v>
      </c>
    </row>
    <row r="876" spans="3:15" s="245" customFormat="1" ht="15" customHeight="1">
      <c r="C876" s="379"/>
      <c r="D876" s="127">
        <v>2</v>
      </c>
      <c r="E876" s="406" t="s">
        <v>679</v>
      </c>
      <c r="F876" s="133">
        <v>47.02751056454079</v>
      </c>
      <c r="G876" s="134">
        <v>48.728420620842115</v>
      </c>
      <c r="H876" s="134">
        <v>44.358385993272293</v>
      </c>
      <c r="I876" s="134">
        <v>40.477672817463912</v>
      </c>
      <c r="J876" s="134">
        <v>40.16380076270346</v>
      </c>
      <c r="K876" s="134">
        <v>40.702442432564339</v>
      </c>
      <c r="L876" s="134">
        <v>37.667005036841658</v>
      </c>
      <c r="M876" s="135">
        <v>33.918733549425355</v>
      </c>
      <c r="N876" s="128">
        <v>333.04397177765395</v>
      </c>
      <c r="O876" s="128">
        <v>41.630496472206744</v>
      </c>
    </row>
    <row r="877" spans="3:15" s="245" customFormat="1" ht="15" customHeight="1">
      <c r="C877" s="379"/>
      <c r="D877" s="127">
        <v>3</v>
      </c>
      <c r="E877" s="406" t="s">
        <v>210</v>
      </c>
      <c r="F877" s="133">
        <v>235.13755282270398</v>
      </c>
      <c r="G877" s="134">
        <v>243.64210310421058</v>
      </c>
      <c r="H877" s="134">
        <v>221.79192996636149</v>
      </c>
      <c r="I877" s="134">
        <v>202.38836408731959</v>
      </c>
      <c r="J877" s="134">
        <v>200.81900381351736</v>
      </c>
      <c r="K877" s="134">
        <v>203.51221216282178</v>
      </c>
      <c r="L877" s="134">
        <v>188.33502518420829</v>
      </c>
      <c r="M877" s="135">
        <v>169.59366774712683</v>
      </c>
      <c r="N877" s="128">
        <v>1665.2198588882698</v>
      </c>
      <c r="O877" s="128">
        <v>208.15248236103372</v>
      </c>
    </row>
    <row r="878" spans="3:15" s="245" customFormat="1" ht="15" customHeight="1">
      <c r="C878" s="379"/>
      <c r="D878" s="122"/>
      <c r="E878" s="407" t="s">
        <v>15</v>
      </c>
      <c r="F878" s="123"/>
      <c r="G878" s="124"/>
      <c r="H878" s="124"/>
      <c r="I878" s="124"/>
      <c r="J878" s="124"/>
      <c r="K878" s="124"/>
      <c r="L878" s="124"/>
      <c r="M878" s="125"/>
      <c r="N878" s="126"/>
      <c r="O878" s="126"/>
    </row>
    <row r="879" spans="3:15" s="245" customFormat="1" ht="15" customHeight="1">
      <c r="C879" s="379"/>
      <c r="D879" s="127">
        <v>4</v>
      </c>
      <c r="E879" s="406" t="s">
        <v>448</v>
      </c>
      <c r="F879" s="133">
        <v>1529.2274272616387</v>
      </c>
      <c r="G879" s="134">
        <v>1584.7251451071652</v>
      </c>
      <c r="H879" s="134">
        <v>1642.5742728269836</v>
      </c>
      <c r="I879" s="134">
        <v>1679.362009696629</v>
      </c>
      <c r="J879" s="134">
        <v>1697.8297632604565</v>
      </c>
      <c r="K879" s="134">
        <v>1715.594110746948</v>
      </c>
      <c r="L879" s="134">
        <v>1735.3864586321586</v>
      </c>
      <c r="M879" s="135">
        <v>1754.3443385505518</v>
      </c>
      <c r="N879" s="128"/>
      <c r="O879" s="128">
        <v>1667.3804407603163</v>
      </c>
    </row>
    <row r="880" spans="3:15" s="245" customFormat="1" ht="15" customHeight="1">
      <c r="C880" s="379"/>
      <c r="D880" s="127">
        <v>5</v>
      </c>
      <c r="E880" s="406" t="s">
        <v>119</v>
      </c>
      <c r="F880" s="133">
        <v>0</v>
      </c>
      <c r="G880" s="134">
        <v>0</v>
      </c>
      <c r="H880" s="134">
        <v>0</v>
      </c>
      <c r="I880" s="134">
        <v>0</v>
      </c>
      <c r="J880" s="134">
        <v>0</v>
      </c>
      <c r="K880" s="134">
        <v>0</v>
      </c>
      <c r="L880" s="134">
        <v>0</v>
      </c>
      <c r="M880" s="135">
        <v>0</v>
      </c>
      <c r="N880" s="128">
        <v>0</v>
      </c>
      <c r="O880" s="128">
        <v>0</v>
      </c>
    </row>
    <row r="881" spans="3:15" s="245" customFormat="1" ht="15" customHeight="1">
      <c r="C881" s="379"/>
      <c r="D881" s="127">
        <v>6</v>
      </c>
      <c r="E881" s="406" t="s">
        <v>449</v>
      </c>
      <c r="F881" s="133">
        <v>1529.2274272616387</v>
      </c>
      <c r="G881" s="134">
        <v>1584.7251451071652</v>
      </c>
      <c r="H881" s="134">
        <v>1642.5742728269836</v>
      </c>
      <c r="I881" s="134">
        <v>1679.362009696629</v>
      </c>
      <c r="J881" s="134">
        <v>1697.8297632604565</v>
      </c>
      <c r="K881" s="134">
        <v>1715.594110746948</v>
      </c>
      <c r="L881" s="134">
        <v>1735.3864586321586</v>
      </c>
      <c r="M881" s="135">
        <v>1754.3443385505518</v>
      </c>
      <c r="N881" s="128"/>
      <c r="O881" s="128">
        <v>1667.3804407603163</v>
      </c>
    </row>
    <row r="882" spans="3:15" s="245" customFormat="1" ht="15" customHeight="1">
      <c r="C882" s="379"/>
      <c r="D882" s="127">
        <v>7</v>
      </c>
      <c r="E882" s="406" t="s">
        <v>211</v>
      </c>
      <c r="F882" s="133">
        <v>188.11004225816319</v>
      </c>
      <c r="G882" s="134">
        <v>194.91368248336846</v>
      </c>
      <c r="H882" s="134">
        <v>177.4335439730892</v>
      </c>
      <c r="I882" s="134">
        <v>161.91069126985568</v>
      </c>
      <c r="J882" s="134">
        <v>160.6552030508139</v>
      </c>
      <c r="K882" s="134">
        <v>162.80976973025744</v>
      </c>
      <c r="L882" s="134">
        <v>150.66802014736663</v>
      </c>
      <c r="M882" s="135">
        <v>135.67493419770148</v>
      </c>
      <c r="N882" s="128">
        <v>1332.1758871106158</v>
      </c>
      <c r="O882" s="128">
        <v>166.52198588882698</v>
      </c>
    </row>
    <row r="883" spans="3:15" s="245" customFormat="1" ht="15" customHeight="1">
      <c r="C883" s="379"/>
      <c r="D883" s="127">
        <v>8</v>
      </c>
      <c r="E883" s="406" t="s">
        <v>0</v>
      </c>
      <c r="F883" s="133">
        <v>-132.61232441263684</v>
      </c>
      <c r="G883" s="134">
        <v>-137.06455476355009</v>
      </c>
      <c r="H883" s="134">
        <v>-140.64580710344379</v>
      </c>
      <c r="I883" s="134">
        <v>-143.44293770602826</v>
      </c>
      <c r="J883" s="134">
        <v>-142.89085556432238</v>
      </c>
      <c r="K883" s="134">
        <v>-143.01742184504673</v>
      </c>
      <c r="L883" s="134">
        <v>-131.71014022897347</v>
      </c>
      <c r="M883" s="135">
        <v>-131.57913145873385</v>
      </c>
      <c r="N883" s="128">
        <v>-1102.9631730827355</v>
      </c>
      <c r="O883" s="128">
        <v>-137.87039663534193</v>
      </c>
    </row>
    <row r="884" spans="3:15" s="245" customFormat="1" ht="15" customHeight="1">
      <c r="C884" s="379"/>
      <c r="D884" s="127">
        <v>9</v>
      </c>
      <c r="E884" s="406" t="s">
        <v>16</v>
      </c>
      <c r="F884" s="133">
        <v>1584.7251451071652</v>
      </c>
      <c r="G884" s="134">
        <v>1642.5742728269836</v>
      </c>
      <c r="H884" s="134">
        <v>1679.362009696629</v>
      </c>
      <c r="I884" s="134">
        <v>1697.8297632604565</v>
      </c>
      <c r="J884" s="134">
        <v>1715.594110746948</v>
      </c>
      <c r="K884" s="134">
        <v>1735.3864586321586</v>
      </c>
      <c r="L884" s="134">
        <v>1754.3443385505518</v>
      </c>
      <c r="M884" s="135">
        <v>1758.4401412895195</v>
      </c>
      <c r="N884" s="128"/>
      <c r="O884" s="128">
        <v>1696.0320300138014</v>
      </c>
    </row>
    <row r="885" spans="3:15" s="245" customFormat="1" ht="15" customHeight="1">
      <c r="C885" s="379"/>
      <c r="D885" s="122"/>
      <c r="E885" s="407" t="s">
        <v>296</v>
      </c>
      <c r="F885" s="129"/>
      <c r="G885" s="130"/>
      <c r="H885" s="130"/>
      <c r="I885" s="130"/>
      <c r="J885" s="130"/>
      <c r="K885" s="130"/>
      <c r="L885" s="130"/>
      <c r="M885" s="131"/>
      <c r="N885" s="132"/>
      <c r="O885" s="132"/>
    </row>
    <row r="886" spans="3:15" s="245" customFormat="1" ht="15" customHeight="1">
      <c r="C886" s="379"/>
      <c r="D886" s="127">
        <v>10</v>
      </c>
      <c r="E886" s="406" t="s">
        <v>97</v>
      </c>
      <c r="F886" s="133">
        <v>47.02751056454079</v>
      </c>
      <c r="G886" s="134">
        <v>48.728420620842115</v>
      </c>
      <c r="H886" s="134">
        <v>44.358385993272293</v>
      </c>
      <c r="I886" s="134">
        <v>40.477672817463912</v>
      </c>
      <c r="J886" s="134">
        <v>40.16380076270346</v>
      </c>
      <c r="K886" s="134">
        <v>40.702442432564339</v>
      </c>
      <c r="L886" s="134">
        <v>37.667005036841658</v>
      </c>
      <c r="M886" s="135">
        <v>33.918733549425355</v>
      </c>
      <c r="N886" s="128">
        <v>333.04397177765395</v>
      </c>
      <c r="O886" s="128">
        <v>41.630496472206744</v>
      </c>
    </row>
    <row r="887" spans="3:15" s="245" customFormat="1" ht="15" customHeight="1">
      <c r="C887" s="379"/>
      <c r="D887" s="127">
        <v>11</v>
      </c>
      <c r="E887" s="406" t="s">
        <v>600</v>
      </c>
      <c r="F887" s="133">
        <v>33.938051968218502</v>
      </c>
      <c r="G887" s="134">
        <v>33.692470646804928</v>
      </c>
      <c r="H887" s="134">
        <v>33.345855529766744</v>
      </c>
      <c r="I887" s="134">
        <v>32.728778289306526</v>
      </c>
      <c r="J887" s="134">
        <v>32.195680338554553</v>
      </c>
      <c r="K887" s="134">
        <v>32.522643539712476</v>
      </c>
      <c r="L887" s="134">
        <v>32.020892057406414</v>
      </c>
      <c r="M887" s="135">
        <v>31.816622975100341</v>
      </c>
      <c r="N887" s="128">
        <v>262.26099534487048</v>
      </c>
      <c r="O887" s="128">
        <v>32.78262441810881</v>
      </c>
    </row>
    <row r="888" spans="3:15" s="245" customFormat="1" ht="15" customHeight="1">
      <c r="C888" s="379"/>
      <c r="D888" s="127">
        <v>12</v>
      </c>
      <c r="E888" s="406" t="s">
        <v>65</v>
      </c>
      <c r="F888" s="133">
        <v>132.61232441263684</v>
      </c>
      <c r="G888" s="134">
        <v>137.06455476355009</v>
      </c>
      <c r="H888" s="134">
        <v>140.64580710344379</v>
      </c>
      <c r="I888" s="134">
        <v>143.44293770602826</v>
      </c>
      <c r="J888" s="134">
        <v>142.89085556432238</v>
      </c>
      <c r="K888" s="134">
        <v>143.01742184504673</v>
      </c>
      <c r="L888" s="134">
        <v>131.71014022897347</v>
      </c>
      <c r="M888" s="135">
        <v>131.57913145873385</v>
      </c>
      <c r="N888" s="128">
        <v>1102.9631730827355</v>
      </c>
      <c r="O888" s="128">
        <v>137.87039663534193</v>
      </c>
    </row>
    <row r="889" spans="3:15" s="245" customFormat="1" ht="15" customHeight="1">
      <c r="C889" s="379"/>
      <c r="D889" s="127">
        <v>13</v>
      </c>
      <c r="E889" s="406" t="s">
        <v>18</v>
      </c>
      <c r="F889" s="133">
        <v>57.425176243899045</v>
      </c>
      <c r="G889" s="134">
        <v>59.515320992315139</v>
      </c>
      <c r="H889" s="134">
        <v>61.268281621450313</v>
      </c>
      <c r="I889" s="134">
        <v>62.293829146189061</v>
      </c>
      <c r="J889" s="134">
        <v>62.962453322952065</v>
      </c>
      <c r="K889" s="134">
        <v>63.654583514323136</v>
      </c>
      <c r="L889" s="134">
        <v>64.369704947579905</v>
      </c>
      <c r="M889" s="135">
        <v>64.800039327840707</v>
      </c>
      <c r="N889" s="128">
        <v>496.28938911654939</v>
      </c>
      <c r="O889" s="128">
        <v>62.036173639568673</v>
      </c>
    </row>
    <row r="890" spans="3:15" s="245" customFormat="1" ht="15" customHeight="1">
      <c r="C890" s="379"/>
      <c r="D890" s="127">
        <v>14</v>
      </c>
      <c r="E890" s="406" t="s">
        <v>102</v>
      </c>
      <c r="F890" s="133">
        <v>0</v>
      </c>
      <c r="G890" s="134">
        <v>0</v>
      </c>
      <c r="H890" s="134">
        <v>0</v>
      </c>
      <c r="I890" s="134">
        <v>0</v>
      </c>
      <c r="J890" s="134">
        <v>0</v>
      </c>
      <c r="K890" s="134">
        <v>0</v>
      </c>
      <c r="L890" s="134">
        <v>0</v>
      </c>
      <c r="M890" s="135">
        <v>0</v>
      </c>
      <c r="N890" s="128">
        <v>0</v>
      </c>
      <c r="O890" s="128">
        <v>0</v>
      </c>
    </row>
    <row r="891" spans="3:15" s="245" customFormat="1" ht="15" customHeight="1">
      <c r="C891" s="379"/>
      <c r="D891" s="127">
        <v>15</v>
      </c>
      <c r="E891" s="406" t="s">
        <v>22</v>
      </c>
      <c r="F891" s="133">
        <v>-2.1317145269512103</v>
      </c>
      <c r="G891" s="134">
        <v>-2.193973633026753</v>
      </c>
      <c r="H891" s="134">
        <v>-1.9869010217130036</v>
      </c>
      <c r="I891" s="134">
        <v>-1.8037552784318813</v>
      </c>
      <c r="J891" s="134">
        <v>-1.7767942495618843</v>
      </c>
      <c r="K891" s="134">
        <v>-1.7901472583807538</v>
      </c>
      <c r="L891" s="134">
        <v>-1.6444113686346382</v>
      </c>
      <c r="M891" s="135">
        <v>-1.467384504290556</v>
      </c>
      <c r="N891" s="128">
        <v>-14.795081840990683</v>
      </c>
      <c r="O891" s="128">
        <v>-1.8493852301238354</v>
      </c>
    </row>
    <row r="892" spans="3:15" s="245" customFormat="1" ht="15" customHeight="1">
      <c r="C892" s="379"/>
      <c r="D892" s="127">
        <v>16</v>
      </c>
      <c r="E892" s="406" t="s">
        <v>215</v>
      </c>
      <c r="F892" s="133">
        <v>30.921448413078572</v>
      </c>
      <c r="G892" s="134">
        <v>29.360222242086579</v>
      </c>
      <c r="H892" s="134">
        <v>28.856705912837104</v>
      </c>
      <c r="I892" s="134">
        <v>29.080330890727765</v>
      </c>
      <c r="J892" s="134">
        <v>29.735887068632078</v>
      </c>
      <c r="K892" s="134">
        <v>27.921682952654969</v>
      </c>
      <c r="L892" s="134">
        <v>41.48608963026448</v>
      </c>
      <c r="M892" s="135">
        <v>44.259450464488651</v>
      </c>
      <c r="N892" s="128">
        <v>261.6218175747702</v>
      </c>
      <c r="O892" s="128">
        <v>32.702727196846276</v>
      </c>
    </row>
    <row r="893" spans="3:15" s="245" customFormat="1" ht="15" customHeight="1">
      <c r="C893" s="379"/>
      <c r="D893" s="127">
        <v>17</v>
      </c>
      <c r="E893" s="406" t="s">
        <v>6</v>
      </c>
      <c r="F893" s="133">
        <v>4.8509117640566206</v>
      </c>
      <c r="G893" s="134">
        <v>4.6843991859431222</v>
      </c>
      <c r="H893" s="134">
        <v>4.3671655423997331</v>
      </c>
      <c r="I893" s="134">
        <v>4.6390118265802895</v>
      </c>
      <c r="J893" s="134">
        <v>4.689456653383302</v>
      </c>
      <c r="K893" s="134">
        <v>4.8329019513323184</v>
      </c>
      <c r="L893" s="134">
        <v>5.2599771322029492</v>
      </c>
      <c r="M893" s="135">
        <v>5.9575543195597422</v>
      </c>
      <c r="N893" s="128">
        <v>39.281378375458075</v>
      </c>
      <c r="O893" s="128">
        <v>4.9101722969322594</v>
      </c>
    </row>
    <row r="894" spans="3:15" s="245" customFormat="1" ht="15" customHeight="1">
      <c r="C894" s="379"/>
      <c r="D894" s="122"/>
      <c r="E894" s="407" t="s">
        <v>164</v>
      </c>
      <c r="F894" s="129"/>
      <c r="G894" s="130"/>
      <c r="H894" s="130"/>
      <c r="I894" s="130"/>
      <c r="J894" s="130"/>
      <c r="K894" s="130"/>
      <c r="L894" s="130"/>
      <c r="M894" s="131"/>
      <c r="N894" s="132"/>
      <c r="O894" s="132"/>
    </row>
    <row r="895" spans="3:15" s="245" customFormat="1" ht="15" customHeight="1">
      <c r="C895" s="379"/>
      <c r="D895" s="127">
        <v>18</v>
      </c>
      <c r="E895" s="406" t="s">
        <v>97</v>
      </c>
      <c r="F895" s="133">
        <v>47.02751056454079</v>
      </c>
      <c r="G895" s="134">
        <v>48.728420620842115</v>
      </c>
      <c r="H895" s="134">
        <v>44.358385993272293</v>
      </c>
      <c r="I895" s="134">
        <v>40.477672817463912</v>
      </c>
      <c r="J895" s="134">
        <v>40.16380076270346</v>
      </c>
      <c r="K895" s="134">
        <v>40.702442432564339</v>
      </c>
      <c r="L895" s="134">
        <v>37.667005036841658</v>
      </c>
      <c r="M895" s="135">
        <v>33.918733549425355</v>
      </c>
      <c r="N895" s="128">
        <v>333.04397177765395</v>
      </c>
      <c r="O895" s="128">
        <v>41.630496472206744</v>
      </c>
    </row>
    <row r="896" spans="3:15" s="245" customFormat="1" ht="15" customHeight="1">
      <c r="C896" s="379"/>
      <c r="D896" s="127">
        <v>19</v>
      </c>
      <c r="E896" s="406" t="s">
        <v>600</v>
      </c>
      <c r="F896" s="133">
        <v>33.938051968218502</v>
      </c>
      <c r="G896" s="134">
        <v>33.692470646804928</v>
      </c>
      <c r="H896" s="134">
        <v>33.345855529766744</v>
      </c>
      <c r="I896" s="134">
        <v>32.728778289306526</v>
      </c>
      <c r="J896" s="134">
        <v>32.195680338554553</v>
      </c>
      <c r="K896" s="134">
        <v>32.522643539712476</v>
      </c>
      <c r="L896" s="134">
        <v>32.020892057406414</v>
      </c>
      <c r="M896" s="135">
        <v>31.816622975100341</v>
      </c>
      <c r="N896" s="128">
        <v>262.26099534487048</v>
      </c>
      <c r="O896" s="128">
        <v>32.78262441810881</v>
      </c>
    </row>
    <row r="897" spans="3:15" s="245" customFormat="1" ht="15" customHeight="1">
      <c r="C897" s="379"/>
      <c r="D897" s="127">
        <v>20</v>
      </c>
      <c r="E897" s="406" t="s">
        <v>65</v>
      </c>
      <c r="F897" s="133">
        <v>132.61232441263684</v>
      </c>
      <c r="G897" s="134">
        <v>137.06455476355009</v>
      </c>
      <c r="H897" s="134">
        <v>140.64580710344379</v>
      </c>
      <c r="I897" s="134">
        <v>143.44293770602826</v>
      </c>
      <c r="J897" s="134">
        <v>142.89085556432238</v>
      </c>
      <c r="K897" s="134">
        <v>143.01742184504673</v>
      </c>
      <c r="L897" s="134">
        <v>131.71014022897347</v>
      </c>
      <c r="M897" s="135">
        <v>131.57913145873385</v>
      </c>
      <c r="N897" s="128">
        <v>1102.9631730827355</v>
      </c>
      <c r="O897" s="128">
        <v>137.87039663534193</v>
      </c>
    </row>
    <row r="898" spans="3:15" s="245" customFormat="1" ht="15" customHeight="1">
      <c r="C898" s="379"/>
      <c r="D898" s="127">
        <v>21</v>
      </c>
      <c r="E898" s="406" t="s">
        <v>18</v>
      </c>
      <c r="F898" s="133">
        <v>57.425176243899045</v>
      </c>
      <c r="G898" s="134">
        <v>59.515320992315139</v>
      </c>
      <c r="H898" s="134">
        <v>61.268281621450313</v>
      </c>
      <c r="I898" s="134">
        <v>62.293829146189061</v>
      </c>
      <c r="J898" s="134">
        <v>62.962453322952065</v>
      </c>
      <c r="K898" s="134">
        <v>63.654583514323136</v>
      </c>
      <c r="L898" s="134">
        <v>64.369704947579905</v>
      </c>
      <c r="M898" s="135">
        <v>64.800039327840707</v>
      </c>
      <c r="N898" s="128">
        <v>496.28938911654939</v>
      </c>
      <c r="O898" s="128">
        <v>62.036173639568673</v>
      </c>
    </row>
    <row r="899" spans="3:15" s="245" customFormat="1" ht="15" customHeight="1">
      <c r="C899" s="379"/>
      <c r="D899" s="127">
        <v>22</v>
      </c>
      <c r="E899" s="406" t="s">
        <v>102</v>
      </c>
      <c r="F899" s="133">
        <v>0</v>
      </c>
      <c r="G899" s="134">
        <v>0</v>
      </c>
      <c r="H899" s="134">
        <v>0</v>
      </c>
      <c r="I899" s="134">
        <v>0</v>
      </c>
      <c r="J899" s="134">
        <v>0</v>
      </c>
      <c r="K899" s="134">
        <v>0</v>
      </c>
      <c r="L899" s="134">
        <v>0</v>
      </c>
      <c r="M899" s="135">
        <v>0</v>
      </c>
      <c r="N899" s="128">
        <v>0</v>
      </c>
      <c r="O899" s="128">
        <v>0</v>
      </c>
    </row>
    <row r="900" spans="3:15" s="245" customFormat="1" ht="15" customHeight="1">
      <c r="C900" s="379"/>
      <c r="D900" s="127">
        <v>23</v>
      </c>
      <c r="E900" s="406" t="s">
        <v>22</v>
      </c>
      <c r="F900" s="133">
        <v>-2.1317145269512103</v>
      </c>
      <c r="G900" s="134">
        <v>-2.193973633026753</v>
      </c>
      <c r="H900" s="134">
        <v>-1.9869010217130036</v>
      </c>
      <c r="I900" s="134">
        <v>-1.8037552784318813</v>
      </c>
      <c r="J900" s="134">
        <v>-1.7767942495618843</v>
      </c>
      <c r="K900" s="134">
        <v>-1.7901472583807538</v>
      </c>
      <c r="L900" s="134">
        <v>-1.6444113686346382</v>
      </c>
      <c r="M900" s="135">
        <v>-1.467384504290556</v>
      </c>
      <c r="N900" s="128">
        <v>-14.795081840990683</v>
      </c>
      <c r="O900" s="128">
        <v>-1.8493852301238354</v>
      </c>
    </row>
    <row r="901" spans="3:15" s="245" customFormat="1" ht="15" customHeight="1">
      <c r="C901" s="379"/>
      <c r="D901" s="127">
        <v>24</v>
      </c>
      <c r="E901" s="406" t="s">
        <v>215</v>
      </c>
      <c r="F901" s="133">
        <v>30.921448413078572</v>
      </c>
      <c r="G901" s="134">
        <v>29.360222242086579</v>
      </c>
      <c r="H901" s="134">
        <v>28.856705912837104</v>
      </c>
      <c r="I901" s="134">
        <v>29.080330890727765</v>
      </c>
      <c r="J901" s="134">
        <v>29.735887068632078</v>
      </c>
      <c r="K901" s="134">
        <v>27.921682952654969</v>
      </c>
      <c r="L901" s="134">
        <v>41.48608963026448</v>
      </c>
      <c r="M901" s="135">
        <v>44.259450464488651</v>
      </c>
      <c r="N901" s="128">
        <v>261.6218175747702</v>
      </c>
      <c r="O901" s="128">
        <v>32.702727196846276</v>
      </c>
    </row>
    <row r="902" spans="3:15" s="245" customFormat="1" ht="15" customHeight="1">
      <c r="C902" s="379"/>
      <c r="D902" s="127">
        <v>25</v>
      </c>
      <c r="E902" s="406" t="s">
        <v>6</v>
      </c>
      <c r="F902" s="133">
        <v>4.8509117640566206</v>
      </c>
      <c r="G902" s="134">
        <v>4.6843991859431222</v>
      </c>
      <c r="H902" s="134">
        <v>4.3671655423997331</v>
      </c>
      <c r="I902" s="134">
        <v>4.6390118265802895</v>
      </c>
      <c r="J902" s="134">
        <v>4.689456653383302</v>
      </c>
      <c r="K902" s="134">
        <v>4.8329019513323184</v>
      </c>
      <c r="L902" s="134">
        <v>5.2599771322029492</v>
      </c>
      <c r="M902" s="135">
        <v>5.9575543195597422</v>
      </c>
      <c r="N902" s="128">
        <v>39.281378375458075</v>
      </c>
      <c r="O902" s="128">
        <v>4.9101722969322594</v>
      </c>
    </row>
    <row r="903" spans="3:15" s="245" customFormat="1" ht="15" customHeight="1">
      <c r="C903" s="379"/>
      <c r="D903" s="122"/>
      <c r="E903" s="407" t="s">
        <v>19</v>
      </c>
      <c r="F903" s="129"/>
      <c r="G903" s="130"/>
      <c r="H903" s="130"/>
      <c r="I903" s="130"/>
      <c r="J903" s="130"/>
      <c r="K903" s="130"/>
      <c r="L903" s="130"/>
      <c r="M903" s="131"/>
      <c r="N903" s="408"/>
      <c r="O903" s="136"/>
    </row>
    <row r="904" spans="3:15" s="245" customFormat="1" ht="15" customHeight="1">
      <c r="C904" s="379"/>
      <c r="D904" s="127">
        <v>26</v>
      </c>
      <c r="E904" s="406" t="s">
        <v>460</v>
      </c>
      <c r="F904" s="133">
        <v>304.64370883947913</v>
      </c>
      <c r="G904" s="134">
        <v>310.8514148185152</v>
      </c>
      <c r="H904" s="134">
        <v>310.85530068145704</v>
      </c>
      <c r="I904" s="134">
        <v>310.85880539786393</v>
      </c>
      <c r="J904" s="134">
        <v>310.8613394609859</v>
      </c>
      <c r="K904" s="134">
        <v>310.86152897725322</v>
      </c>
      <c r="L904" s="134">
        <v>310.86939766463428</v>
      </c>
      <c r="M904" s="135">
        <v>310.86414759085807</v>
      </c>
      <c r="N904" s="128">
        <v>2480.6656434310466</v>
      </c>
      <c r="O904" s="128">
        <v>310.08320542888083</v>
      </c>
    </row>
    <row r="905" spans="3:15" s="245" customFormat="1" ht="15" customHeight="1">
      <c r="C905" s="379"/>
      <c r="D905" s="127">
        <v>27</v>
      </c>
      <c r="E905" s="406" t="s">
        <v>58</v>
      </c>
      <c r="F905" s="133">
        <v>0</v>
      </c>
      <c r="G905" s="134">
        <v>0</v>
      </c>
      <c r="H905" s="134">
        <v>0</v>
      </c>
      <c r="I905" s="134">
        <v>0</v>
      </c>
      <c r="J905" s="134">
        <v>0</v>
      </c>
      <c r="K905" s="134">
        <v>0</v>
      </c>
      <c r="L905" s="134">
        <v>0</v>
      </c>
      <c r="M905" s="135">
        <v>0</v>
      </c>
      <c r="N905" s="128">
        <v>0</v>
      </c>
      <c r="O905" s="128">
        <v>0</v>
      </c>
    </row>
    <row r="906" spans="3:15" s="245" customFormat="1" ht="15" customHeight="1">
      <c r="C906" s="379"/>
      <c r="D906" s="127">
        <v>28</v>
      </c>
      <c r="E906" s="406" t="s">
        <v>43</v>
      </c>
      <c r="F906" s="137">
        <v>304.64370883947913</v>
      </c>
      <c r="G906" s="134">
        <v>310.8514148185152</v>
      </c>
      <c r="H906" s="134">
        <v>310.85530068145704</v>
      </c>
      <c r="I906" s="134">
        <v>310.85880539786393</v>
      </c>
      <c r="J906" s="134">
        <v>310.8613394609859</v>
      </c>
      <c r="K906" s="134">
        <v>310.86152897725322</v>
      </c>
      <c r="L906" s="134">
        <v>310.86939766463428</v>
      </c>
      <c r="M906" s="135">
        <v>310.86414759085807</v>
      </c>
      <c r="N906" s="128">
        <v>2480.6656434310466</v>
      </c>
      <c r="O906" s="128">
        <v>310.08320542888083</v>
      </c>
    </row>
    <row r="907" spans="3:15" s="245" customFormat="1" ht="15" customHeight="1">
      <c r="C907" s="379"/>
      <c r="D907" s="127">
        <v>29</v>
      </c>
      <c r="E907" s="406" t="s">
        <v>739</v>
      </c>
      <c r="F907" s="137">
        <v>7.9776794956273989</v>
      </c>
      <c r="G907" s="134">
        <v>6.1388745167982437</v>
      </c>
      <c r="H907" s="134">
        <v>5.5182722796010273</v>
      </c>
      <c r="I907" s="134">
        <v>4.4304550492775716</v>
      </c>
      <c r="J907" s="134">
        <v>3.0010654319912708</v>
      </c>
      <c r="K907" s="134">
        <v>2.5130194467324047</v>
      </c>
      <c r="L907" s="134">
        <v>2.3304449711910102</v>
      </c>
      <c r="M907" s="135">
        <v>2.0343755482945962</v>
      </c>
      <c r="N907" s="128">
        <v>33.944186739513526</v>
      </c>
      <c r="O907" s="128">
        <v>4.2430233424391908</v>
      </c>
    </row>
    <row r="908" spans="3:15" s="245" customFormat="1" ht="15" customHeight="1">
      <c r="C908" s="379"/>
      <c r="D908" s="127">
        <v>30</v>
      </c>
      <c r="E908" s="406" t="s">
        <v>770</v>
      </c>
      <c r="F908" s="431">
        <v>12.071463577676234</v>
      </c>
      <c r="G908" s="137">
        <v>-21.259830666137695</v>
      </c>
      <c r="H908" s="137">
        <v>0</v>
      </c>
      <c r="I908" s="137">
        <v>0</v>
      </c>
      <c r="J908" s="137">
        <v>0</v>
      </c>
      <c r="K908" s="137">
        <v>0</v>
      </c>
      <c r="L908" s="137">
        <v>0</v>
      </c>
      <c r="M908" s="137">
        <v>0</v>
      </c>
      <c r="N908" s="128">
        <v>-9.1883670884614617</v>
      </c>
      <c r="O908" s="128">
        <v>-1.1485458860576827</v>
      </c>
    </row>
    <row r="909" spans="3:15" s="245" customFormat="1" ht="15" customHeight="1">
      <c r="C909" s="379"/>
      <c r="D909" s="127">
        <v>31</v>
      </c>
      <c r="E909" s="406" t="s">
        <v>764</v>
      </c>
      <c r="F909" s="137">
        <v>0.72</v>
      </c>
      <c r="G909" s="134">
        <v>0.72</v>
      </c>
      <c r="H909" s="134">
        <v>0.72</v>
      </c>
      <c r="I909" s="134">
        <v>0.72</v>
      </c>
      <c r="J909" s="134">
        <v>0.72</v>
      </c>
      <c r="K909" s="134">
        <v>0.72</v>
      </c>
      <c r="L909" s="134">
        <v>0.72</v>
      </c>
      <c r="M909" s="135">
        <v>0.72</v>
      </c>
      <c r="N909" s="128">
        <v>5.7599999999999989</v>
      </c>
      <c r="O909" s="128">
        <v>0.71999999999999986</v>
      </c>
    </row>
    <row r="910" spans="3:15" s="245" customFormat="1" ht="15" customHeight="1">
      <c r="C910" s="379"/>
      <c r="D910" s="127">
        <v>32</v>
      </c>
      <c r="E910" s="406" t="s">
        <v>9</v>
      </c>
      <c r="F910" s="137">
        <v>325.4128519127828</v>
      </c>
      <c r="G910" s="134">
        <v>296.45045866917576</v>
      </c>
      <c r="H910" s="134">
        <v>317.0935729610581</v>
      </c>
      <c r="I910" s="134">
        <v>316.00926044714151</v>
      </c>
      <c r="J910" s="134">
        <v>314.58240489297719</v>
      </c>
      <c r="K910" s="134">
        <v>314.09454842398566</v>
      </c>
      <c r="L910" s="134">
        <v>313.91984263582532</v>
      </c>
      <c r="M910" s="367">
        <v>313.61852313915267</v>
      </c>
      <c r="N910" s="128">
        <v>2511.1814630820991</v>
      </c>
      <c r="O910" s="128">
        <v>313.89768288526238</v>
      </c>
    </row>
    <row r="911" spans="3:15" s="245" customFormat="1" ht="15" customHeight="1">
      <c r="C911" s="379"/>
      <c r="D911" s="122"/>
      <c r="E911" s="407" t="s">
        <v>173</v>
      </c>
      <c r="F911" s="129"/>
      <c r="G911" s="130"/>
      <c r="H911" s="130"/>
      <c r="I911" s="130"/>
      <c r="J911" s="130"/>
      <c r="K911" s="198"/>
      <c r="L911" s="130"/>
      <c r="M911" s="131"/>
      <c r="N911" s="408"/>
      <c r="O911" s="136"/>
    </row>
    <row r="912" spans="3:15" s="245" customFormat="1" ht="15" customHeight="1">
      <c r="C912" s="379"/>
      <c r="D912" s="127">
        <v>33</v>
      </c>
      <c r="E912" s="406" t="s">
        <v>173</v>
      </c>
      <c r="F912" s="133">
        <v>304.64370883947913</v>
      </c>
      <c r="G912" s="134">
        <v>310.8514148185152</v>
      </c>
      <c r="H912" s="134">
        <v>310.85530068145704</v>
      </c>
      <c r="I912" s="134">
        <v>310.85880539786393</v>
      </c>
      <c r="J912" s="134">
        <v>310.8613394609859</v>
      </c>
      <c r="K912" s="134">
        <v>310.86152897725322</v>
      </c>
      <c r="L912" s="134">
        <v>310.86939766463428</v>
      </c>
      <c r="M912" s="135">
        <v>310.86414759085807</v>
      </c>
      <c r="N912" s="128">
        <v>2480.6656434310466</v>
      </c>
      <c r="O912" s="128">
        <v>310.08320542888083</v>
      </c>
    </row>
    <row r="913" spans="3:15" s="245" customFormat="1" ht="15" customHeight="1">
      <c r="C913" s="379"/>
      <c r="D913" s="127">
        <v>34</v>
      </c>
      <c r="E913" s="406" t="s">
        <v>187</v>
      </c>
      <c r="F913" s="133">
        <v>0</v>
      </c>
      <c r="G913" s="134">
        <v>0</v>
      </c>
      <c r="H913" s="134">
        <v>0</v>
      </c>
      <c r="I913" s="134">
        <v>0</v>
      </c>
      <c r="J913" s="134">
        <v>0</v>
      </c>
      <c r="K913" s="134">
        <v>0</v>
      </c>
      <c r="L913" s="134">
        <v>0</v>
      </c>
      <c r="M913" s="135">
        <v>0</v>
      </c>
      <c r="N913" s="128">
        <v>0</v>
      </c>
      <c r="O913" s="128">
        <v>0</v>
      </c>
    </row>
    <row r="914" spans="3:15" s="245" customFormat="1" ht="15" customHeight="1">
      <c r="C914" s="378"/>
      <c r="D914" s="122"/>
      <c r="E914" s="407" t="s">
        <v>297</v>
      </c>
      <c r="F914" s="129"/>
      <c r="G914" s="130"/>
      <c r="H914" s="130"/>
      <c r="I914" s="130"/>
      <c r="J914" s="130"/>
      <c r="K914" s="198"/>
      <c r="L914" s="130"/>
      <c r="M914" s="131"/>
      <c r="N914" s="408"/>
      <c r="O914" s="136"/>
    </row>
    <row r="915" spans="3:15" s="245" customFormat="1" ht="15" customHeight="1">
      <c r="C915" s="378"/>
      <c r="D915" s="127">
        <v>35</v>
      </c>
      <c r="E915" s="409">
        <v>42460</v>
      </c>
      <c r="F915" s="137">
        <v>304.64370883947913</v>
      </c>
      <c r="G915" s="134">
        <v>310.8514148185152</v>
      </c>
      <c r="H915" s="134">
        <v>310.85530068145704</v>
      </c>
      <c r="I915" s="134">
        <v>310.85880539786393</v>
      </c>
      <c r="J915" s="134">
        <v>310.8613394609859</v>
      </c>
      <c r="K915" s="134">
        <v>310.86152897725322</v>
      </c>
      <c r="L915" s="134">
        <v>310.86939766463428</v>
      </c>
      <c r="M915" s="135">
        <v>310.86414759085807</v>
      </c>
      <c r="N915" s="128">
        <v>2480.6656434310466</v>
      </c>
      <c r="O915" s="128">
        <v>310.08320542888083</v>
      </c>
    </row>
    <row r="916" spans="3:15" s="245" customFormat="1" ht="15" customHeight="1">
      <c r="C916" s="378"/>
      <c r="D916" s="127">
        <v>36</v>
      </c>
      <c r="E916" s="409">
        <v>42825</v>
      </c>
      <c r="F916" s="137" t="s">
        <v>196</v>
      </c>
      <c r="G916" s="134" t="s">
        <v>196</v>
      </c>
      <c r="H916" s="134" t="s">
        <v>196</v>
      </c>
      <c r="I916" s="134" t="s">
        <v>196</v>
      </c>
      <c r="J916" s="134" t="s">
        <v>196</v>
      </c>
      <c r="K916" s="134" t="s">
        <v>196</v>
      </c>
      <c r="L916" s="134" t="s">
        <v>196</v>
      </c>
      <c r="M916" s="135" t="s">
        <v>196</v>
      </c>
      <c r="N916" s="128">
        <v>0</v>
      </c>
      <c r="O916" s="128">
        <v>0</v>
      </c>
    </row>
    <row r="917" spans="3:15" s="245" customFormat="1" ht="15" customHeight="1">
      <c r="C917" s="378"/>
      <c r="D917" s="127">
        <v>37</v>
      </c>
      <c r="E917" s="409">
        <v>43190</v>
      </c>
      <c r="F917" s="137" t="s">
        <v>196</v>
      </c>
      <c r="G917" s="134" t="s">
        <v>196</v>
      </c>
      <c r="H917" s="134" t="s">
        <v>196</v>
      </c>
      <c r="I917" s="134" t="s">
        <v>196</v>
      </c>
      <c r="J917" s="134" t="s">
        <v>196</v>
      </c>
      <c r="K917" s="134" t="s">
        <v>196</v>
      </c>
      <c r="L917" s="134" t="s">
        <v>196</v>
      </c>
      <c r="M917" s="135" t="s">
        <v>196</v>
      </c>
      <c r="N917" s="128">
        <v>0</v>
      </c>
      <c r="O917" s="128">
        <v>0</v>
      </c>
    </row>
    <row r="918" spans="3:15" s="245" customFormat="1" ht="15" customHeight="1">
      <c r="C918" s="378"/>
      <c r="D918" s="127">
        <v>38</v>
      </c>
      <c r="E918" s="409">
        <v>43555</v>
      </c>
      <c r="F918" s="137" t="s">
        <v>196</v>
      </c>
      <c r="G918" s="134" t="s">
        <v>196</v>
      </c>
      <c r="H918" s="134" t="s">
        <v>196</v>
      </c>
      <c r="I918" s="134" t="s">
        <v>196</v>
      </c>
      <c r="J918" s="134" t="s">
        <v>196</v>
      </c>
      <c r="K918" s="134" t="s">
        <v>196</v>
      </c>
      <c r="L918" s="134" t="s">
        <v>196</v>
      </c>
      <c r="M918" s="135" t="s">
        <v>196</v>
      </c>
      <c r="N918" s="128">
        <v>0</v>
      </c>
      <c r="O918" s="128">
        <v>0</v>
      </c>
    </row>
    <row r="919" spans="3:15" s="245" customFormat="1" ht="15" customHeight="1">
      <c r="C919" s="378"/>
      <c r="D919" s="127">
        <v>39</v>
      </c>
      <c r="E919" s="409">
        <v>43921</v>
      </c>
      <c r="F919" s="137" t="s">
        <v>196</v>
      </c>
      <c r="G919" s="134" t="s">
        <v>196</v>
      </c>
      <c r="H919" s="134" t="s">
        <v>196</v>
      </c>
      <c r="I919" s="134" t="s">
        <v>196</v>
      </c>
      <c r="J919" s="134" t="s">
        <v>196</v>
      </c>
      <c r="K919" s="134" t="s">
        <v>196</v>
      </c>
      <c r="L919" s="134" t="s">
        <v>196</v>
      </c>
      <c r="M919" s="135" t="s">
        <v>196</v>
      </c>
      <c r="N919" s="128">
        <v>0</v>
      </c>
      <c r="O919" s="128">
        <v>0</v>
      </c>
    </row>
    <row r="920" spans="3:15" s="245" customFormat="1" ht="15" customHeight="1">
      <c r="C920" s="378"/>
      <c r="D920" s="127">
        <v>40</v>
      </c>
      <c r="E920" s="409">
        <v>44286</v>
      </c>
      <c r="F920" s="137" t="s">
        <v>196</v>
      </c>
      <c r="G920" s="134" t="s">
        <v>196</v>
      </c>
      <c r="H920" s="134" t="s">
        <v>196</v>
      </c>
      <c r="I920" s="134" t="s">
        <v>196</v>
      </c>
      <c r="J920" s="134" t="s">
        <v>196</v>
      </c>
      <c r="K920" s="134" t="s">
        <v>196</v>
      </c>
      <c r="L920" s="134" t="s">
        <v>196</v>
      </c>
      <c r="M920" s="135" t="s">
        <v>196</v>
      </c>
      <c r="N920" s="128">
        <v>0</v>
      </c>
      <c r="O920" s="128">
        <v>0</v>
      </c>
    </row>
    <row r="921" spans="3:15" s="245" customFormat="1" ht="15" customHeight="1">
      <c r="C921" s="378"/>
      <c r="D921" s="127">
        <v>41</v>
      </c>
      <c r="E921" s="409">
        <v>44651</v>
      </c>
      <c r="F921" s="137" t="s">
        <v>196</v>
      </c>
      <c r="G921" s="134" t="s">
        <v>196</v>
      </c>
      <c r="H921" s="134" t="s">
        <v>196</v>
      </c>
      <c r="I921" s="134" t="s">
        <v>196</v>
      </c>
      <c r="J921" s="134" t="s">
        <v>196</v>
      </c>
      <c r="K921" s="134" t="s">
        <v>196</v>
      </c>
      <c r="L921" s="134" t="s">
        <v>196</v>
      </c>
      <c r="M921" s="135" t="s">
        <v>196</v>
      </c>
      <c r="N921" s="128">
        <v>0</v>
      </c>
      <c r="O921" s="128">
        <v>0</v>
      </c>
    </row>
    <row r="922" spans="3:15" s="245" customFormat="1" ht="15" customHeight="1">
      <c r="C922" s="378"/>
      <c r="D922" s="127">
        <v>42</v>
      </c>
      <c r="E922" s="409">
        <v>45016</v>
      </c>
      <c r="F922" s="137" t="s">
        <v>196</v>
      </c>
      <c r="G922" s="134" t="s">
        <v>196</v>
      </c>
      <c r="H922" s="134" t="s">
        <v>196</v>
      </c>
      <c r="I922" s="134" t="s">
        <v>196</v>
      </c>
      <c r="J922" s="134" t="s">
        <v>196</v>
      </c>
      <c r="K922" s="134" t="s">
        <v>196</v>
      </c>
      <c r="L922" s="134" t="s">
        <v>196</v>
      </c>
      <c r="M922" s="135" t="s">
        <v>196</v>
      </c>
      <c r="N922" s="128">
        <v>0</v>
      </c>
      <c r="O922" s="128">
        <v>0</v>
      </c>
    </row>
    <row r="923" spans="3:15" s="245" customFormat="1" ht="15" customHeight="1">
      <c r="C923" s="378"/>
      <c r="D923" s="122"/>
      <c r="E923" s="407" t="s">
        <v>461</v>
      </c>
      <c r="F923" s="129"/>
      <c r="G923" s="130"/>
      <c r="H923" s="130"/>
      <c r="I923" s="130"/>
      <c r="J923" s="130"/>
      <c r="K923" s="198"/>
      <c r="L923" s="130"/>
      <c r="M923" s="131"/>
      <c r="N923" s="408"/>
      <c r="O923" s="136"/>
    </row>
    <row r="924" spans="3:15" s="245" customFormat="1" ht="15" customHeight="1">
      <c r="C924" s="378"/>
      <c r="D924" s="127">
        <v>43</v>
      </c>
      <c r="E924" s="409">
        <v>42460</v>
      </c>
      <c r="F924" s="137">
        <v>0</v>
      </c>
      <c r="G924" s="134">
        <v>0</v>
      </c>
      <c r="H924" s="134">
        <v>0</v>
      </c>
      <c r="I924" s="134">
        <v>0</v>
      </c>
      <c r="J924" s="134">
        <v>0</v>
      </c>
      <c r="K924" s="134">
        <v>0</v>
      </c>
      <c r="L924" s="134">
        <v>0</v>
      </c>
      <c r="M924" s="135">
        <v>0</v>
      </c>
      <c r="N924" s="128">
        <v>0</v>
      </c>
      <c r="O924" s="128"/>
    </row>
    <row r="925" spans="3:15" s="245" customFormat="1" ht="15" customHeight="1">
      <c r="C925" s="378"/>
      <c r="D925" s="127">
        <v>44</v>
      </c>
      <c r="E925" s="409">
        <v>42825</v>
      </c>
      <c r="F925" s="137" t="s">
        <v>196</v>
      </c>
      <c r="G925" s="134" t="s">
        <v>196</v>
      </c>
      <c r="H925" s="134" t="s">
        <v>196</v>
      </c>
      <c r="I925" s="134" t="s">
        <v>196</v>
      </c>
      <c r="J925" s="134" t="s">
        <v>196</v>
      </c>
      <c r="K925" s="134" t="s">
        <v>196</v>
      </c>
      <c r="L925" s="134" t="s">
        <v>196</v>
      </c>
      <c r="M925" s="135" t="s">
        <v>196</v>
      </c>
      <c r="N925" s="128">
        <v>0</v>
      </c>
      <c r="O925" s="128"/>
    </row>
    <row r="926" spans="3:15" s="245" customFormat="1" ht="15" customHeight="1">
      <c r="C926" s="378"/>
      <c r="D926" s="127">
        <v>45</v>
      </c>
      <c r="E926" s="409">
        <v>43190</v>
      </c>
      <c r="F926" s="137" t="s">
        <v>196</v>
      </c>
      <c r="G926" s="134" t="s">
        <v>196</v>
      </c>
      <c r="H926" s="134" t="s">
        <v>196</v>
      </c>
      <c r="I926" s="134" t="s">
        <v>196</v>
      </c>
      <c r="J926" s="134" t="s">
        <v>196</v>
      </c>
      <c r="K926" s="134" t="s">
        <v>196</v>
      </c>
      <c r="L926" s="134" t="s">
        <v>196</v>
      </c>
      <c r="M926" s="135" t="s">
        <v>196</v>
      </c>
      <c r="N926" s="128">
        <v>0</v>
      </c>
      <c r="O926" s="128"/>
    </row>
    <row r="927" spans="3:15" s="245" customFormat="1" ht="15" customHeight="1">
      <c r="C927" s="378"/>
      <c r="D927" s="127">
        <v>46</v>
      </c>
      <c r="E927" s="409">
        <v>43555</v>
      </c>
      <c r="F927" s="137" t="s">
        <v>196</v>
      </c>
      <c r="G927" s="134" t="s">
        <v>196</v>
      </c>
      <c r="H927" s="134" t="s">
        <v>196</v>
      </c>
      <c r="I927" s="134" t="s">
        <v>196</v>
      </c>
      <c r="J927" s="134" t="s">
        <v>196</v>
      </c>
      <c r="K927" s="134" t="s">
        <v>196</v>
      </c>
      <c r="L927" s="134" t="s">
        <v>196</v>
      </c>
      <c r="M927" s="135" t="s">
        <v>196</v>
      </c>
      <c r="N927" s="128">
        <v>0</v>
      </c>
      <c r="O927" s="128"/>
    </row>
    <row r="928" spans="3:15" s="245" customFormat="1" ht="15" customHeight="1">
      <c r="C928" s="378"/>
      <c r="D928" s="127">
        <v>47</v>
      </c>
      <c r="E928" s="409">
        <v>43921</v>
      </c>
      <c r="F928" s="137" t="s">
        <v>196</v>
      </c>
      <c r="G928" s="134" t="s">
        <v>196</v>
      </c>
      <c r="H928" s="134" t="s">
        <v>196</v>
      </c>
      <c r="I928" s="134" t="s">
        <v>196</v>
      </c>
      <c r="J928" s="134" t="s">
        <v>196</v>
      </c>
      <c r="K928" s="134" t="s">
        <v>196</v>
      </c>
      <c r="L928" s="134" t="s">
        <v>196</v>
      </c>
      <c r="M928" s="135" t="s">
        <v>196</v>
      </c>
      <c r="N928" s="128">
        <v>0</v>
      </c>
      <c r="O928" s="128"/>
    </row>
    <row r="929" spans="3:15" s="245" customFormat="1" ht="15" customHeight="1">
      <c r="C929" s="378"/>
      <c r="D929" s="127">
        <v>48</v>
      </c>
      <c r="E929" s="409">
        <v>44286</v>
      </c>
      <c r="F929" s="137" t="s">
        <v>196</v>
      </c>
      <c r="G929" s="134" t="s">
        <v>196</v>
      </c>
      <c r="H929" s="134" t="s">
        <v>196</v>
      </c>
      <c r="I929" s="134" t="s">
        <v>196</v>
      </c>
      <c r="J929" s="134" t="s">
        <v>196</v>
      </c>
      <c r="K929" s="134" t="s">
        <v>196</v>
      </c>
      <c r="L929" s="134" t="s">
        <v>196</v>
      </c>
      <c r="M929" s="135" t="s">
        <v>196</v>
      </c>
      <c r="N929" s="128">
        <v>0</v>
      </c>
      <c r="O929" s="128"/>
    </row>
    <row r="930" spans="3:15" s="245" customFormat="1" ht="15" customHeight="1">
      <c r="C930" s="378"/>
      <c r="D930" s="127">
        <v>49</v>
      </c>
      <c r="E930" s="409">
        <v>44651</v>
      </c>
      <c r="F930" s="137" t="s">
        <v>196</v>
      </c>
      <c r="G930" s="134" t="s">
        <v>196</v>
      </c>
      <c r="H930" s="134" t="s">
        <v>196</v>
      </c>
      <c r="I930" s="134" t="s">
        <v>196</v>
      </c>
      <c r="J930" s="134" t="s">
        <v>196</v>
      </c>
      <c r="K930" s="134" t="s">
        <v>196</v>
      </c>
      <c r="L930" s="134" t="s">
        <v>196</v>
      </c>
      <c r="M930" s="135" t="s">
        <v>196</v>
      </c>
      <c r="N930" s="128">
        <v>0</v>
      </c>
      <c r="O930" s="128"/>
    </row>
    <row r="931" spans="3:15" s="245" customFormat="1" ht="15" customHeight="1">
      <c r="C931" s="378"/>
      <c r="D931" s="127">
        <v>50</v>
      </c>
      <c r="E931" s="409">
        <v>45016</v>
      </c>
      <c r="F931" s="137" t="s">
        <v>196</v>
      </c>
      <c r="G931" s="134" t="s">
        <v>196</v>
      </c>
      <c r="H931" s="134" t="s">
        <v>196</v>
      </c>
      <c r="I931" s="134" t="s">
        <v>196</v>
      </c>
      <c r="J931" s="134" t="s">
        <v>196</v>
      </c>
      <c r="K931" s="134" t="s">
        <v>196</v>
      </c>
      <c r="L931" s="134" t="s">
        <v>196</v>
      </c>
      <c r="M931" s="135" t="s">
        <v>196</v>
      </c>
      <c r="N931" s="128">
        <v>0</v>
      </c>
      <c r="O931" s="128"/>
    </row>
    <row r="932" spans="3:15" s="245" customFormat="1" ht="15" customHeight="1">
      <c r="C932" s="378"/>
      <c r="D932" s="122"/>
      <c r="E932" s="407" t="s">
        <v>468</v>
      </c>
      <c r="F932" s="129"/>
      <c r="G932" s="130"/>
      <c r="H932" s="130"/>
      <c r="I932" s="130"/>
      <c r="J932" s="130"/>
      <c r="K932" s="198"/>
      <c r="L932" s="130"/>
      <c r="M932" s="131"/>
      <c r="N932" s="408"/>
      <c r="O932" s="136"/>
    </row>
    <row r="933" spans="3:15" s="245" customFormat="1" ht="15" customHeight="1">
      <c r="C933" s="378"/>
      <c r="D933" s="127">
        <v>51</v>
      </c>
      <c r="E933" s="406" t="s">
        <v>445</v>
      </c>
      <c r="F933" s="133">
        <v>1528.281470230181</v>
      </c>
      <c r="G933" s="134">
        <v>1583.9074116384602</v>
      </c>
      <c r="H933" s="134">
        <v>1630.5597237910929</v>
      </c>
      <c r="I933" s="134">
        <v>1657.8530710895293</v>
      </c>
      <c r="J933" s="134">
        <v>1675.6474603580059</v>
      </c>
      <c r="K933" s="134">
        <v>1694.0674255308886</v>
      </c>
      <c r="L933" s="134">
        <v>1713.0992667353271</v>
      </c>
      <c r="M933" s="135">
        <v>1724.5519448527134</v>
      </c>
      <c r="N933" s="128">
        <v>13207.967774226197</v>
      </c>
      <c r="O933" s="128">
        <v>1650.9959717782747</v>
      </c>
    </row>
    <row r="934" spans="3:15" s="245" customFormat="1" ht="15" customHeight="1">
      <c r="C934" s="378"/>
      <c r="D934" s="127">
        <v>52</v>
      </c>
      <c r="E934" s="406" t="s">
        <v>446</v>
      </c>
      <c r="F934" s="222">
        <v>0.65</v>
      </c>
      <c r="G934" s="223">
        <v>0.65</v>
      </c>
      <c r="H934" s="223">
        <v>0.65</v>
      </c>
      <c r="I934" s="223">
        <v>0.65</v>
      </c>
      <c r="J934" s="223">
        <v>0.65</v>
      </c>
      <c r="K934" s="223">
        <v>0.65</v>
      </c>
      <c r="L934" s="223">
        <v>0.65</v>
      </c>
      <c r="M934" s="224">
        <v>0.65</v>
      </c>
      <c r="N934" s="225">
        <v>0.64999999999999991</v>
      </c>
      <c r="O934" s="225">
        <v>0.65</v>
      </c>
    </row>
    <row r="935" spans="3:15" s="245" customFormat="1" ht="15" customHeight="1">
      <c r="C935" s="379"/>
      <c r="D935" s="127">
        <v>53</v>
      </c>
      <c r="E935" s="406" t="s">
        <v>431</v>
      </c>
      <c r="F935" s="133">
        <v>534.8985145805633</v>
      </c>
      <c r="G935" s="134">
        <v>554.36759407346108</v>
      </c>
      <c r="H935" s="134">
        <v>570.69590332688244</v>
      </c>
      <c r="I935" s="134">
        <v>580.24857488133523</v>
      </c>
      <c r="J935" s="134">
        <v>586.47661112530204</v>
      </c>
      <c r="K935" s="134">
        <v>592.92359893581101</v>
      </c>
      <c r="L935" s="134">
        <v>599.58474335736446</v>
      </c>
      <c r="M935" s="135">
        <v>603.5931806984496</v>
      </c>
      <c r="N935" s="128">
        <v>4622.7887209791697</v>
      </c>
      <c r="O935" s="128">
        <v>577.84859012239622</v>
      </c>
    </row>
    <row r="936" spans="3:15" s="245" customFormat="1" ht="15" customHeight="1">
      <c r="C936" s="379"/>
      <c r="D936" s="127">
        <v>54</v>
      </c>
      <c r="E936" s="406" t="s">
        <v>447</v>
      </c>
      <c r="F936" s="137">
        <v>25.33126536906525</v>
      </c>
      <c r="G936" s="134">
        <v>26.253265347907476</v>
      </c>
      <c r="H936" s="134">
        <v>27.026527421837365</v>
      </c>
      <c r="I936" s="134">
        <v>27.478914653308951</v>
      </c>
      <c r="J936" s="134">
        <v>27.773856655433946</v>
      </c>
      <c r="K936" s="134">
        <v>28.079167578174477</v>
      </c>
      <c r="L936" s="134">
        <v>28.394620346138044</v>
      </c>
      <c r="M936" s="135">
        <v>28.584448485933724</v>
      </c>
      <c r="N936" s="128">
        <v>218.92206585779923</v>
      </c>
      <c r="O936" s="128">
        <v>27.365258232224903</v>
      </c>
    </row>
    <row r="937" spans="3:15" s="245" customFormat="1" ht="15" customHeight="1" thickBot="1">
      <c r="C937" s="379"/>
      <c r="D937" s="138">
        <v>55</v>
      </c>
      <c r="E937" s="410" t="s">
        <v>677</v>
      </c>
      <c r="F937" s="254">
        <v>534.8985145805633</v>
      </c>
      <c r="G937" s="139">
        <v>554.36759407346108</v>
      </c>
      <c r="H937" s="139">
        <v>570.69590332688244</v>
      </c>
      <c r="I937" s="139">
        <v>580.24857488133523</v>
      </c>
      <c r="J937" s="139">
        <v>586.47661112530204</v>
      </c>
      <c r="K937" s="139">
        <v>592.92359893581101</v>
      </c>
      <c r="L937" s="139">
        <v>599.58474335736446</v>
      </c>
      <c r="M937" s="226">
        <v>603.5931806984496</v>
      </c>
      <c r="N937" s="253"/>
      <c r="O937" s="253">
        <v>577.84859012239622</v>
      </c>
    </row>
    <row r="938" spans="3:15" s="245" customFormat="1" ht="15" customHeight="1">
      <c r="C938" s="379"/>
      <c r="D938" s="244"/>
      <c r="E938" s="402"/>
      <c r="F938" s="155"/>
      <c r="G938" s="155"/>
      <c r="H938" s="155"/>
      <c r="I938" s="155"/>
      <c r="J938" s="155"/>
      <c r="K938" s="155"/>
      <c r="L938" s="155"/>
      <c r="M938" s="155"/>
      <c r="N938" s="155"/>
      <c r="O938" s="155"/>
    </row>
    <row r="939" spans="3:15" s="245" customFormat="1" ht="15" customHeight="1">
      <c r="C939" s="378"/>
      <c r="D939" s="244"/>
      <c r="E939" s="190"/>
      <c r="F939" s="155"/>
      <c r="G939" s="155"/>
      <c r="H939" s="155"/>
      <c r="I939" s="155"/>
      <c r="J939" s="155"/>
      <c r="K939" s="155"/>
      <c r="L939" s="155"/>
      <c r="M939" s="383"/>
      <c r="N939" s="155"/>
      <c r="O939" s="155"/>
    </row>
    <row r="940" spans="3:15" s="245" customFormat="1" ht="15" customHeight="1">
      <c r="C940" s="378"/>
      <c r="D940" s="244"/>
      <c r="E940" s="190"/>
      <c r="F940" s="155"/>
      <c r="G940" s="155"/>
      <c r="H940" s="155"/>
      <c r="I940" s="155"/>
      <c r="J940" s="155"/>
      <c r="K940" s="155"/>
      <c r="L940" s="155"/>
      <c r="M940" s="383"/>
      <c r="N940" s="155"/>
      <c r="O940" s="155"/>
    </row>
    <row r="941" spans="3:15" s="245" customFormat="1" ht="15" customHeight="1">
      <c r="C941" s="378"/>
      <c r="D941" s="244"/>
      <c r="E941" s="190"/>
      <c r="F941" s="155"/>
      <c r="G941" s="155"/>
      <c r="H941" s="155"/>
      <c r="I941" s="155"/>
      <c r="J941" s="155"/>
      <c r="K941" s="155"/>
      <c r="L941" s="155"/>
      <c r="M941" s="383"/>
      <c r="N941" s="155"/>
      <c r="O941" s="155"/>
    </row>
    <row r="942" spans="3:15" s="245" customFormat="1" ht="15" customHeight="1">
      <c r="C942" s="378"/>
      <c r="D942" s="244"/>
      <c r="E942" s="190"/>
      <c r="F942" s="378"/>
      <c r="G942" s="378"/>
      <c r="H942" s="378"/>
      <c r="I942" s="378"/>
      <c r="J942" s="378"/>
      <c r="K942" s="378"/>
      <c r="L942" s="378"/>
      <c r="M942" s="378"/>
      <c r="N942" s="378"/>
      <c r="O942" s="378"/>
    </row>
    <row r="943" spans="3:15" s="245" customFormat="1" ht="15" customHeight="1">
      <c r="C943" s="380" t="s">
        <v>816</v>
      </c>
      <c r="D943" s="380"/>
      <c r="E943" s="380"/>
      <c r="F943" s="380"/>
      <c r="G943" s="380"/>
      <c r="H943" s="380"/>
      <c r="I943" s="380"/>
      <c r="J943" s="380"/>
      <c r="K943" s="380"/>
      <c r="L943" s="380"/>
      <c r="M943" s="380"/>
      <c r="N943" s="380"/>
      <c r="O943" s="380"/>
    </row>
    <row r="944" spans="3:15" s="245" customFormat="1" ht="15" customHeight="1">
      <c r="C944" s="379"/>
      <c r="D944" s="379"/>
      <c r="E944" s="379"/>
      <c r="F944" s="379"/>
      <c r="G944" s="379"/>
      <c r="H944" s="379"/>
      <c r="I944" s="379"/>
      <c r="J944" s="379"/>
      <c r="K944" s="379"/>
      <c r="L944" s="379"/>
      <c r="M944" s="379"/>
      <c r="N944" s="379"/>
      <c r="O944" s="379"/>
    </row>
    <row r="945" spans="3:15" s="245" customFormat="1" ht="15" customHeight="1">
      <c r="C945" s="379"/>
      <c r="D945" s="376"/>
      <c r="E945" s="376"/>
      <c r="F945" s="377"/>
      <c r="G945" s="377"/>
      <c r="H945" s="377"/>
      <c r="I945" s="377"/>
      <c r="J945" s="377"/>
      <c r="K945" s="377"/>
      <c r="L945" s="377"/>
      <c r="M945" s="377"/>
      <c r="N945" s="376"/>
      <c r="O945" s="376"/>
    </row>
    <row r="946" spans="3:15" s="245" customFormat="1" ht="15" customHeight="1">
      <c r="C946" s="379"/>
      <c r="D946" s="376"/>
      <c r="E946" s="381" t="s">
        <v>56</v>
      </c>
      <c r="F946" s="381" t="s">
        <v>234</v>
      </c>
      <c r="G946" s="377"/>
      <c r="H946" s="381" t="s">
        <v>37</v>
      </c>
      <c r="I946" s="377"/>
      <c r="J946" s="377"/>
      <c r="K946" s="377"/>
      <c r="L946" s="377"/>
      <c r="M946" s="377"/>
      <c r="N946" s="376"/>
      <c r="O946" s="376"/>
    </row>
    <row r="947" spans="3:15" s="245" customFormat="1" ht="15" customHeight="1">
      <c r="C947" s="379"/>
      <c r="D947" s="118"/>
      <c r="E947" s="118" t="s">
        <v>519</v>
      </c>
      <c r="F947" s="345">
        <v>42460</v>
      </c>
      <c r="G947" s="119"/>
      <c r="H947" s="118" t="s">
        <v>851</v>
      </c>
      <c r="I947" s="119"/>
      <c r="J947" s="119"/>
      <c r="K947" s="119"/>
      <c r="L947" s="119"/>
      <c r="M947" s="119"/>
      <c r="N947" s="118"/>
      <c r="O947" s="118"/>
    </row>
    <row r="948" spans="3:15" s="245" customFormat="1" ht="15" customHeight="1" thickBot="1">
      <c r="C948" s="379"/>
      <c r="D948" s="379"/>
      <c r="E948" s="379"/>
      <c r="F948" s="430"/>
      <c r="G948" s="430"/>
      <c r="H948" s="430"/>
      <c r="I948" s="430"/>
      <c r="J948" s="430"/>
      <c r="K948" s="430"/>
      <c r="L948" s="430"/>
      <c r="M948" s="430"/>
      <c r="N948" s="379"/>
      <c r="O948" s="379"/>
    </row>
    <row r="949" spans="3:15" s="245" customFormat="1" ht="15" customHeight="1">
      <c r="C949" s="379"/>
      <c r="D949" s="120"/>
      <c r="E949" s="189" t="s">
        <v>231</v>
      </c>
      <c r="F949" s="181">
        <v>42460</v>
      </c>
      <c r="G949" s="182">
        <v>42825</v>
      </c>
      <c r="H949" s="182">
        <v>43190</v>
      </c>
      <c r="I949" s="182">
        <v>43555</v>
      </c>
      <c r="J949" s="182">
        <v>43921</v>
      </c>
      <c r="K949" s="182">
        <v>44286</v>
      </c>
      <c r="L949" s="182">
        <v>44651</v>
      </c>
      <c r="M949" s="183">
        <v>45016</v>
      </c>
      <c r="N949" s="243" t="s">
        <v>83</v>
      </c>
      <c r="O949" s="184" t="s">
        <v>84</v>
      </c>
    </row>
    <row r="950" spans="3:15" s="245" customFormat="1" ht="15" customHeight="1">
      <c r="C950" s="379"/>
      <c r="D950" s="121"/>
      <c r="E950" s="406" t="s">
        <v>235</v>
      </c>
      <c r="F950" s="185" t="s">
        <v>728</v>
      </c>
      <c r="G950" s="186" t="s">
        <v>728</v>
      </c>
      <c r="H950" s="186" t="s">
        <v>728</v>
      </c>
      <c r="I950" s="186" t="s">
        <v>728</v>
      </c>
      <c r="J950" s="186" t="s">
        <v>728</v>
      </c>
      <c r="K950" s="186" t="s">
        <v>728</v>
      </c>
      <c r="L950" s="186" t="s">
        <v>728</v>
      </c>
      <c r="M950" s="187" t="s">
        <v>728</v>
      </c>
      <c r="N950" s="188" t="s">
        <v>728</v>
      </c>
      <c r="O950" s="188" t="s">
        <v>728</v>
      </c>
    </row>
    <row r="951" spans="3:15" s="245" customFormat="1" ht="15" customHeight="1">
      <c r="C951" s="379"/>
      <c r="D951" s="122"/>
      <c r="E951" s="407" t="s">
        <v>67</v>
      </c>
      <c r="F951" s="123"/>
      <c r="G951" s="124"/>
      <c r="H951" s="124"/>
      <c r="I951" s="124"/>
      <c r="J951" s="124"/>
      <c r="K951" s="124"/>
      <c r="L951" s="124"/>
      <c r="M951" s="125"/>
      <c r="N951" s="126"/>
      <c r="O951" s="126"/>
    </row>
    <row r="952" spans="3:15" s="245" customFormat="1" ht="15" customHeight="1">
      <c r="C952" s="379"/>
      <c r="D952" s="127">
        <v>1</v>
      </c>
      <c r="E952" s="406" t="s">
        <v>209</v>
      </c>
      <c r="F952" s="133">
        <v>99.524882958326174</v>
      </c>
      <c r="G952" s="134">
        <v>99.767758729742638</v>
      </c>
      <c r="H952" s="134">
        <v>99.75341564325835</v>
      </c>
      <c r="I952" s="134">
        <v>100.32807464339849</v>
      </c>
      <c r="J952" s="134">
        <v>98.523170135061136</v>
      </c>
      <c r="K952" s="134">
        <v>97.319672693592338</v>
      </c>
      <c r="L952" s="134">
        <v>98.933290504519903</v>
      </c>
      <c r="M952" s="135">
        <v>95.872805865418812</v>
      </c>
      <c r="N952" s="128">
        <v>790.02307117331782</v>
      </c>
      <c r="O952" s="128">
        <v>98.752883896664727</v>
      </c>
    </row>
    <row r="953" spans="3:15" s="245" customFormat="1" ht="15" customHeight="1">
      <c r="C953" s="379"/>
      <c r="D953" s="127">
        <v>2</v>
      </c>
      <c r="E953" s="406" t="s">
        <v>679</v>
      </c>
      <c r="F953" s="133">
        <v>60.999121813167648</v>
      </c>
      <c r="G953" s="134">
        <v>61.147981156939039</v>
      </c>
      <c r="H953" s="134">
        <v>61.139190232964793</v>
      </c>
      <c r="I953" s="134">
        <v>61.491400587889402</v>
      </c>
      <c r="J953" s="134">
        <v>42.224215772169075</v>
      </c>
      <c r="K953" s="134">
        <v>41.70843115439672</v>
      </c>
      <c r="L953" s="134">
        <v>42.399981644794252</v>
      </c>
      <c r="M953" s="135">
        <v>41.088345370893776</v>
      </c>
      <c r="N953" s="128">
        <v>412.19866773321473</v>
      </c>
      <c r="O953" s="128">
        <v>51.524833466651842</v>
      </c>
    </row>
    <row r="954" spans="3:15" s="245" customFormat="1" ht="15" customHeight="1">
      <c r="C954" s="379"/>
      <c r="D954" s="127">
        <v>3</v>
      </c>
      <c r="E954" s="406" t="s">
        <v>210</v>
      </c>
      <c r="F954" s="133">
        <v>160.52400477149382</v>
      </c>
      <c r="G954" s="134">
        <v>160.91573988668168</v>
      </c>
      <c r="H954" s="134">
        <v>160.89260587622314</v>
      </c>
      <c r="I954" s="134">
        <v>161.8194752312879</v>
      </c>
      <c r="J954" s="134">
        <v>140.74738590723021</v>
      </c>
      <c r="K954" s="134">
        <v>139.02810384798906</v>
      </c>
      <c r="L954" s="134">
        <v>141.33327214931415</v>
      </c>
      <c r="M954" s="135">
        <v>136.96115123631259</v>
      </c>
      <c r="N954" s="128">
        <v>1202.2217389065327</v>
      </c>
      <c r="O954" s="128">
        <v>150.27771736331658</v>
      </c>
    </row>
    <row r="955" spans="3:15" s="245" customFormat="1" ht="15" customHeight="1">
      <c r="C955" s="379"/>
      <c r="D955" s="122"/>
      <c r="E955" s="407" t="s">
        <v>15</v>
      </c>
      <c r="F955" s="123"/>
      <c r="G955" s="124"/>
      <c r="H955" s="124"/>
      <c r="I955" s="124"/>
      <c r="J955" s="124"/>
      <c r="K955" s="124"/>
      <c r="L955" s="124"/>
      <c r="M955" s="125"/>
      <c r="N955" s="126"/>
      <c r="O955" s="126"/>
    </row>
    <row r="956" spans="3:15" s="245" customFormat="1" ht="15" customHeight="1">
      <c r="C956" s="379"/>
      <c r="D956" s="127">
        <v>4</v>
      </c>
      <c r="E956" s="406" t="s">
        <v>448</v>
      </c>
      <c r="F956" s="133">
        <v>956.74668777314116</v>
      </c>
      <c r="G956" s="134">
        <v>964.95854323831418</v>
      </c>
      <c r="H956" s="134">
        <v>972.71471902991721</v>
      </c>
      <c r="I956" s="134">
        <v>981.13159043475105</v>
      </c>
      <c r="J956" s="134">
        <v>990.8794294256561</v>
      </c>
      <c r="K956" s="134">
        <v>1000.2631231440287</v>
      </c>
      <c r="L956" s="134">
        <v>1008.8616729387835</v>
      </c>
      <c r="M956" s="135">
        <v>1020.0686038106493</v>
      </c>
      <c r="N956" s="128"/>
      <c r="O956" s="128">
        <v>986.95304622440506</v>
      </c>
    </row>
    <row r="957" spans="3:15" s="245" customFormat="1" ht="15" customHeight="1">
      <c r="C957" s="379"/>
      <c r="D957" s="127">
        <v>5</v>
      </c>
      <c r="E957" s="406" t="s">
        <v>119</v>
      </c>
      <c r="F957" s="133">
        <v>0</v>
      </c>
      <c r="G957" s="134">
        <v>0</v>
      </c>
      <c r="H957" s="134">
        <v>0</v>
      </c>
      <c r="I957" s="134">
        <v>0</v>
      </c>
      <c r="J957" s="134">
        <v>0</v>
      </c>
      <c r="K957" s="134">
        <v>0</v>
      </c>
      <c r="L957" s="134">
        <v>0</v>
      </c>
      <c r="M957" s="135">
        <v>0</v>
      </c>
      <c r="N957" s="128">
        <v>0</v>
      </c>
      <c r="O957" s="128">
        <v>0</v>
      </c>
    </row>
    <row r="958" spans="3:15" s="245" customFormat="1" ht="15" customHeight="1">
      <c r="C958" s="379"/>
      <c r="D958" s="127">
        <v>6</v>
      </c>
      <c r="E958" s="406" t="s">
        <v>449</v>
      </c>
      <c r="F958" s="133">
        <v>956.74668777314116</v>
      </c>
      <c r="G958" s="134">
        <v>964.95854323831418</v>
      </c>
      <c r="H958" s="134">
        <v>972.71471902991721</v>
      </c>
      <c r="I958" s="134">
        <v>981.13159043475105</v>
      </c>
      <c r="J958" s="134">
        <v>990.8794294256561</v>
      </c>
      <c r="K958" s="134">
        <v>1000.2631231440287</v>
      </c>
      <c r="L958" s="134">
        <v>1008.8616729387835</v>
      </c>
      <c r="M958" s="135">
        <v>1020.0686038106493</v>
      </c>
      <c r="N958" s="128"/>
      <c r="O958" s="128">
        <v>986.95304622440506</v>
      </c>
    </row>
    <row r="959" spans="3:15" s="245" customFormat="1" ht="15" customHeight="1">
      <c r="C959" s="379"/>
      <c r="D959" s="127">
        <v>7</v>
      </c>
      <c r="E959" s="406" t="s">
        <v>211</v>
      </c>
      <c r="F959" s="133">
        <v>99.524882958326174</v>
      </c>
      <c r="G959" s="134">
        <v>99.767758729742638</v>
      </c>
      <c r="H959" s="134">
        <v>99.75341564325835</v>
      </c>
      <c r="I959" s="134">
        <v>100.32807464339849</v>
      </c>
      <c r="J959" s="134">
        <v>98.523170135061136</v>
      </c>
      <c r="K959" s="134">
        <v>97.319672693592338</v>
      </c>
      <c r="L959" s="134">
        <v>98.933290504519903</v>
      </c>
      <c r="M959" s="135">
        <v>95.872805865418812</v>
      </c>
      <c r="N959" s="128">
        <v>790.02307117331782</v>
      </c>
      <c r="O959" s="128">
        <v>98.752883896664727</v>
      </c>
    </row>
    <row r="960" spans="3:15" s="245" customFormat="1" ht="15" customHeight="1">
      <c r="C960" s="379"/>
      <c r="D960" s="127">
        <v>8</v>
      </c>
      <c r="E960" s="406" t="s">
        <v>0</v>
      </c>
      <c r="F960" s="133">
        <v>-91.3130274931532</v>
      </c>
      <c r="G960" s="134">
        <v>-92.011582938139554</v>
      </c>
      <c r="H960" s="134">
        <v>-91.336544238424608</v>
      </c>
      <c r="I960" s="134">
        <v>-90.580235652493428</v>
      </c>
      <c r="J960" s="134">
        <v>-89.13947641668841</v>
      </c>
      <c r="K960" s="134">
        <v>-88.721122898837535</v>
      </c>
      <c r="L960" s="134">
        <v>-87.726359632654194</v>
      </c>
      <c r="M960" s="135">
        <v>-87.049752949349397</v>
      </c>
      <c r="N960" s="128">
        <v>-717.87810221974041</v>
      </c>
      <c r="O960" s="128">
        <v>-89.734762777467552</v>
      </c>
    </row>
    <row r="961" spans="3:15" s="245" customFormat="1" ht="15" customHeight="1">
      <c r="C961" s="379"/>
      <c r="D961" s="127">
        <v>9</v>
      </c>
      <c r="E961" s="406" t="s">
        <v>16</v>
      </c>
      <c r="F961" s="133">
        <v>964.95854323831418</v>
      </c>
      <c r="G961" s="134">
        <v>972.71471902991721</v>
      </c>
      <c r="H961" s="134">
        <v>981.13159043475105</v>
      </c>
      <c r="I961" s="134">
        <v>990.8794294256561</v>
      </c>
      <c r="J961" s="134">
        <v>1000.2631231440287</v>
      </c>
      <c r="K961" s="134">
        <v>1008.8616729387835</v>
      </c>
      <c r="L961" s="134">
        <v>1020.0686038106493</v>
      </c>
      <c r="M961" s="135">
        <v>1028.8916567267188</v>
      </c>
      <c r="N961" s="128"/>
      <c r="O961" s="128">
        <v>995.97116734360236</v>
      </c>
    </row>
    <row r="962" spans="3:15" s="245" customFormat="1" ht="15" customHeight="1">
      <c r="C962" s="379"/>
      <c r="D962" s="122"/>
      <c r="E962" s="407" t="s">
        <v>296</v>
      </c>
      <c r="F962" s="129"/>
      <c r="G962" s="130"/>
      <c r="H962" s="130"/>
      <c r="I962" s="130"/>
      <c r="J962" s="130"/>
      <c r="K962" s="130"/>
      <c r="L962" s="130"/>
      <c r="M962" s="131"/>
      <c r="N962" s="132"/>
      <c r="O962" s="132"/>
    </row>
    <row r="963" spans="3:15" s="245" customFormat="1" ht="15" customHeight="1">
      <c r="C963" s="379"/>
      <c r="D963" s="127">
        <v>10</v>
      </c>
      <c r="E963" s="406" t="s">
        <v>97</v>
      </c>
      <c r="F963" s="133">
        <v>60.999121813167648</v>
      </c>
      <c r="G963" s="134">
        <v>61.147981156939039</v>
      </c>
      <c r="H963" s="134">
        <v>61.139190232964793</v>
      </c>
      <c r="I963" s="134">
        <v>61.491400587889402</v>
      </c>
      <c r="J963" s="134">
        <v>42.224215772169075</v>
      </c>
      <c r="K963" s="134">
        <v>41.70843115439672</v>
      </c>
      <c r="L963" s="134">
        <v>42.399981644794252</v>
      </c>
      <c r="M963" s="135">
        <v>41.088345370893776</v>
      </c>
      <c r="N963" s="128">
        <v>412.19866773321473</v>
      </c>
      <c r="O963" s="128">
        <v>51.524833466651842</v>
      </c>
    </row>
    <row r="964" spans="3:15" s="245" customFormat="1" ht="15" customHeight="1">
      <c r="C964" s="379"/>
      <c r="D964" s="127">
        <v>11</v>
      </c>
      <c r="E964" s="406" t="s">
        <v>600</v>
      </c>
      <c r="F964" s="133">
        <v>45.574166041417548</v>
      </c>
      <c r="G964" s="134">
        <v>44.550007468980787</v>
      </c>
      <c r="H964" s="134">
        <v>46.641722360975955</v>
      </c>
      <c r="I964" s="134">
        <v>47.988472325771582</v>
      </c>
      <c r="J964" s="134">
        <v>42.700285714285712</v>
      </c>
      <c r="K964" s="134">
        <v>43.155999999999999</v>
      </c>
      <c r="L964" s="134">
        <v>43.762</v>
      </c>
      <c r="M964" s="135">
        <v>43.563000000000002</v>
      </c>
      <c r="N964" s="128">
        <v>357.93565391143159</v>
      </c>
      <c r="O964" s="128">
        <v>44.741956738928948</v>
      </c>
    </row>
    <row r="965" spans="3:15" s="245" customFormat="1" ht="15" customHeight="1">
      <c r="C965" s="379"/>
      <c r="D965" s="127">
        <v>12</v>
      </c>
      <c r="E965" s="406" t="s">
        <v>65</v>
      </c>
      <c r="F965" s="133">
        <v>91.3130274931532</v>
      </c>
      <c r="G965" s="134">
        <v>92.011582938139554</v>
      </c>
      <c r="H965" s="134">
        <v>91.336544238424608</v>
      </c>
      <c r="I965" s="134">
        <v>90.580235652493428</v>
      </c>
      <c r="J965" s="134">
        <v>89.13947641668841</v>
      </c>
      <c r="K965" s="134">
        <v>88.721122898837535</v>
      </c>
      <c r="L965" s="134">
        <v>87.726359632654194</v>
      </c>
      <c r="M965" s="135">
        <v>87.049752949349397</v>
      </c>
      <c r="N965" s="128">
        <v>717.87810221974041</v>
      </c>
      <c r="O965" s="128">
        <v>89.734762777467552</v>
      </c>
    </row>
    <row r="966" spans="3:15" s="245" customFormat="1" ht="15" customHeight="1">
      <c r="C966" s="379"/>
      <c r="D966" s="127">
        <v>13</v>
      </c>
      <c r="E966" s="406" t="s">
        <v>18</v>
      </c>
      <c r="F966" s="133">
        <v>35.447503152425249</v>
      </c>
      <c r="G966" s="134">
        <v>35.742225429899136</v>
      </c>
      <c r="H966" s="134">
        <v>36.040349923420266</v>
      </c>
      <c r="I966" s="134">
        <v>36.374987231942299</v>
      </c>
      <c r="J966" s="134">
        <v>36.728036470097607</v>
      </c>
      <c r="K966" s="134">
        <v>37.060027629945161</v>
      </c>
      <c r="L966" s="134">
        <v>37.424498179980866</v>
      </c>
      <c r="M966" s="135">
        <v>37.794808513882209</v>
      </c>
      <c r="N966" s="128">
        <v>292.61243653159283</v>
      </c>
      <c r="O966" s="128">
        <v>36.576554566449104</v>
      </c>
    </row>
    <row r="967" spans="3:15" s="245" customFormat="1" ht="15" customHeight="1">
      <c r="C967" s="379"/>
      <c r="D967" s="127">
        <v>14</v>
      </c>
      <c r="E967" s="406" t="s">
        <v>102</v>
      </c>
      <c r="F967" s="133">
        <v>0</v>
      </c>
      <c r="G967" s="134">
        <v>0</v>
      </c>
      <c r="H967" s="134">
        <v>0</v>
      </c>
      <c r="I967" s="134">
        <v>0</v>
      </c>
      <c r="J967" s="134">
        <v>0</v>
      </c>
      <c r="K967" s="134">
        <v>0</v>
      </c>
      <c r="L967" s="134">
        <v>0</v>
      </c>
      <c r="M967" s="135">
        <v>0</v>
      </c>
      <c r="N967" s="128">
        <v>0</v>
      </c>
      <c r="O967" s="128">
        <v>0</v>
      </c>
    </row>
    <row r="968" spans="3:15" s="245" customFormat="1" ht="15" customHeight="1">
      <c r="C968" s="379"/>
      <c r="D968" s="127">
        <v>15</v>
      </c>
      <c r="E968" s="406" t="s">
        <v>22</v>
      </c>
      <c r="F968" s="133">
        <v>0.16599721814464838</v>
      </c>
      <c r="G968" s="134">
        <v>0.16631900606776751</v>
      </c>
      <c r="H968" s="134">
        <v>0.16554337895881124</v>
      </c>
      <c r="I968" s="134">
        <v>0.16569741136821181</v>
      </c>
      <c r="J968" s="134">
        <v>0.16622630759870036</v>
      </c>
      <c r="K968" s="134">
        <v>0.16380302414374548</v>
      </c>
      <c r="L968" s="134">
        <v>0.16593344617950709</v>
      </c>
      <c r="M968" s="135">
        <v>0.16036688822048883</v>
      </c>
      <c r="N968" s="128">
        <v>1.3198866806818805</v>
      </c>
      <c r="O968" s="128">
        <v>0.16498583508523507</v>
      </c>
    </row>
    <row r="969" spans="3:15" s="245" customFormat="1" ht="15" customHeight="1">
      <c r="C969" s="379"/>
      <c r="D969" s="127">
        <v>16</v>
      </c>
      <c r="E969" s="406" t="s">
        <v>215</v>
      </c>
      <c r="F969" s="133">
        <v>4.0444407522140819</v>
      </c>
      <c r="G969" s="134">
        <v>12.820593304398029</v>
      </c>
      <c r="H969" s="134">
        <v>12.109121455150348</v>
      </c>
      <c r="I969" s="134">
        <v>11.571451368626166</v>
      </c>
      <c r="J969" s="134">
        <v>33.403169271552187</v>
      </c>
      <c r="K969" s="134">
        <v>33.597991301233726</v>
      </c>
      <c r="L969" s="134">
        <v>33.349873965284054</v>
      </c>
      <c r="M969" s="135">
        <v>34.848996347314468</v>
      </c>
      <c r="N969" s="128">
        <v>175.74563776577304</v>
      </c>
      <c r="O969" s="128">
        <v>21.96820472072163</v>
      </c>
    </row>
    <row r="970" spans="3:15" s="245" customFormat="1" ht="15" customHeight="1">
      <c r="C970" s="379"/>
      <c r="D970" s="127">
        <v>17</v>
      </c>
      <c r="E970" s="406" t="s">
        <v>6</v>
      </c>
      <c r="F970" s="133">
        <v>8.86707017566461</v>
      </c>
      <c r="G970" s="134">
        <v>10.705184215804291</v>
      </c>
      <c r="H970" s="134">
        <v>9.7037739454422205</v>
      </c>
      <c r="I970" s="134">
        <v>8.9585243867029511</v>
      </c>
      <c r="J970" s="134">
        <v>12.758762550005422</v>
      </c>
      <c r="K970" s="134">
        <v>12.718291836240827</v>
      </c>
      <c r="L970" s="134">
        <v>12.300848761755915</v>
      </c>
      <c r="M970" s="135">
        <v>12.626520134614442</v>
      </c>
      <c r="N970" s="128">
        <v>88.638976006230678</v>
      </c>
      <c r="O970" s="128">
        <v>11.079872000778835</v>
      </c>
    </row>
    <row r="971" spans="3:15" s="245" customFormat="1" ht="15" customHeight="1">
      <c r="C971" s="379"/>
      <c r="D971" s="122"/>
      <c r="E971" s="407" t="s">
        <v>164</v>
      </c>
      <c r="F971" s="129"/>
      <c r="G971" s="130"/>
      <c r="H971" s="130"/>
      <c r="I971" s="130"/>
      <c r="J971" s="130"/>
      <c r="K971" s="130"/>
      <c r="L971" s="130"/>
      <c r="M971" s="131"/>
      <c r="N971" s="132"/>
      <c r="O971" s="132"/>
    </row>
    <row r="972" spans="3:15" s="245" customFormat="1" ht="15" customHeight="1">
      <c r="C972" s="379"/>
      <c r="D972" s="127">
        <v>18</v>
      </c>
      <c r="E972" s="406" t="s">
        <v>97</v>
      </c>
      <c r="F972" s="133">
        <v>60.999121813167648</v>
      </c>
      <c r="G972" s="134">
        <v>61.147981156939039</v>
      </c>
      <c r="H972" s="134">
        <v>61.139190232964793</v>
      </c>
      <c r="I972" s="134">
        <v>61.491400587889402</v>
      </c>
      <c r="J972" s="134">
        <v>42.224215772169075</v>
      </c>
      <c r="K972" s="134">
        <v>41.70843115439672</v>
      </c>
      <c r="L972" s="134">
        <v>42.399981644794252</v>
      </c>
      <c r="M972" s="135">
        <v>41.088345370893776</v>
      </c>
      <c r="N972" s="128">
        <v>412.19866773321473</v>
      </c>
      <c r="O972" s="128">
        <v>51.524833466651842</v>
      </c>
    </row>
    <row r="973" spans="3:15" s="245" customFormat="1" ht="15" customHeight="1">
      <c r="C973" s="379"/>
      <c r="D973" s="127">
        <v>19</v>
      </c>
      <c r="E973" s="406" t="s">
        <v>600</v>
      </c>
      <c r="F973" s="133">
        <v>45.574166041417548</v>
      </c>
      <c r="G973" s="134">
        <v>44.550007468980787</v>
      </c>
      <c r="H973" s="134">
        <v>46.641722360975955</v>
      </c>
      <c r="I973" s="134">
        <v>47.988472325771582</v>
      </c>
      <c r="J973" s="134">
        <v>42.700285714285712</v>
      </c>
      <c r="K973" s="134">
        <v>43.155999999999999</v>
      </c>
      <c r="L973" s="134">
        <v>43.762</v>
      </c>
      <c r="M973" s="135">
        <v>43.563000000000002</v>
      </c>
      <c r="N973" s="128">
        <v>357.93565391143159</v>
      </c>
      <c r="O973" s="128">
        <v>44.741956738928948</v>
      </c>
    </row>
    <row r="974" spans="3:15" s="245" customFormat="1" ht="15" customHeight="1">
      <c r="C974" s="379"/>
      <c r="D974" s="127">
        <v>20</v>
      </c>
      <c r="E974" s="406" t="s">
        <v>65</v>
      </c>
      <c r="F974" s="133">
        <v>91.3130274931532</v>
      </c>
      <c r="G974" s="134">
        <v>92.011582938139554</v>
      </c>
      <c r="H974" s="134">
        <v>91.336544238424608</v>
      </c>
      <c r="I974" s="134">
        <v>90.580235652493428</v>
      </c>
      <c r="J974" s="134">
        <v>89.13947641668841</v>
      </c>
      <c r="K974" s="134">
        <v>88.721122898837535</v>
      </c>
      <c r="L974" s="134">
        <v>87.726359632654194</v>
      </c>
      <c r="M974" s="135">
        <v>87.049752949349397</v>
      </c>
      <c r="N974" s="128">
        <v>717.87810221974041</v>
      </c>
      <c r="O974" s="128">
        <v>89.734762777467552</v>
      </c>
    </row>
    <row r="975" spans="3:15" s="245" customFormat="1" ht="15" customHeight="1">
      <c r="C975" s="379"/>
      <c r="D975" s="127">
        <v>21</v>
      </c>
      <c r="E975" s="406" t="s">
        <v>18</v>
      </c>
      <c r="F975" s="133">
        <v>35.447503152425249</v>
      </c>
      <c r="G975" s="134">
        <v>35.742225429899136</v>
      </c>
      <c r="H975" s="134">
        <v>36.040349923420266</v>
      </c>
      <c r="I975" s="134">
        <v>36.374987231942299</v>
      </c>
      <c r="J975" s="134">
        <v>36.728036470097607</v>
      </c>
      <c r="K975" s="134">
        <v>37.060027629945161</v>
      </c>
      <c r="L975" s="134">
        <v>37.424498179980866</v>
      </c>
      <c r="M975" s="135">
        <v>37.794808513882209</v>
      </c>
      <c r="N975" s="128">
        <v>292.61243653159283</v>
      </c>
      <c r="O975" s="128">
        <v>36.576554566449104</v>
      </c>
    </row>
    <row r="976" spans="3:15" s="245" customFormat="1" ht="15" customHeight="1">
      <c r="C976" s="379"/>
      <c r="D976" s="127">
        <v>22</v>
      </c>
      <c r="E976" s="406" t="s">
        <v>102</v>
      </c>
      <c r="F976" s="133">
        <v>0</v>
      </c>
      <c r="G976" s="134">
        <v>0</v>
      </c>
      <c r="H976" s="134">
        <v>0</v>
      </c>
      <c r="I976" s="134">
        <v>0</v>
      </c>
      <c r="J976" s="134">
        <v>0</v>
      </c>
      <c r="K976" s="134">
        <v>0</v>
      </c>
      <c r="L976" s="134">
        <v>0</v>
      </c>
      <c r="M976" s="135">
        <v>0</v>
      </c>
      <c r="N976" s="128">
        <v>0</v>
      </c>
      <c r="O976" s="128">
        <v>0</v>
      </c>
    </row>
    <row r="977" spans="3:15" s="245" customFormat="1" ht="15" customHeight="1">
      <c r="C977" s="379"/>
      <c r="D977" s="127">
        <v>23</v>
      </c>
      <c r="E977" s="406" t="s">
        <v>22</v>
      </c>
      <c r="F977" s="133">
        <v>0.16599721814464838</v>
      </c>
      <c r="G977" s="134">
        <v>0.16631900606776751</v>
      </c>
      <c r="H977" s="134">
        <v>0.16554337895881124</v>
      </c>
      <c r="I977" s="134">
        <v>0.16569741136821181</v>
      </c>
      <c r="J977" s="134">
        <v>0.16622630759870036</v>
      </c>
      <c r="K977" s="134">
        <v>0.16380302414374548</v>
      </c>
      <c r="L977" s="134">
        <v>0.16593344617950709</v>
      </c>
      <c r="M977" s="135">
        <v>0.16036688822048883</v>
      </c>
      <c r="N977" s="128">
        <v>1.3198866806818805</v>
      </c>
      <c r="O977" s="128">
        <v>0.16498583508523507</v>
      </c>
    </row>
    <row r="978" spans="3:15" s="245" customFormat="1" ht="15" customHeight="1">
      <c r="C978" s="379"/>
      <c r="D978" s="127">
        <v>24</v>
      </c>
      <c r="E978" s="406" t="s">
        <v>215</v>
      </c>
      <c r="F978" s="133">
        <v>4.0444407522140819</v>
      </c>
      <c r="G978" s="134">
        <v>12.820593304398029</v>
      </c>
      <c r="H978" s="134">
        <v>12.109121455150348</v>
      </c>
      <c r="I978" s="134">
        <v>11.571451368626166</v>
      </c>
      <c r="J978" s="134">
        <v>33.403169271552187</v>
      </c>
      <c r="K978" s="134">
        <v>33.597991301233726</v>
      </c>
      <c r="L978" s="134">
        <v>33.349873965284054</v>
      </c>
      <c r="M978" s="135">
        <v>34.848996347314468</v>
      </c>
      <c r="N978" s="128">
        <v>175.74563776577304</v>
      </c>
      <c r="O978" s="128">
        <v>21.96820472072163</v>
      </c>
    </row>
    <row r="979" spans="3:15" s="245" customFormat="1" ht="15" customHeight="1">
      <c r="C979" s="379"/>
      <c r="D979" s="127">
        <v>25</v>
      </c>
      <c r="E979" s="406" t="s">
        <v>6</v>
      </c>
      <c r="F979" s="133">
        <v>8.86707017566461</v>
      </c>
      <c r="G979" s="134">
        <v>10.705184215804291</v>
      </c>
      <c r="H979" s="134">
        <v>9.7037739454422205</v>
      </c>
      <c r="I979" s="134">
        <v>8.9585243867029511</v>
      </c>
      <c r="J979" s="134">
        <v>12.758762550005422</v>
      </c>
      <c r="K979" s="134">
        <v>12.718291836240827</v>
      </c>
      <c r="L979" s="134">
        <v>12.300848761755915</v>
      </c>
      <c r="M979" s="135">
        <v>12.626520134614442</v>
      </c>
      <c r="N979" s="128">
        <v>88.638976006230678</v>
      </c>
      <c r="O979" s="128">
        <v>11.079872000778835</v>
      </c>
    </row>
    <row r="980" spans="3:15" s="245" customFormat="1" ht="15" customHeight="1">
      <c r="C980" s="379"/>
      <c r="D980" s="122"/>
      <c r="E980" s="407" t="s">
        <v>19</v>
      </c>
      <c r="F980" s="129"/>
      <c r="G980" s="130"/>
      <c r="H980" s="130"/>
      <c r="I980" s="130"/>
      <c r="J980" s="130"/>
      <c r="K980" s="130"/>
      <c r="L980" s="130"/>
      <c r="M980" s="131"/>
      <c r="N980" s="408"/>
      <c r="O980" s="136"/>
    </row>
    <row r="981" spans="3:15" s="245" customFormat="1" ht="15" customHeight="1">
      <c r="C981" s="379"/>
      <c r="D981" s="127">
        <v>26</v>
      </c>
      <c r="E981" s="406" t="s">
        <v>460</v>
      </c>
      <c r="F981" s="133">
        <v>246.41132664618698</v>
      </c>
      <c r="G981" s="134">
        <v>257.14389352022857</v>
      </c>
      <c r="H981" s="134">
        <v>257.13624553533697</v>
      </c>
      <c r="I981" s="134">
        <v>257.13076896479402</v>
      </c>
      <c r="J981" s="134">
        <v>257.12017250239711</v>
      </c>
      <c r="K981" s="134">
        <v>257.1256678447977</v>
      </c>
      <c r="L981" s="134">
        <v>257.12949563064876</v>
      </c>
      <c r="M981" s="135">
        <v>257.13179020427481</v>
      </c>
      <c r="N981" s="128">
        <v>2046.3293608486647</v>
      </c>
      <c r="O981" s="128">
        <v>255.79117010608309</v>
      </c>
    </row>
    <row r="982" spans="3:15" s="245" customFormat="1" ht="15" customHeight="1">
      <c r="C982" s="379"/>
      <c r="D982" s="127">
        <v>27</v>
      </c>
      <c r="E982" s="406" t="s">
        <v>58</v>
      </c>
      <c r="F982" s="133">
        <v>0</v>
      </c>
      <c r="G982" s="134">
        <v>0</v>
      </c>
      <c r="H982" s="134">
        <v>0</v>
      </c>
      <c r="I982" s="134">
        <v>0</v>
      </c>
      <c r="J982" s="134">
        <v>0</v>
      </c>
      <c r="K982" s="134">
        <v>0</v>
      </c>
      <c r="L982" s="134">
        <v>0</v>
      </c>
      <c r="M982" s="135">
        <v>0</v>
      </c>
      <c r="N982" s="128">
        <v>0</v>
      </c>
      <c r="O982" s="128">
        <v>0</v>
      </c>
    </row>
    <row r="983" spans="3:15" s="245" customFormat="1" ht="15" customHeight="1">
      <c r="C983" s="379"/>
      <c r="D983" s="127">
        <v>28</v>
      </c>
      <c r="E983" s="406" t="s">
        <v>43</v>
      </c>
      <c r="F983" s="137">
        <v>246.41132664618698</v>
      </c>
      <c r="G983" s="134">
        <v>257.14389352022857</v>
      </c>
      <c r="H983" s="134">
        <v>257.13624553533697</v>
      </c>
      <c r="I983" s="134">
        <v>257.13076896479402</v>
      </c>
      <c r="J983" s="134">
        <v>257.12017250239711</v>
      </c>
      <c r="K983" s="134">
        <v>257.1256678447977</v>
      </c>
      <c r="L983" s="134">
        <v>257.12949563064876</v>
      </c>
      <c r="M983" s="135">
        <v>257.13179020427481</v>
      </c>
      <c r="N983" s="128">
        <v>2046.3293608486647</v>
      </c>
      <c r="O983" s="128">
        <v>255.79117010608309</v>
      </c>
    </row>
    <row r="984" spans="3:15" s="245" customFormat="1" ht="15" customHeight="1">
      <c r="C984" s="379"/>
      <c r="D984" s="127">
        <v>29</v>
      </c>
      <c r="E984" s="406" t="s">
        <v>739</v>
      </c>
      <c r="F984" s="137">
        <v>1.4459999999999984</v>
      </c>
      <c r="G984" s="134">
        <v>1.0620000000000032</v>
      </c>
      <c r="H984" s="134">
        <v>0.54500000000000104</v>
      </c>
      <c r="I984" s="134">
        <v>0.1969999999999999</v>
      </c>
      <c r="J984" s="134">
        <v>0.14899999999999944</v>
      </c>
      <c r="K984" s="134">
        <v>0.14600000000000452</v>
      </c>
      <c r="L984" s="134">
        <v>0.11700000000000088</v>
      </c>
      <c r="M984" s="135">
        <v>0.19699999999999918</v>
      </c>
      <c r="N984" s="128">
        <v>3.8590000000000066</v>
      </c>
      <c r="O984" s="128">
        <v>0.48237500000000083</v>
      </c>
    </row>
    <row r="985" spans="3:15" s="245" customFormat="1" ht="15" customHeight="1">
      <c r="C985" s="379"/>
      <c r="D985" s="127">
        <v>30</v>
      </c>
      <c r="E985" s="406" t="s">
        <v>770</v>
      </c>
      <c r="F985" s="431">
        <v>8.1615658943609084</v>
      </c>
      <c r="G985" s="137">
        <v>8.1615658943609084</v>
      </c>
      <c r="H985" s="137">
        <v>7.8752465689755766</v>
      </c>
      <c r="I985" s="137">
        <v>0</v>
      </c>
      <c r="J985" s="137">
        <v>0</v>
      </c>
      <c r="K985" s="137">
        <v>0</v>
      </c>
      <c r="L985" s="137">
        <v>0</v>
      </c>
      <c r="M985" s="137">
        <v>0</v>
      </c>
      <c r="N985" s="128">
        <v>24.198378357697393</v>
      </c>
      <c r="O985" s="128">
        <v>3.0247972947121742</v>
      </c>
    </row>
    <row r="986" spans="3:15" s="245" customFormat="1" ht="15" customHeight="1">
      <c r="C986" s="379"/>
      <c r="D986" s="127">
        <v>31</v>
      </c>
      <c r="E986" s="406" t="s">
        <v>764</v>
      </c>
      <c r="F986" s="137">
        <v>1.0200559999999999</v>
      </c>
      <c r="G986" s="134">
        <v>1.0200559999999999</v>
      </c>
      <c r="H986" s="134">
        <v>1.0200559999999999</v>
      </c>
      <c r="I986" s="134">
        <v>1.0200559999999999</v>
      </c>
      <c r="J986" s="134">
        <v>1.0200559999999999</v>
      </c>
      <c r="K986" s="134">
        <v>1.0200559999999999</v>
      </c>
      <c r="L986" s="134">
        <v>1.0200559999999999</v>
      </c>
      <c r="M986" s="135">
        <v>1.0200559999999999</v>
      </c>
      <c r="N986" s="128">
        <v>8.1604480000000006</v>
      </c>
      <c r="O986" s="128">
        <v>1.0200560000000001</v>
      </c>
    </row>
    <row r="987" spans="3:15" s="245" customFormat="1" ht="15" customHeight="1">
      <c r="C987" s="379"/>
      <c r="D987" s="127">
        <v>32</v>
      </c>
      <c r="E987" s="406" t="s">
        <v>9</v>
      </c>
      <c r="F987" s="137">
        <v>257.03894854054789</v>
      </c>
      <c r="G987" s="134">
        <v>267.38751541458953</v>
      </c>
      <c r="H987" s="134">
        <v>266.57654810431256</v>
      </c>
      <c r="I987" s="134">
        <v>258.34782496479403</v>
      </c>
      <c r="J987" s="134">
        <v>258.28922850239712</v>
      </c>
      <c r="K987" s="134">
        <v>258.29172384479773</v>
      </c>
      <c r="L987" s="134">
        <v>258.26655163064879</v>
      </c>
      <c r="M987" s="367">
        <v>258.34884620427482</v>
      </c>
      <c r="N987" s="128">
        <v>2082.5471872063622</v>
      </c>
      <c r="O987" s="128">
        <v>260.31839840079527</v>
      </c>
    </row>
    <row r="988" spans="3:15" s="245" customFormat="1" ht="15" customHeight="1">
      <c r="C988" s="379"/>
      <c r="D988" s="122"/>
      <c r="E988" s="407" t="s">
        <v>173</v>
      </c>
      <c r="F988" s="129"/>
      <c r="G988" s="130"/>
      <c r="H988" s="130"/>
      <c r="I988" s="130"/>
      <c r="J988" s="130"/>
      <c r="K988" s="198"/>
      <c r="L988" s="130"/>
      <c r="M988" s="131"/>
      <c r="N988" s="408"/>
      <c r="O988" s="136"/>
    </row>
    <row r="989" spans="3:15" s="245" customFormat="1" ht="15" customHeight="1">
      <c r="C989" s="379"/>
      <c r="D989" s="127">
        <v>33</v>
      </c>
      <c r="E989" s="406" t="s">
        <v>173</v>
      </c>
      <c r="F989" s="133">
        <v>246.41132664618698</v>
      </c>
      <c r="G989" s="134">
        <v>257.14389352022857</v>
      </c>
      <c r="H989" s="134">
        <v>257.13624553533697</v>
      </c>
      <c r="I989" s="134">
        <v>257.13076896479402</v>
      </c>
      <c r="J989" s="134">
        <v>257.12017250239711</v>
      </c>
      <c r="K989" s="134">
        <v>257.1256678447977</v>
      </c>
      <c r="L989" s="134">
        <v>257.12949563064876</v>
      </c>
      <c r="M989" s="135">
        <v>257.13179020427481</v>
      </c>
      <c r="N989" s="128">
        <v>2046.3293608486647</v>
      </c>
      <c r="O989" s="128">
        <v>255.79117010608309</v>
      </c>
    </row>
    <row r="990" spans="3:15" s="245" customFormat="1" ht="15" customHeight="1">
      <c r="C990" s="379"/>
      <c r="D990" s="127">
        <v>34</v>
      </c>
      <c r="E990" s="406" t="s">
        <v>187</v>
      </c>
      <c r="F990" s="133">
        <v>0</v>
      </c>
      <c r="G990" s="134">
        <v>0</v>
      </c>
      <c r="H990" s="134">
        <v>0</v>
      </c>
      <c r="I990" s="134">
        <v>0</v>
      </c>
      <c r="J990" s="134">
        <v>0</v>
      </c>
      <c r="K990" s="134">
        <v>0</v>
      </c>
      <c r="L990" s="134">
        <v>0</v>
      </c>
      <c r="M990" s="135">
        <v>0</v>
      </c>
      <c r="N990" s="128">
        <v>0</v>
      </c>
      <c r="O990" s="128">
        <v>0</v>
      </c>
    </row>
    <row r="991" spans="3:15" s="245" customFormat="1" ht="15" customHeight="1">
      <c r="C991" s="378"/>
      <c r="D991" s="122"/>
      <c r="E991" s="407" t="s">
        <v>297</v>
      </c>
      <c r="F991" s="129"/>
      <c r="G991" s="130"/>
      <c r="H991" s="130"/>
      <c r="I991" s="130"/>
      <c r="J991" s="130"/>
      <c r="K991" s="198"/>
      <c r="L991" s="130"/>
      <c r="M991" s="131"/>
      <c r="N991" s="408"/>
      <c r="O991" s="136"/>
    </row>
    <row r="992" spans="3:15" s="245" customFormat="1" ht="15" customHeight="1">
      <c r="C992" s="378"/>
      <c r="D992" s="127">
        <v>35</v>
      </c>
      <c r="E992" s="409">
        <v>42460</v>
      </c>
      <c r="F992" s="137">
        <v>246.41132664618698</v>
      </c>
      <c r="G992" s="134">
        <v>257.14389352022857</v>
      </c>
      <c r="H992" s="134">
        <v>257.13624553533697</v>
      </c>
      <c r="I992" s="134">
        <v>257.13076896479402</v>
      </c>
      <c r="J992" s="134">
        <v>257.12017250239711</v>
      </c>
      <c r="K992" s="134">
        <v>257.1256678447977</v>
      </c>
      <c r="L992" s="134">
        <v>257.12949563064876</v>
      </c>
      <c r="M992" s="135">
        <v>257.13179020427481</v>
      </c>
      <c r="N992" s="128">
        <v>2046.3293608486647</v>
      </c>
      <c r="O992" s="128">
        <v>255.79117010608309</v>
      </c>
    </row>
    <row r="993" spans="3:15" s="245" customFormat="1" ht="15" customHeight="1">
      <c r="C993" s="378"/>
      <c r="D993" s="127">
        <v>36</v>
      </c>
      <c r="E993" s="409">
        <v>42825</v>
      </c>
      <c r="F993" s="137" t="s">
        <v>196</v>
      </c>
      <c r="G993" s="134" t="s">
        <v>196</v>
      </c>
      <c r="H993" s="134" t="s">
        <v>196</v>
      </c>
      <c r="I993" s="134" t="s">
        <v>196</v>
      </c>
      <c r="J993" s="134" t="s">
        <v>196</v>
      </c>
      <c r="K993" s="134" t="s">
        <v>196</v>
      </c>
      <c r="L993" s="134" t="s">
        <v>196</v>
      </c>
      <c r="M993" s="135" t="s">
        <v>196</v>
      </c>
      <c r="N993" s="128">
        <v>0</v>
      </c>
      <c r="O993" s="128">
        <v>0</v>
      </c>
    </row>
    <row r="994" spans="3:15" s="245" customFormat="1" ht="15" customHeight="1">
      <c r="C994" s="378"/>
      <c r="D994" s="127">
        <v>37</v>
      </c>
      <c r="E994" s="409">
        <v>43190</v>
      </c>
      <c r="F994" s="137" t="s">
        <v>196</v>
      </c>
      <c r="G994" s="134" t="s">
        <v>196</v>
      </c>
      <c r="H994" s="134" t="s">
        <v>196</v>
      </c>
      <c r="I994" s="134" t="s">
        <v>196</v>
      </c>
      <c r="J994" s="134" t="s">
        <v>196</v>
      </c>
      <c r="K994" s="134" t="s">
        <v>196</v>
      </c>
      <c r="L994" s="134" t="s">
        <v>196</v>
      </c>
      <c r="M994" s="135" t="s">
        <v>196</v>
      </c>
      <c r="N994" s="128">
        <v>0</v>
      </c>
      <c r="O994" s="128">
        <v>0</v>
      </c>
    </row>
    <row r="995" spans="3:15" s="245" customFormat="1" ht="15" customHeight="1">
      <c r="C995" s="378"/>
      <c r="D995" s="127">
        <v>38</v>
      </c>
      <c r="E995" s="409">
        <v>43555</v>
      </c>
      <c r="F995" s="137" t="s">
        <v>196</v>
      </c>
      <c r="G995" s="134" t="s">
        <v>196</v>
      </c>
      <c r="H995" s="134" t="s">
        <v>196</v>
      </c>
      <c r="I995" s="134" t="s">
        <v>196</v>
      </c>
      <c r="J995" s="134" t="s">
        <v>196</v>
      </c>
      <c r="K995" s="134" t="s">
        <v>196</v>
      </c>
      <c r="L995" s="134" t="s">
        <v>196</v>
      </c>
      <c r="M995" s="135" t="s">
        <v>196</v>
      </c>
      <c r="N995" s="128">
        <v>0</v>
      </c>
      <c r="O995" s="128">
        <v>0</v>
      </c>
    </row>
    <row r="996" spans="3:15" s="245" customFormat="1" ht="15" customHeight="1">
      <c r="C996" s="378"/>
      <c r="D996" s="127">
        <v>39</v>
      </c>
      <c r="E996" s="409">
        <v>43921</v>
      </c>
      <c r="F996" s="137" t="s">
        <v>196</v>
      </c>
      <c r="G996" s="134" t="s">
        <v>196</v>
      </c>
      <c r="H996" s="134" t="s">
        <v>196</v>
      </c>
      <c r="I996" s="134" t="s">
        <v>196</v>
      </c>
      <c r="J996" s="134" t="s">
        <v>196</v>
      </c>
      <c r="K996" s="134" t="s">
        <v>196</v>
      </c>
      <c r="L996" s="134" t="s">
        <v>196</v>
      </c>
      <c r="M996" s="135" t="s">
        <v>196</v>
      </c>
      <c r="N996" s="128">
        <v>0</v>
      </c>
      <c r="O996" s="128">
        <v>0</v>
      </c>
    </row>
    <row r="997" spans="3:15" s="245" customFormat="1" ht="15" customHeight="1">
      <c r="C997" s="378"/>
      <c r="D997" s="127">
        <v>40</v>
      </c>
      <c r="E997" s="409">
        <v>44286</v>
      </c>
      <c r="F997" s="137" t="s">
        <v>196</v>
      </c>
      <c r="G997" s="134" t="s">
        <v>196</v>
      </c>
      <c r="H997" s="134" t="s">
        <v>196</v>
      </c>
      <c r="I997" s="134" t="s">
        <v>196</v>
      </c>
      <c r="J997" s="134" t="s">
        <v>196</v>
      </c>
      <c r="K997" s="134" t="s">
        <v>196</v>
      </c>
      <c r="L997" s="134" t="s">
        <v>196</v>
      </c>
      <c r="M997" s="135" t="s">
        <v>196</v>
      </c>
      <c r="N997" s="128">
        <v>0</v>
      </c>
      <c r="O997" s="128">
        <v>0</v>
      </c>
    </row>
    <row r="998" spans="3:15" s="245" customFormat="1" ht="15" customHeight="1">
      <c r="C998" s="378"/>
      <c r="D998" s="127">
        <v>41</v>
      </c>
      <c r="E998" s="409">
        <v>44651</v>
      </c>
      <c r="F998" s="137" t="s">
        <v>196</v>
      </c>
      <c r="G998" s="134" t="s">
        <v>196</v>
      </c>
      <c r="H998" s="134" t="s">
        <v>196</v>
      </c>
      <c r="I998" s="134" t="s">
        <v>196</v>
      </c>
      <c r="J998" s="134" t="s">
        <v>196</v>
      </c>
      <c r="K998" s="134" t="s">
        <v>196</v>
      </c>
      <c r="L998" s="134" t="s">
        <v>196</v>
      </c>
      <c r="M998" s="135" t="s">
        <v>196</v>
      </c>
      <c r="N998" s="128">
        <v>0</v>
      </c>
      <c r="O998" s="128">
        <v>0</v>
      </c>
    </row>
    <row r="999" spans="3:15" s="245" customFormat="1" ht="15" customHeight="1">
      <c r="C999" s="378"/>
      <c r="D999" s="127">
        <v>42</v>
      </c>
      <c r="E999" s="409">
        <v>45016</v>
      </c>
      <c r="F999" s="137" t="s">
        <v>196</v>
      </c>
      <c r="G999" s="134" t="s">
        <v>196</v>
      </c>
      <c r="H999" s="134" t="s">
        <v>196</v>
      </c>
      <c r="I999" s="134" t="s">
        <v>196</v>
      </c>
      <c r="J999" s="134" t="s">
        <v>196</v>
      </c>
      <c r="K999" s="134" t="s">
        <v>196</v>
      </c>
      <c r="L999" s="134" t="s">
        <v>196</v>
      </c>
      <c r="M999" s="135" t="s">
        <v>196</v>
      </c>
      <c r="N999" s="128">
        <v>0</v>
      </c>
      <c r="O999" s="128">
        <v>0</v>
      </c>
    </row>
    <row r="1000" spans="3:15" s="245" customFormat="1" ht="15" customHeight="1">
      <c r="C1000" s="378"/>
      <c r="D1000" s="122"/>
      <c r="E1000" s="407" t="s">
        <v>461</v>
      </c>
      <c r="F1000" s="129"/>
      <c r="G1000" s="130"/>
      <c r="H1000" s="130"/>
      <c r="I1000" s="130"/>
      <c r="J1000" s="130"/>
      <c r="K1000" s="198"/>
      <c r="L1000" s="130"/>
      <c r="M1000" s="131"/>
      <c r="N1000" s="408"/>
      <c r="O1000" s="136"/>
    </row>
    <row r="1001" spans="3:15" s="245" customFormat="1" ht="15" customHeight="1">
      <c r="C1001" s="378"/>
      <c r="D1001" s="127">
        <v>43</v>
      </c>
      <c r="E1001" s="409">
        <v>42460</v>
      </c>
      <c r="F1001" s="137">
        <v>0</v>
      </c>
      <c r="G1001" s="134">
        <v>0</v>
      </c>
      <c r="H1001" s="134">
        <v>0</v>
      </c>
      <c r="I1001" s="134">
        <v>0</v>
      </c>
      <c r="J1001" s="134">
        <v>0</v>
      </c>
      <c r="K1001" s="134">
        <v>0</v>
      </c>
      <c r="L1001" s="134">
        <v>0</v>
      </c>
      <c r="M1001" s="135">
        <v>0</v>
      </c>
      <c r="N1001" s="128">
        <v>0</v>
      </c>
      <c r="O1001" s="128"/>
    </row>
    <row r="1002" spans="3:15" s="245" customFormat="1" ht="15" customHeight="1">
      <c r="C1002" s="378"/>
      <c r="D1002" s="127">
        <v>44</v>
      </c>
      <c r="E1002" s="409">
        <v>42825</v>
      </c>
      <c r="F1002" s="137" t="s">
        <v>196</v>
      </c>
      <c r="G1002" s="134" t="s">
        <v>196</v>
      </c>
      <c r="H1002" s="134" t="s">
        <v>196</v>
      </c>
      <c r="I1002" s="134" t="s">
        <v>196</v>
      </c>
      <c r="J1002" s="134" t="s">
        <v>196</v>
      </c>
      <c r="K1002" s="134" t="s">
        <v>196</v>
      </c>
      <c r="L1002" s="134" t="s">
        <v>196</v>
      </c>
      <c r="M1002" s="135" t="s">
        <v>196</v>
      </c>
      <c r="N1002" s="128">
        <v>0</v>
      </c>
      <c r="O1002" s="128"/>
    </row>
    <row r="1003" spans="3:15" s="245" customFormat="1" ht="15" customHeight="1">
      <c r="C1003" s="378"/>
      <c r="D1003" s="127">
        <v>45</v>
      </c>
      <c r="E1003" s="409">
        <v>43190</v>
      </c>
      <c r="F1003" s="137" t="s">
        <v>196</v>
      </c>
      <c r="G1003" s="134" t="s">
        <v>196</v>
      </c>
      <c r="H1003" s="134" t="s">
        <v>196</v>
      </c>
      <c r="I1003" s="134" t="s">
        <v>196</v>
      </c>
      <c r="J1003" s="134" t="s">
        <v>196</v>
      </c>
      <c r="K1003" s="134" t="s">
        <v>196</v>
      </c>
      <c r="L1003" s="134" t="s">
        <v>196</v>
      </c>
      <c r="M1003" s="135" t="s">
        <v>196</v>
      </c>
      <c r="N1003" s="128">
        <v>0</v>
      </c>
      <c r="O1003" s="128"/>
    </row>
    <row r="1004" spans="3:15" s="245" customFormat="1" ht="15" customHeight="1">
      <c r="C1004" s="378"/>
      <c r="D1004" s="127">
        <v>46</v>
      </c>
      <c r="E1004" s="409">
        <v>43555</v>
      </c>
      <c r="F1004" s="137" t="s">
        <v>196</v>
      </c>
      <c r="G1004" s="134" t="s">
        <v>196</v>
      </c>
      <c r="H1004" s="134" t="s">
        <v>196</v>
      </c>
      <c r="I1004" s="134" t="s">
        <v>196</v>
      </c>
      <c r="J1004" s="134" t="s">
        <v>196</v>
      </c>
      <c r="K1004" s="134" t="s">
        <v>196</v>
      </c>
      <c r="L1004" s="134" t="s">
        <v>196</v>
      </c>
      <c r="M1004" s="135" t="s">
        <v>196</v>
      </c>
      <c r="N1004" s="128">
        <v>0</v>
      </c>
      <c r="O1004" s="128"/>
    </row>
    <row r="1005" spans="3:15" s="245" customFormat="1" ht="15" customHeight="1">
      <c r="C1005" s="378"/>
      <c r="D1005" s="127">
        <v>47</v>
      </c>
      <c r="E1005" s="409">
        <v>43921</v>
      </c>
      <c r="F1005" s="137" t="s">
        <v>196</v>
      </c>
      <c r="G1005" s="134" t="s">
        <v>196</v>
      </c>
      <c r="H1005" s="134" t="s">
        <v>196</v>
      </c>
      <c r="I1005" s="134" t="s">
        <v>196</v>
      </c>
      <c r="J1005" s="134" t="s">
        <v>196</v>
      </c>
      <c r="K1005" s="134" t="s">
        <v>196</v>
      </c>
      <c r="L1005" s="134" t="s">
        <v>196</v>
      </c>
      <c r="M1005" s="135" t="s">
        <v>196</v>
      </c>
      <c r="N1005" s="128">
        <v>0</v>
      </c>
      <c r="O1005" s="128"/>
    </row>
    <row r="1006" spans="3:15" s="245" customFormat="1" ht="15" customHeight="1">
      <c r="C1006" s="378"/>
      <c r="D1006" s="127">
        <v>48</v>
      </c>
      <c r="E1006" s="409">
        <v>44286</v>
      </c>
      <c r="F1006" s="137" t="s">
        <v>196</v>
      </c>
      <c r="G1006" s="134" t="s">
        <v>196</v>
      </c>
      <c r="H1006" s="134" t="s">
        <v>196</v>
      </c>
      <c r="I1006" s="134" t="s">
        <v>196</v>
      </c>
      <c r="J1006" s="134" t="s">
        <v>196</v>
      </c>
      <c r="K1006" s="134" t="s">
        <v>196</v>
      </c>
      <c r="L1006" s="134" t="s">
        <v>196</v>
      </c>
      <c r="M1006" s="135" t="s">
        <v>196</v>
      </c>
      <c r="N1006" s="128">
        <v>0</v>
      </c>
      <c r="O1006" s="128"/>
    </row>
    <row r="1007" spans="3:15" s="245" customFormat="1" ht="15" customHeight="1">
      <c r="C1007" s="378"/>
      <c r="D1007" s="127">
        <v>49</v>
      </c>
      <c r="E1007" s="409">
        <v>44651</v>
      </c>
      <c r="F1007" s="137" t="s">
        <v>196</v>
      </c>
      <c r="G1007" s="134" t="s">
        <v>196</v>
      </c>
      <c r="H1007" s="134" t="s">
        <v>196</v>
      </c>
      <c r="I1007" s="134" t="s">
        <v>196</v>
      </c>
      <c r="J1007" s="134" t="s">
        <v>196</v>
      </c>
      <c r="K1007" s="134" t="s">
        <v>196</v>
      </c>
      <c r="L1007" s="134" t="s">
        <v>196</v>
      </c>
      <c r="M1007" s="135" t="s">
        <v>196</v>
      </c>
      <c r="N1007" s="128">
        <v>0</v>
      </c>
      <c r="O1007" s="128"/>
    </row>
    <row r="1008" spans="3:15" s="245" customFormat="1" ht="15" customHeight="1">
      <c r="C1008" s="378"/>
      <c r="D1008" s="127">
        <v>50</v>
      </c>
      <c r="E1008" s="409">
        <v>45016</v>
      </c>
      <c r="F1008" s="137" t="s">
        <v>196</v>
      </c>
      <c r="G1008" s="134" t="s">
        <v>196</v>
      </c>
      <c r="H1008" s="134" t="s">
        <v>196</v>
      </c>
      <c r="I1008" s="134" t="s">
        <v>196</v>
      </c>
      <c r="J1008" s="134" t="s">
        <v>196</v>
      </c>
      <c r="K1008" s="134" t="s">
        <v>196</v>
      </c>
      <c r="L1008" s="134" t="s">
        <v>196</v>
      </c>
      <c r="M1008" s="135" t="s">
        <v>196</v>
      </c>
      <c r="N1008" s="128">
        <v>0</v>
      </c>
      <c r="O1008" s="128"/>
    </row>
    <row r="1009" spans="3:15" s="245" customFormat="1" ht="15" customHeight="1">
      <c r="C1009" s="378"/>
      <c r="D1009" s="122"/>
      <c r="E1009" s="407" t="s">
        <v>468</v>
      </c>
      <c r="F1009" s="129"/>
      <c r="G1009" s="130"/>
      <c r="H1009" s="130"/>
      <c r="I1009" s="130"/>
      <c r="J1009" s="130"/>
      <c r="K1009" s="198"/>
      <c r="L1009" s="130"/>
      <c r="M1009" s="131"/>
      <c r="N1009" s="408"/>
      <c r="O1009" s="136"/>
    </row>
    <row r="1010" spans="3:15" s="245" customFormat="1" ht="15" customHeight="1">
      <c r="C1010" s="378"/>
      <c r="D1010" s="127">
        <v>51</v>
      </c>
      <c r="E1010" s="406" t="s">
        <v>445</v>
      </c>
      <c r="F1010" s="133">
        <v>943.37999074984032</v>
      </c>
      <c r="G1010" s="134">
        <v>951.22356433530649</v>
      </c>
      <c r="H1010" s="134">
        <v>959.15768259268839</v>
      </c>
      <c r="I1010" s="134">
        <v>968.06353245355422</v>
      </c>
      <c r="J1010" s="134">
        <v>977.45938709507936</v>
      </c>
      <c r="K1010" s="134">
        <v>986.29481383752932</v>
      </c>
      <c r="L1010" s="134">
        <v>995.99462887507298</v>
      </c>
      <c r="M1010" s="135">
        <v>1005.8498606488945</v>
      </c>
      <c r="N1010" s="128">
        <v>7787.4234605879656</v>
      </c>
      <c r="O1010" s="128">
        <v>973.4279325734957</v>
      </c>
    </row>
    <row r="1011" spans="3:15" s="245" customFormat="1" ht="15" customHeight="1">
      <c r="C1011" s="378"/>
      <c r="D1011" s="127">
        <v>52</v>
      </c>
      <c r="E1011" s="406" t="s">
        <v>446</v>
      </c>
      <c r="F1011" s="222">
        <v>0.65</v>
      </c>
      <c r="G1011" s="223">
        <v>0.65</v>
      </c>
      <c r="H1011" s="223">
        <v>0.65</v>
      </c>
      <c r="I1011" s="223">
        <v>0.65</v>
      </c>
      <c r="J1011" s="223">
        <v>0.65</v>
      </c>
      <c r="K1011" s="223">
        <v>0.65</v>
      </c>
      <c r="L1011" s="223">
        <v>0.65</v>
      </c>
      <c r="M1011" s="224">
        <v>0.65</v>
      </c>
      <c r="N1011" s="225">
        <v>0.65</v>
      </c>
      <c r="O1011" s="225">
        <v>0.65</v>
      </c>
    </row>
    <row r="1012" spans="3:15" s="245" customFormat="1" ht="15" customHeight="1">
      <c r="C1012" s="379"/>
      <c r="D1012" s="127">
        <v>53</v>
      </c>
      <c r="E1012" s="406" t="s">
        <v>431</v>
      </c>
      <c r="F1012" s="133">
        <v>330.18299676244408</v>
      </c>
      <c r="G1012" s="134">
        <v>332.92824751735725</v>
      </c>
      <c r="H1012" s="134">
        <v>335.70518890744091</v>
      </c>
      <c r="I1012" s="134">
        <v>338.82223635874396</v>
      </c>
      <c r="J1012" s="134">
        <v>342.11078548327777</v>
      </c>
      <c r="K1012" s="134">
        <v>345.20318484313526</v>
      </c>
      <c r="L1012" s="134">
        <v>348.59812010627553</v>
      </c>
      <c r="M1012" s="135">
        <v>352.04745122711307</v>
      </c>
      <c r="N1012" s="128">
        <v>2725.5982112057877</v>
      </c>
      <c r="O1012" s="128">
        <v>340.69977640072347</v>
      </c>
    </row>
    <row r="1013" spans="3:15" s="245" customFormat="1" ht="15" customHeight="1">
      <c r="C1013" s="379"/>
      <c r="D1013" s="127">
        <v>54</v>
      </c>
      <c r="E1013" s="406" t="s">
        <v>447</v>
      </c>
      <c r="F1013" s="137">
        <v>15.636523346678603</v>
      </c>
      <c r="G1013" s="134">
        <v>15.766530578857704</v>
      </c>
      <c r="H1013" s="134">
        <v>15.898038588973808</v>
      </c>
      <c r="I1013" s="134">
        <v>16.045653050417663</v>
      </c>
      <c r="J1013" s="134">
        <v>16.201389341100942</v>
      </c>
      <c r="K1013" s="134">
        <v>16.347836539357051</v>
      </c>
      <c r="L1013" s="134">
        <v>16.508610973604334</v>
      </c>
      <c r="M1013" s="135">
        <v>16.671961440255426</v>
      </c>
      <c r="N1013" s="128">
        <v>129.07654385924553</v>
      </c>
      <c r="O1013" s="128">
        <v>16.134567982405692</v>
      </c>
    </row>
    <row r="1014" spans="3:15" s="245" customFormat="1" ht="15" customHeight="1" thickBot="1">
      <c r="C1014" s="379"/>
      <c r="D1014" s="138">
        <v>55</v>
      </c>
      <c r="E1014" s="410" t="s">
        <v>677</v>
      </c>
      <c r="F1014" s="254">
        <v>330.18299676244408</v>
      </c>
      <c r="G1014" s="139">
        <v>332.92824751735725</v>
      </c>
      <c r="H1014" s="139">
        <v>335.70518890744091</v>
      </c>
      <c r="I1014" s="139">
        <v>338.82223635874396</v>
      </c>
      <c r="J1014" s="139">
        <v>342.11078548327777</v>
      </c>
      <c r="K1014" s="139">
        <v>345.20318484313526</v>
      </c>
      <c r="L1014" s="139">
        <v>348.59812010627553</v>
      </c>
      <c r="M1014" s="226">
        <v>352.04745122711307</v>
      </c>
      <c r="N1014" s="253"/>
      <c r="O1014" s="253">
        <v>340.69977640072347</v>
      </c>
    </row>
    <row r="1015" spans="3:15" s="245" customFormat="1" ht="15" customHeight="1">
      <c r="C1015" s="379"/>
      <c r="D1015" s="244"/>
      <c r="E1015" s="402"/>
      <c r="F1015" s="155"/>
      <c r="G1015" s="155"/>
      <c r="H1015" s="155"/>
      <c r="I1015" s="155"/>
      <c r="J1015" s="155"/>
      <c r="K1015" s="155"/>
      <c r="L1015" s="155"/>
      <c r="M1015" s="155"/>
      <c r="N1015" s="155"/>
      <c r="O1015" s="155"/>
    </row>
    <row r="1016" spans="3:15" s="245" customFormat="1" ht="15" customHeight="1">
      <c r="C1016" s="378"/>
      <c r="D1016" s="244"/>
      <c r="E1016" s="190"/>
      <c r="F1016" s="155"/>
      <c r="G1016" s="155"/>
      <c r="H1016" s="155"/>
      <c r="I1016" s="155"/>
      <c r="J1016" s="155"/>
      <c r="K1016" s="155"/>
      <c r="L1016" s="155"/>
      <c r="M1016" s="383"/>
      <c r="N1016" s="155"/>
      <c r="O1016" s="155"/>
    </row>
    <row r="1017" spans="3:15" s="245" customFormat="1" ht="15" customHeight="1">
      <c r="C1017" s="378"/>
      <c r="D1017" s="244"/>
      <c r="E1017" s="190"/>
      <c r="F1017" s="155"/>
      <c r="G1017" s="155"/>
      <c r="H1017" s="155"/>
      <c r="I1017" s="155"/>
      <c r="J1017" s="155"/>
      <c r="K1017" s="155"/>
      <c r="L1017" s="155"/>
      <c r="M1017" s="383"/>
      <c r="N1017" s="155"/>
      <c r="O1017" s="155"/>
    </row>
    <row r="1018" spans="3:15" s="245" customFormat="1" ht="15" customHeight="1">
      <c r="C1018" s="378"/>
      <c r="D1018" s="244"/>
      <c r="E1018" s="190"/>
      <c r="F1018" s="155"/>
      <c r="G1018" s="155"/>
      <c r="H1018" s="155"/>
      <c r="I1018" s="155"/>
      <c r="J1018" s="155"/>
      <c r="K1018" s="155"/>
      <c r="L1018" s="155"/>
      <c r="M1018" s="383"/>
      <c r="N1018" s="155"/>
      <c r="O1018" s="155"/>
    </row>
    <row r="1019" spans="3:15" s="245" customFormat="1" ht="15" customHeight="1">
      <c r="C1019" s="378"/>
      <c r="D1019" s="244"/>
      <c r="E1019" s="190"/>
      <c r="F1019" s="378"/>
      <c r="G1019" s="378"/>
      <c r="H1019" s="378"/>
      <c r="I1019" s="378"/>
      <c r="J1019" s="378"/>
      <c r="K1019" s="378"/>
      <c r="L1019" s="378"/>
      <c r="M1019" s="378"/>
      <c r="N1019" s="378"/>
      <c r="O1019" s="378"/>
    </row>
    <row r="1020" spans="3:15" s="245" customFormat="1" ht="15" customHeight="1">
      <c r="C1020" s="380" t="s">
        <v>817</v>
      </c>
      <c r="D1020" s="380"/>
      <c r="E1020" s="380"/>
      <c r="F1020" s="380"/>
      <c r="G1020" s="380"/>
      <c r="H1020" s="380"/>
      <c r="I1020" s="380"/>
      <c r="J1020" s="380"/>
      <c r="K1020" s="380"/>
      <c r="L1020" s="380"/>
      <c r="M1020" s="380"/>
      <c r="N1020" s="380"/>
      <c r="O1020" s="380"/>
    </row>
    <row r="1021" spans="3:15" s="245" customFormat="1" ht="15" customHeight="1">
      <c r="C1021" s="379"/>
      <c r="D1021" s="379"/>
      <c r="E1021" s="379"/>
      <c r="F1021" s="379"/>
      <c r="G1021" s="379"/>
      <c r="H1021" s="379"/>
      <c r="I1021" s="379"/>
      <c r="J1021" s="379"/>
      <c r="K1021" s="379"/>
      <c r="L1021" s="379"/>
      <c r="M1021" s="379"/>
      <c r="N1021" s="379"/>
      <c r="O1021" s="379"/>
    </row>
    <row r="1022" spans="3:15" s="245" customFormat="1" ht="15" customHeight="1">
      <c r="C1022" s="379"/>
      <c r="D1022" s="376"/>
      <c r="E1022" s="376"/>
      <c r="F1022" s="377"/>
      <c r="G1022" s="377"/>
      <c r="H1022" s="377"/>
      <c r="I1022" s="377"/>
      <c r="J1022" s="377"/>
      <c r="K1022" s="377"/>
      <c r="L1022" s="377"/>
      <c r="M1022" s="377"/>
      <c r="N1022" s="376"/>
      <c r="O1022" s="376"/>
    </row>
    <row r="1023" spans="3:15" s="245" customFormat="1" ht="15" customHeight="1">
      <c r="C1023" s="379"/>
      <c r="D1023" s="376"/>
      <c r="E1023" s="381" t="s">
        <v>56</v>
      </c>
      <c r="F1023" s="381" t="s">
        <v>234</v>
      </c>
      <c r="G1023" s="377"/>
      <c r="H1023" s="381" t="s">
        <v>37</v>
      </c>
      <c r="I1023" s="377"/>
      <c r="J1023" s="377"/>
      <c r="K1023" s="377"/>
      <c r="L1023" s="377"/>
      <c r="M1023" s="377"/>
      <c r="N1023" s="376"/>
      <c r="O1023" s="376"/>
    </row>
    <row r="1024" spans="3:15" s="245" customFormat="1" ht="15" customHeight="1">
      <c r="C1024" s="379"/>
      <c r="D1024" s="118"/>
      <c r="E1024" s="118" t="s">
        <v>520</v>
      </c>
      <c r="F1024" s="345">
        <v>42460</v>
      </c>
      <c r="G1024" s="119"/>
      <c r="H1024" s="118" t="s">
        <v>851</v>
      </c>
      <c r="I1024" s="119"/>
      <c r="J1024" s="119"/>
      <c r="K1024" s="119"/>
      <c r="L1024" s="119"/>
      <c r="M1024" s="119"/>
      <c r="N1024" s="118"/>
      <c r="O1024" s="118"/>
    </row>
    <row r="1025" spans="3:15" s="245" customFormat="1" ht="15" customHeight="1" thickBot="1">
      <c r="C1025" s="379"/>
      <c r="D1025" s="379"/>
      <c r="E1025" s="379"/>
      <c r="F1025" s="430"/>
      <c r="G1025" s="430"/>
      <c r="H1025" s="430"/>
      <c r="I1025" s="430"/>
      <c r="J1025" s="430"/>
      <c r="K1025" s="430"/>
      <c r="L1025" s="430"/>
      <c r="M1025" s="430"/>
      <c r="N1025" s="379"/>
      <c r="O1025" s="379"/>
    </row>
    <row r="1026" spans="3:15" s="245" customFormat="1" ht="15" customHeight="1">
      <c r="C1026" s="379"/>
      <c r="D1026" s="120"/>
      <c r="E1026" s="189" t="s">
        <v>231</v>
      </c>
      <c r="F1026" s="181">
        <v>42460</v>
      </c>
      <c r="G1026" s="182">
        <v>42825</v>
      </c>
      <c r="H1026" s="182">
        <v>43190</v>
      </c>
      <c r="I1026" s="182">
        <v>43555</v>
      </c>
      <c r="J1026" s="182">
        <v>43921</v>
      </c>
      <c r="K1026" s="182">
        <v>44286</v>
      </c>
      <c r="L1026" s="182">
        <v>44651</v>
      </c>
      <c r="M1026" s="183">
        <v>45016</v>
      </c>
      <c r="N1026" s="243" t="s">
        <v>83</v>
      </c>
      <c r="O1026" s="184" t="s">
        <v>84</v>
      </c>
    </row>
    <row r="1027" spans="3:15" s="245" customFormat="1" ht="15" customHeight="1">
      <c r="C1027" s="379"/>
      <c r="D1027" s="121"/>
      <c r="E1027" s="406" t="s">
        <v>235</v>
      </c>
      <c r="F1027" s="185" t="s">
        <v>728</v>
      </c>
      <c r="G1027" s="186" t="s">
        <v>728</v>
      </c>
      <c r="H1027" s="186" t="s">
        <v>728</v>
      </c>
      <c r="I1027" s="186" t="s">
        <v>728</v>
      </c>
      <c r="J1027" s="186" t="s">
        <v>728</v>
      </c>
      <c r="K1027" s="186" t="s">
        <v>728</v>
      </c>
      <c r="L1027" s="186" t="s">
        <v>728</v>
      </c>
      <c r="M1027" s="187" t="s">
        <v>728</v>
      </c>
      <c r="N1027" s="188" t="s">
        <v>728</v>
      </c>
      <c r="O1027" s="188" t="s">
        <v>728</v>
      </c>
    </row>
    <row r="1028" spans="3:15" s="245" customFormat="1" ht="15" customHeight="1">
      <c r="C1028" s="379"/>
      <c r="D1028" s="122"/>
      <c r="E1028" s="407" t="s">
        <v>67</v>
      </c>
      <c r="F1028" s="123"/>
      <c r="G1028" s="124"/>
      <c r="H1028" s="124"/>
      <c r="I1028" s="124"/>
      <c r="J1028" s="124"/>
      <c r="K1028" s="124"/>
      <c r="L1028" s="124"/>
      <c r="M1028" s="125"/>
      <c r="N1028" s="126"/>
      <c r="O1028" s="126"/>
    </row>
    <row r="1029" spans="3:15" s="245" customFormat="1" ht="15" customHeight="1">
      <c r="C1029" s="379"/>
      <c r="D1029" s="127">
        <v>1</v>
      </c>
      <c r="E1029" s="406" t="s">
        <v>209</v>
      </c>
      <c r="F1029" s="133">
        <v>214.30283536876493</v>
      </c>
      <c r="G1029" s="134">
        <v>218.74958717835483</v>
      </c>
      <c r="H1029" s="134">
        <v>213.07955677040144</v>
      </c>
      <c r="I1029" s="134">
        <v>212.77598368354523</v>
      </c>
      <c r="J1029" s="134">
        <v>191.35412942848416</v>
      </c>
      <c r="K1029" s="134">
        <v>191.61771831702322</v>
      </c>
      <c r="L1029" s="134">
        <v>197.19301522840377</v>
      </c>
      <c r="M1029" s="135">
        <v>192.13875531318419</v>
      </c>
      <c r="N1029" s="128">
        <v>1631.2115812881618</v>
      </c>
      <c r="O1029" s="128">
        <v>203.90144766102023</v>
      </c>
    </row>
    <row r="1030" spans="3:15" s="245" customFormat="1" ht="15" customHeight="1">
      <c r="C1030" s="379"/>
      <c r="D1030" s="127">
        <v>2</v>
      </c>
      <c r="E1030" s="406" t="s">
        <v>679</v>
      </c>
      <c r="F1030" s="133">
        <v>91.844072300899256</v>
      </c>
      <c r="G1030" s="134">
        <v>93.749823076437792</v>
      </c>
      <c r="H1030" s="134">
        <v>91.319810044457768</v>
      </c>
      <c r="I1030" s="134">
        <v>91.189707292947958</v>
      </c>
      <c r="J1030" s="134">
        <v>82.008912612207496</v>
      </c>
      <c r="K1030" s="134">
        <v>82.121879278724236</v>
      </c>
      <c r="L1030" s="134">
        <v>84.511292240744496</v>
      </c>
      <c r="M1030" s="135">
        <v>82.345180848507511</v>
      </c>
      <c r="N1030" s="128">
        <v>699.09067769492651</v>
      </c>
      <c r="O1030" s="128">
        <v>87.386334711865814</v>
      </c>
    </row>
    <row r="1031" spans="3:15" s="245" customFormat="1" ht="15" customHeight="1">
      <c r="C1031" s="379"/>
      <c r="D1031" s="127">
        <v>3</v>
      </c>
      <c r="E1031" s="406" t="s">
        <v>210</v>
      </c>
      <c r="F1031" s="133">
        <v>306.14690766966419</v>
      </c>
      <c r="G1031" s="134">
        <v>312.49941025479262</v>
      </c>
      <c r="H1031" s="134">
        <v>304.39936681485921</v>
      </c>
      <c r="I1031" s="134">
        <v>303.96569097649319</v>
      </c>
      <c r="J1031" s="134">
        <v>273.36304204069165</v>
      </c>
      <c r="K1031" s="134">
        <v>273.73959759574745</v>
      </c>
      <c r="L1031" s="134">
        <v>281.70430746914826</v>
      </c>
      <c r="M1031" s="135">
        <v>274.4839361616917</v>
      </c>
      <c r="N1031" s="128">
        <v>2330.3022589830884</v>
      </c>
      <c r="O1031" s="128">
        <v>291.28778237288606</v>
      </c>
    </row>
    <row r="1032" spans="3:15" s="245" customFormat="1" ht="15" customHeight="1">
      <c r="C1032" s="379"/>
      <c r="D1032" s="122"/>
      <c r="E1032" s="407" t="s">
        <v>15</v>
      </c>
      <c r="F1032" s="123"/>
      <c r="G1032" s="124"/>
      <c r="H1032" s="124"/>
      <c r="I1032" s="124"/>
      <c r="J1032" s="124"/>
      <c r="K1032" s="124"/>
      <c r="L1032" s="124"/>
      <c r="M1032" s="125"/>
      <c r="N1032" s="126"/>
      <c r="O1032" s="126"/>
    </row>
    <row r="1033" spans="3:15" s="245" customFormat="1" ht="15" customHeight="1">
      <c r="C1033" s="379"/>
      <c r="D1033" s="127">
        <v>4</v>
      </c>
      <c r="E1033" s="406" t="s">
        <v>448</v>
      </c>
      <c r="F1033" s="133">
        <v>2052.8757796854438</v>
      </c>
      <c r="G1033" s="134">
        <v>2068.4376775502119</v>
      </c>
      <c r="H1033" s="134">
        <v>2089.1089485373086</v>
      </c>
      <c r="I1033" s="134">
        <v>2106.3383268803873</v>
      </c>
      <c r="J1033" s="134">
        <v>2125.7475442279979</v>
      </c>
      <c r="K1033" s="134">
        <v>2125.9816272584339</v>
      </c>
      <c r="L1033" s="134">
        <v>2128.4621782171962</v>
      </c>
      <c r="M1033" s="135">
        <v>2162.6048007139193</v>
      </c>
      <c r="N1033" s="128"/>
      <c r="O1033" s="128">
        <v>2107.4446103838623</v>
      </c>
    </row>
    <row r="1034" spans="3:15" s="245" customFormat="1" ht="15" customHeight="1">
      <c r="C1034" s="379"/>
      <c r="D1034" s="127">
        <v>5</v>
      </c>
      <c r="E1034" s="406" t="s">
        <v>119</v>
      </c>
      <c r="F1034" s="133">
        <v>0</v>
      </c>
      <c r="G1034" s="134">
        <v>0</v>
      </c>
      <c r="H1034" s="134">
        <v>0</v>
      </c>
      <c r="I1034" s="134">
        <v>0</v>
      </c>
      <c r="J1034" s="134">
        <v>0</v>
      </c>
      <c r="K1034" s="134">
        <v>0</v>
      </c>
      <c r="L1034" s="134">
        <v>0</v>
      </c>
      <c r="M1034" s="135">
        <v>0</v>
      </c>
      <c r="N1034" s="128">
        <v>0</v>
      </c>
      <c r="O1034" s="128">
        <v>0</v>
      </c>
    </row>
    <row r="1035" spans="3:15" s="245" customFormat="1" ht="15" customHeight="1">
      <c r="C1035" s="379"/>
      <c r="D1035" s="127">
        <v>6</v>
      </c>
      <c r="E1035" s="406" t="s">
        <v>449</v>
      </c>
      <c r="F1035" s="133">
        <v>2052.8757796854438</v>
      </c>
      <c r="G1035" s="134">
        <v>2068.4376775502119</v>
      </c>
      <c r="H1035" s="134">
        <v>2089.1089485373086</v>
      </c>
      <c r="I1035" s="134">
        <v>2106.3383268803873</v>
      </c>
      <c r="J1035" s="134">
        <v>2125.7475442279979</v>
      </c>
      <c r="K1035" s="134">
        <v>2125.9816272584339</v>
      </c>
      <c r="L1035" s="134">
        <v>2128.4621782171962</v>
      </c>
      <c r="M1035" s="135">
        <v>2162.6048007139193</v>
      </c>
      <c r="N1035" s="128"/>
      <c r="O1035" s="128">
        <v>2107.4446103838623</v>
      </c>
    </row>
    <row r="1036" spans="3:15" s="245" customFormat="1" ht="15" customHeight="1">
      <c r="C1036" s="379"/>
      <c r="D1036" s="127">
        <v>7</v>
      </c>
      <c r="E1036" s="406" t="s">
        <v>211</v>
      </c>
      <c r="F1036" s="133">
        <v>214.30283536876493</v>
      </c>
      <c r="G1036" s="134">
        <v>218.74958717835483</v>
      </c>
      <c r="H1036" s="134">
        <v>213.07955677040144</v>
      </c>
      <c r="I1036" s="134">
        <v>212.77598368354523</v>
      </c>
      <c r="J1036" s="134">
        <v>191.35412942848416</v>
      </c>
      <c r="K1036" s="134">
        <v>191.61771831702322</v>
      </c>
      <c r="L1036" s="134">
        <v>197.19301522840377</v>
      </c>
      <c r="M1036" s="135">
        <v>192.13875531318419</v>
      </c>
      <c r="N1036" s="128">
        <v>1631.2115812881618</v>
      </c>
      <c r="O1036" s="128">
        <v>203.90144766102023</v>
      </c>
    </row>
    <row r="1037" spans="3:15" s="245" customFormat="1" ht="15" customHeight="1">
      <c r="C1037" s="379"/>
      <c r="D1037" s="127">
        <v>8</v>
      </c>
      <c r="E1037" s="406" t="s">
        <v>0</v>
      </c>
      <c r="F1037" s="133">
        <v>-198.74093750399697</v>
      </c>
      <c r="G1037" s="134">
        <v>-198.07831619125824</v>
      </c>
      <c r="H1037" s="134">
        <v>-195.85017842732279</v>
      </c>
      <c r="I1037" s="134">
        <v>-193.36676633593478</v>
      </c>
      <c r="J1037" s="134">
        <v>-191.12004639804832</v>
      </c>
      <c r="K1037" s="134">
        <v>-189.13716735826065</v>
      </c>
      <c r="L1037" s="134">
        <v>-163.05039273168077</v>
      </c>
      <c r="M1037" s="135">
        <v>-161.21935744886116</v>
      </c>
      <c r="N1037" s="128">
        <v>-1490.5631623953636</v>
      </c>
      <c r="O1037" s="128">
        <v>-186.32039529942045</v>
      </c>
    </row>
    <row r="1038" spans="3:15" s="245" customFormat="1" ht="15" customHeight="1">
      <c r="C1038" s="379"/>
      <c r="D1038" s="127">
        <v>9</v>
      </c>
      <c r="E1038" s="406" t="s">
        <v>16</v>
      </c>
      <c r="F1038" s="133">
        <v>2068.4376775502119</v>
      </c>
      <c r="G1038" s="134">
        <v>2089.1089485373086</v>
      </c>
      <c r="H1038" s="134">
        <v>2106.3383268803873</v>
      </c>
      <c r="I1038" s="134">
        <v>2125.7475442279979</v>
      </c>
      <c r="J1038" s="134">
        <v>2125.9816272584339</v>
      </c>
      <c r="K1038" s="134">
        <v>2128.4621782171962</v>
      </c>
      <c r="L1038" s="134">
        <v>2162.6048007139193</v>
      </c>
      <c r="M1038" s="135">
        <v>2193.5241985782422</v>
      </c>
      <c r="N1038" s="128"/>
      <c r="O1038" s="128">
        <v>2125.0256627454623</v>
      </c>
    </row>
    <row r="1039" spans="3:15" s="245" customFormat="1" ht="15" customHeight="1">
      <c r="C1039" s="379"/>
      <c r="D1039" s="122"/>
      <c r="E1039" s="407" t="s">
        <v>296</v>
      </c>
      <c r="F1039" s="129"/>
      <c r="G1039" s="130"/>
      <c r="H1039" s="130"/>
      <c r="I1039" s="130"/>
      <c r="J1039" s="130"/>
      <c r="K1039" s="130"/>
      <c r="L1039" s="130"/>
      <c r="M1039" s="131"/>
      <c r="N1039" s="132"/>
      <c r="O1039" s="132"/>
    </row>
    <row r="1040" spans="3:15" s="245" customFormat="1" ht="15" customHeight="1">
      <c r="C1040" s="379"/>
      <c r="D1040" s="127">
        <v>10</v>
      </c>
      <c r="E1040" s="406" t="s">
        <v>97</v>
      </c>
      <c r="F1040" s="133">
        <v>91.844072300899256</v>
      </c>
      <c r="G1040" s="134">
        <v>93.749823076437792</v>
      </c>
      <c r="H1040" s="134">
        <v>91.319810044457768</v>
      </c>
      <c r="I1040" s="134">
        <v>91.189707292947958</v>
      </c>
      <c r="J1040" s="134">
        <v>82.008912612207496</v>
      </c>
      <c r="K1040" s="134">
        <v>82.121879278724236</v>
      </c>
      <c r="L1040" s="134">
        <v>84.511292240744496</v>
      </c>
      <c r="M1040" s="135">
        <v>82.345180848507511</v>
      </c>
      <c r="N1040" s="128">
        <v>699.09067769492651</v>
      </c>
      <c r="O1040" s="128">
        <v>87.386334711865814</v>
      </c>
    </row>
    <row r="1041" spans="3:15" s="245" customFormat="1" ht="15" customHeight="1">
      <c r="C1041" s="379"/>
      <c r="D1041" s="127">
        <v>11</v>
      </c>
      <c r="E1041" s="406" t="s">
        <v>600</v>
      </c>
      <c r="F1041" s="133">
        <v>59.126857142857141</v>
      </c>
      <c r="G1041" s="134">
        <v>54.741999999999997</v>
      </c>
      <c r="H1041" s="134">
        <v>55.996000000000002</v>
      </c>
      <c r="I1041" s="134">
        <v>55.999000000000002</v>
      </c>
      <c r="J1041" s="134">
        <v>57.051142857142864</v>
      </c>
      <c r="K1041" s="134">
        <v>56.005000000000003</v>
      </c>
      <c r="L1041" s="134">
        <v>55.344000000000001</v>
      </c>
      <c r="M1041" s="135">
        <v>55.695999999999998</v>
      </c>
      <c r="N1041" s="128">
        <v>449.96000000000004</v>
      </c>
      <c r="O1041" s="128">
        <v>56.245000000000005</v>
      </c>
    </row>
    <row r="1042" spans="3:15" s="245" customFormat="1" ht="15" customHeight="1">
      <c r="C1042" s="379"/>
      <c r="D1042" s="127">
        <v>12</v>
      </c>
      <c r="E1042" s="406" t="s">
        <v>65</v>
      </c>
      <c r="F1042" s="133">
        <v>198.74093750399697</v>
      </c>
      <c r="G1042" s="134">
        <v>198.07831619125824</v>
      </c>
      <c r="H1042" s="134">
        <v>195.85017842732279</v>
      </c>
      <c r="I1042" s="134">
        <v>193.36676633593478</v>
      </c>
      <c r="J1042" s="134">
        <v>191.12004639804832</v>
      </c>
      <c r="K1042" s="134">
        <v>189.13716735826065</v>
      </c>
      <c r="L1042" s="134">
        <v>163.05039273168077</v>
      </c>
      <c r="M1042" s="135">
        <v>161.21935744886116</v>
      </c>
      <c r="N1042" s="128">
        <v>1490.5631623953636</v>
      </c>
      <c r="O1042" s="128">
        <v>186.32039529942045</v>
      </c>
    </row>
    <row r="1043" spans="3:15" s="245" customFormat="1" ht="15" customHeight="1">
      <c r="C1043" s="379"/>
      <c r="D1043" s="127">
        <v>13</v>
      </c>
      <c r="E1043" s="406" t="s">
        <v>18</v>
      </c>
      <c r="F1043" s="133">
        <v>76.021862850637021</v>
      </c>
      <c r="G1043" s="134">
        <v>76.68852929002324</v>
      </c>
      <c r="H1043" s="134">
        <v>77.388865297339407</v>
      </c>
      <c r="I1043" s="134">
        <v>78.064007363474886</v>
      </c>
      <c r="J1043" s="134">
        <v>78.432896605035552</v>
      </c>
      <c r="K1043" s="134">
        <v>78.482210085718606</v>
      </c>
      <c r="L1043" s="134">
        <v>79.147038162931267</v>
      </c>
      <c r="M1043" s="135">
        <v>80.348354078530676</v>
      </c>
      <c r="N1043" s="128">
        <v>624.57376373369061</v>
      </c>
      <c r="O1043" s="128">
        <v>78.071720466711326</v>
      </c>
    </row>
    <row r="1044" spans="3:15" s="245" customFormat="1" ht="15" customHeight="1">
      <c r="C1044" s="379"/>
      <c r="D1044" s="127">
        <v>14</v>
      </c>
      <c r="E1044" s="406" t="s">
        <v>102</v>
      </c>
      <c r="F1044" s="133">
        <v>0</v>
      </c>
      <c r="G1044" s="134">
        <v>0</v>
      </c>
      <c r="H1044" s="134">
        <v>0</v>
      </c>
      <c r="I1044" s="134">
        <v>0</v>
      </c>
      <c r="J1044" s="134">
        <v>0</v>
      </c>
      <c r="K1044" s="134">
        <v>0</v>
      </c>
      <c r="L1044" s="134">
        <v>0</v>
      </c>
      <c r="M1044" s="135">
        <v>0</v>
      </c>
      <c r="N1044" s="128">
        <v>0</v>
      </c>
      <c r="O1044" s="128">
        <v>0</v>
      </c>
    </row>
    <row r="1045" spans="3:15" s="245" customFormat="1" ht="15" customHeight="1">
      <c r="C1045" s="379"/>
      <c r="D1045" s="127">
        <v>15</v>
      </c>
      <c r="E1045" s="406" t="s">
        <v>22</v>
      </c>
      <c r="F1045" s="133">
        <v>0.3648271976377423</v>
      </c>
      <c r="G1045" s="134">
        <v>0.37109083837102003</v>
      </c>
      <c r="H1045" s="134">
        <v>0.36071859106606846</v>
      </c>
      <c r="I1045" s="134">
        <v>0.35927814835295946</v>
      </c>
      <c r="J1045" s="134">
        <v>0.3227419487574148</v>
      </c>
      <c r="K1045" s="134">
        <v>0.32139075529498529</v>
      </c>
      <c r="L1045" s="134">
        <v>0.32876178406363676</v>
      </c>
      <c r="M1045" s="135">
        <v>0.31920430794598703</v>
      </c>
      <c r="N1045" s="128">
        <v>2.748013571489814</v>
      </c>
      <c r="O1045" s="128">
        <v>0.34350169643622674</v>
      </c>
    </row>
    <row r="1046" spans="3:15" s="245" customFormat="1" ht="15" customHeight="1">
      <c r="C1046" s="379"/>
      <c r="D1046" s="127">
        <v>16</v>
      </c>
      <c r="E1046" s="406" t="s">
        <v>215</v>
      </c>
      <c r="F1046" s="133">
        <v>20.341420031076023</v>
      </c>
      <c r="G1046" s="134">
        <v>22.913831241511371</v>
      </c>
      <c r="H1046" s="134">
        <v>26.743846270480336</v>
      </c>
      <c r="I1046" s="134">
        <v>29.340890634640587</v>
      </c>
      <c r="J1046" s="134">
        <v>39.463753150084557</v>
      </c>
      <c r="K1046" s="134">
        <v>41.845252235022564</v>
      </c>
      <c r="L1046" s="134">
        <v>65.52572132787013</v>
      </c>
      <c r="M1046" s="135">
        <v>67.768435737214361</v>
      </c>
      <c r="N1046" s="128">
        <v>313.94315062789991</v>
      </c>
      <c r="O1046" s="128">
        <v>39.242893828487489</v>
      </c>
    </row>
    <row r="1047" spans="3:15" s="245" customFormat="1" ht="15" customHeight="1">
      <c r="C1047" s="379"/>
      <c r="D1047" s="127">
        <v>17</v>
      </c>
      <c r="E1047" s="406" t="s">
        <v>6</v>
      </c>
      <c r="F1047" s="133">
        <v>27.309123660423086</v>
      </c>
      <c r="G1047" s="134">
        <v>27.184981486565491</v>
      </c>
      <c r="H1047" s="134">
        <v>26.051651163146474</v>
      </c>
      <c r="I1047" s="134">
        <v>25.382510778196359</v>
      </c>
      <c r="J1047" s="134">
        <v>25.296122360325025</v>
      </c>
      <c r="K1047" s="134">
        <v>25.785185976553858</v>
      </c>
      <c r="L1047" s="134">
        <v>25.789727359253916</v>
      </c>
      <c r="M1047" s="135">
        <v>26.008863222948985</v>
      </c>
      <c r="N1047" s="128">
        <v>208.80816600741318</v>
      </c>
      <c r="O1047" s="128">
        <v>26.101020750926647</v>
      </c>
    </row>
    <row r="1048" spans="3:15" s="245" customFormat="1" ht="15" customHeight="1">
      <c r="C1048" s="379"/>
      <c r="D1048" s="122"/>
      <c r="E1048" s="407" t="s">
        <v>164</v>
      </c>
      <c r="F1048" s="129"/>
      <c r="G1048" s="130"/>
      <c r="H1048" s="130"/>
      <c r="I1048" s="130"/>
      <c r="J1048" s="130"/>
      <c r="K1048" s="130"/>
      <c r="L1048" s="130"/>
      <c r="M1048" s="131"/>
      <c r="N1048" s="132"/>
      <c r="O1048" s="132"/>
    </row>
    <row r="1049" spans="3:15" s="245" customFormat="1" ht="15" customHeight="1">
      <c r="C1049" s="379"/>
      <c r="D1049" s="127">
        <v>18</v>
      </c>
      <c r="E1049" s="406" t="s">
        <v>97</v>
      </c>
      <c r="F1049" s="133">
        <v>91.844072300899256</v>
      </c>
      <c r="G1049" s="134">
        <v>93.749823076437792</v>
      </c>
      <c r="H1049" s="134">
        <v>91.319810044457768</v>
      </c>
      <c r="I1049" s="134">
        <v>91.189707292947958</v>
      </c>
      <c r="J1049" s="134">
        <v>82.008912612207496</v>
      </c>
      <c r="K1049" s="134">
        <v>82.121879278724236</v>
      </c>
      <c r="L1049" s="134">
        <v>84.511292240744496</v>
      </c>
      <c r="M1049" s="135">
        <v>82.345180848507511</v>
      </c>
      <c r="N1049" s="128">
        <v>699.09067769492651</v>
      </c>
      <c r="O1049" s="128">
        <v>87.386334711865814</v>
      </c>
    </row>
    <row r="1050" spans="3:15" s="245" customFormat="1" ht="15" customHeight="1">
      <c r="C1050" s="379"/>
      <c r="D1050" s="127">
        <v>19</v>
      </c>
      <c r="E1050" s="406" t="s">
        <v>600</v>
      </c>
      <c r="F1050" s="133">
        <v>59.126857142857141</v>
      </c>
      <c r="G1050" s="134">
        <v>54.741999999999997</v>
      </c>
      <c r="H1050" s="134">
        <v>55.996000000000002</v>
      </c>
      <c r="I1050" s="134">
        <v>55.999000000000002</v>
      </c>
      <c r="J1050" s="134">
        <v>57.051142857142864</v>
      </c>
      <c r="K1050" s="134">
        <v>56.005000000000003</v>
      </c>
      <c r="L1050" s="134">
        <v>55.344000000000001</v>
      </c>
      <c r="M1050" s="135">
        <v>55.695999999999998</v>
      </c>
      <c r="N1050" s="128">
        <v>449.96000000000004</v>
      </c>
      <c r="O1050" s="128">
        <v>56.245000000000005</v>
      </c>
    </row>
    <row r="1051" spans="3:15" s="245" customFormat="1" ht="15" customHeight="1">
      <c r="C1051" s="379"/>
      <c r="D1051" s="127">
        <v>20</v>
      </c>
      <c r="E1051" s="406" t="s">
        <v>65</v>
      </c>
      <c r="F1051" s="133">
        <v>198.74093750399697</v>
      </c>
      <c r="G1051" s="134">
        <v>198.07831619125824</v>
      </c>
      <c r="H1051" s="134">
        <v>195.85017842732279</v>
      </c>
      <c r="I1051" s="134">
        <v>193.36676633593478</v>
      </c>
      <c r="J1051" s="134">
        <v>191.12004639804832</v>
      </c>
      <c r="K1051" s="134">
        <v>189.13716735826065</v>
      </c>
      <c r="L1051" s="134">
        <v>163.05039273168077</v>
      </c>
      <c r="M1051" s="135">
        <v>161.21935744886116</v>
      </c>
      <c r="N1051" s="128">
        <v>1490.5631623953636</v>
      </c>
      <c r="O1051" s="128">
        <v>186.32039529942045</v>
      </c>
    </row>
    <row r="1052" spans="3:15" s="245" customFormat="1" ht="15" customHeight="1">
      <c r="C1052" s="379"/>
      <c r="D1052" s="127">
        <v>21</v>
      </c>
      <c r="E1052" s="406" t="s">
        <v>18</v>
      </c>
      <c r="F1052" s="133">
        <v>76.021862850637021</v>
      </c>
      <c r="G1052" s="134">
        <v>76.68852929002324</v>
      </c>
      <c r="H1052" s="134">
        <v>77.388865297339407</v>
      </c>
      <c r="I1052" s="134">
        <v>78.064007363474886</v>
      </c>
      <c r="J1052" s="134">
        <v>78.432896605035552</v>
      </c>
      <c r="K1052" s="134">
        <v>78.482210085718606</v>
      </c>
      <c r="L1052" s="134">
        <v>79.147038162931267</v>
      </c>
      <c r="M1052" s="135">
        <v>80.348354078530676</v>
      </c>
      <c r="N1052" s="128">
        <v>624.57376373369061</v>
      </c>
      <c r="O1052" s="128">
        <v>78.071720466711326</v>
      </c>
    </row>
    <row r="1053" spans="3:15" s="245" customFormat="1" ht="15" customHeight="1">
      <c r="C1053" s="379"/>
      <c r="D1053" s="127">
        <v>22</v>
      </c>
      <c r="E1053" s="406" t="s">
        <v>102</v>
      </c>
      <c r="F1053" s="133">
        <v>0</v>
      </c>
      <c r="G1053" s="134">
        <v>0</v>
      </c>
      <c r="H1053" s="134">
        <v>0</v>
      </c>
      <c r="I1053" s="134">
        <v>0</v>
      </c>
      <c r="J1053" s="134">
        <v>0</v>
      </c>
      <c r="K1053" s="134">
        <v>0</v>
      </c>
      <c r="L1053" s="134">
        <v>0</v>
      </c>
      <c r="M1053" s="135">
        <v>0</v>
      </c>
      <c r="N1053" s="128">
        <v>0</v>
      </c>
      <c r="O1053" s="128">
        <v>0</v>
      </c>
    </row>
    <row r="1054" spans="3:15" s="245" customFormat="1" ht="15" customHeight="1">
      <c r="C1054" s="379"/>
      <c r="D1054" s="127">
        <v>23</v>
      </c>
      <c r="E1054" s="406" t="s">
        <v>22</v>
      </c>
      <c r="F1054" s="133">
        <v>0.3648271976377423</v>
      </c>
      <c r="G1054" s="134">
        <v>0.37109083837102003</v>
      </c>
      <c r="H1054" s="134">
        <v>0.36071859106606846</v>
      </c>
      <c r="I1054" s="134">
        <v>0.35927814835295946</v>
      </c>
      <c r="J1054" s="134">
        <v>0.3227419487574148</v>
      </c>
      <c r="K1054" s="134">
        <v>0.32139075529498529</v>
      </c>
      <c r="L1054" s="134">
        <v>0.32876178406363676</v>
      </c>
      <c r="M1054" s="135">
        <v>0.31920430794598703</v>
      </c>
      <c r="N1054" s="128">
        <v>2.748013571489814</v>
      </c>
      <c r="O1054" s="128">
        <v>0.34350169643622674</v>
      </c>
    </row>
    <row r="1055" spans="3:15" s="245" customFormat="1" ht="15" customHeight="1">
      <c r="C1055" s="379"/>
      <c r="D1055" s="127">
        <v>24</v>
      </c>
      <c r="E1055" s="406" t="s">
        <v>215</v>
      </c>
      <c r="F1055" s="133">
        <v>20.341420031076023</v>
      </c>
      <c r="G1055" s="134">
        <v>22.913831241511371</v>
      </c>
      <c r="H1055" s="134">
        <v>26.743846270480336</v>
      </c>
      <c r="I1055" s="134">
        <v>29.340890634640587</v>
      </c>
      <c r="J1055" s="134">
        <v>39.463753150084557</v>
      </c>
      <c r="K1055" s="134">
        <v>41.845252235022564</v>
      </c>
      <c r="L1055" s="134">
        <v>65.52572132787013</v>
      </c>
      <c r="M1055" s="135">
        <v>67.768435737214361</v>
      </c>
      <c r="N1055" s="128">
        <v>313.94315062789991</v>
      </c>
      <c r="O1055" s="128">
        <v>39.242893828487489</v>
      </c>
    </row>
    <row r="1056" spans="3:15" s="245" customFormat="1" ht="15" customHeight="1">
      <c r="C1056" s="379"/>
      <c r="D1056" s="127">
        <v>25</v>
      </c>
      <c r="E1056" s="406" t="s">
        <v>6</v>
      </c>
      <c r="F1056" s="133">
        <v>27.309123660423086</v>
      </c>
      <c r="G1056" s="134">
        <v>27.184981486565491</v>
      </c>
      <c r="H1056" s="134">
        <v>26.051651163146474</v>
      </c>
      <c r="I1056" s="134">
        <v>25.382510778196359</v>
      </c>
      <c r="J1056" s="134">
        <v>25.296122360325025</v>
      </c>
      <c r="K1056" s="134">
        <v>25.785185976553858</v>
      </c>
      <c r="L1056" s="134">
        <v>25.789727359253916</v>
      </c>
      <c r="M1056" s="135">
        <v>26.008863222948985</v>
      </c>
      <c r="N1056" s="128">
        <v>208.80816600741318</v>
      </c>
      <c r="O1056" s="128">
        <v>26.101020750926647</v>
      </c>
    </row>
    <row r="1057" spans="3:15" s="245" customFormat="1" ht="15" customHeight="1">
      <c r="C1057" s="379"/>
      <c r="D1057" s="122"/>
      <c r="E1057" s="407" t="s">
        <v>19</v>
      </c>
      <c r="F1057" s="129"/>
      <c r="G1057" s="130"/>
      <c r="H1057" s="130"/>
      <c r="I1057" s="130"/>
      <c r="J1057" s="130"/>
      <c r="K1057" s="130"/>
      <c r="L1057" s="130"/>
      <c r="M1057" s="131"/>
      <c r="N1057" s="408"/>
      <c r="O1057" s="136"/>
    </row>
    <row r="1058" spans="3:15" s="245" customFormat="1" ht="15" customHeight="1">
      <c r="C1058" s="379"/>
      <c r="D1058" s="127">
        <v>26</v>
      </c>
      <c r="E1058" s="406" t="s">
        <v>460</v>
      </c>
      <c r="F1058" s="133">
        <v>473.74910068752729</v>
      </c>
      <c r="G1058" s="134">
        <v>473.72857212416716</v>
      </c>
      <c r="H1058" s="134">
        <v>473.71106979381284</v>
      </c>
      <c r="I1058" s="134">
        <v>473.70216055354757</v>
      </c>
      <c r="J1058" s="134">
        <v>473.69561593160125</v>
      </c>
      <c r="K1058" s="134">
        <v>473.6980856895749</v>
      </c>
      <c r="L1058" s="134">
        <v>473.69693360654423</v>
      </c>
      <c r="M1058" s="135">
        <v>473.70539564400872</v>
      </c>
      <c r="N1058" s="128">
        <v>3789.686934030784</v>
      </c>
      <c r="O1058" s="128">
        <v>473.71086675384799</v>
      </c>
    </row>
    <row r="1059" spans="3:15" s="245" customFormat="1" ht="15" customHeight="1">
      <c r="C1059" s="379"/>
      <c r="D1059" s="127">
        <v>27</v>
      </c>
      <c r="E1059" s="406" t="s">
        <v>58</v>
      </c>
      <c r="F1059" s="133">
        <v>0</v>
      </c>
      <c r="G1059" s="134">
        <v>0</v>
      </c>
      <c r="H1059" s="134">
        <v>0</v>
      </c>
      <c r="I1059" s="134">
        <v>0</v>
      </c>
      <c r="J1059" s="134">
        <v>0</v>
      </c>
      <c r="K1059" s="134">
        <v>0</v>
      </c>
      <c r="L1059" s="134">
        <v>0</v>
      </c>
      <c r="M1059" s="135">
        <v>0</v>
      </c>
      <c r="N1059" s="128">
        <v>0</v>
      </c>
      <c r="O1059" s="128">
        <v>0</v>
      </c>
    </row>
    <row r="1060" spans="3:15" s="245" customFormat="1" ht="15" customHeight="1">
      <c r="C1060" s="379"/>
      <c r="D1060" s="127">
        <v>28</v>
      </c>
      <c r="E1060" s="406" t="s">
        <v>43</v>
      </c>
      <c r="F1060" s="137">
        <v>473.74910068752729</v>
      </c>
      <c r="G1060" s="134">
        <v>473.72857212416716</v>
      </c>
      <c r="H1060" s="134">
        <v>473.71106979381284</v>
      </c>
      <c r="I1060" s="134">
        <v>473.70216055354757</v>
      </c>
      <c r="J1060" s="134">
        <v>473.69561593160125</v>
      </c>
      <c r="K1060" s="134">
        <v>473.6980856895749</v>
      </c>
      <c r="L1060" s="134">
        <v>473.69693360654423</v>
      </c>
      <c r="M1060" s="135">
        <v>473.70539564400872</v>
      </c>
      <c r="N1060" s="128">
        <v>3789.686934030784</v>
      </c>
      <c r="O1060" s="128">
        <v>473.71086675384799</v>
      </c>
    </row>
    <row r="1061" spans="3:15" s="245" customFormat="1" ht="15" customHeight="1">
      <c r="C1061" s="379"/>
      <c r="D1061" s="127">
        <v>29</v>
      </c>
      <c r="E1061" s="406" t="s">
        <v>739</v>
      </c>
      <c r="F1061" s="137">
        <v>11.034502948765491</v>
      </c>
      <c r="G1061" s="134">
        <v>9.5443621587654839</v>
      </c>
      <c r="H1061" s="134">
        <v>7.9291027766654825</v>
      </c>
      <c r="I1061" s="134">
        <v>6.6787259883864802</v>
      </c>
      <c r="J1061" s="134">
        <v>6.4532329679902851</v>
      </c>
      <c r="K1061" s="134">
        <v>6.4656248777980316</v>
      </c>
      <c r="L1061" s="134">
        <v>6.4109028685077014</v>
      </c>
      <c r="M1061" s="135">
        <v>6.4420680793102871</v>
      </c>
      <c r="N1061" s="128">
        <v>60.958522666189253</v>
      </c>
      <c r="O1061" s="128">
        <v>7.6198153332736567</v>
      </c>
    </row>
    <row r="1062" spans="3:15" s="245" customFormat="1" ht="15" customHeight="1">
      <c r="C1062" s="379"/>
      <c r="D1062" s="127">
        <v>30</v>
      </c>
      <c r="E1062" s="406" t="s">
        <v>770</v>
      </c>
      <c r="F1062" s="431">
        <v>15.447403729421062</v>
      </c>
      <c r="G1062" s="137">
        <v>15.44740372942106</v>
      </c>
      <c r="H1062" s="137">
        <v>7.4655138810891444</v>
      </c>
      <c r="I1062" s="137">
        <v>0</v>
      </c>
      <c r="J1062" s="137">
        <v>0</v>
      </c>
      <c r="K1062" s="137">
        <v>0</v>
      </c>
      <c r="L1062" s="137">
        <v>0</v>
      </c>
      <c r="M1062" s="137">
        <v>0</v>
      </c>
      <c r="N1062" s="128">
        <v>38.360321339931268</v>
      </c>
      <c r="O1062" s="128">
        <v>4.7950401674914085</v>
      </c>
    </row>
    <row r="1063" spans="3:15" s="245" customFormat="1" ht="15" customHeight="1">
      <c r="C1063" s="379"/>
      <c r="D1063" s="127">
        <v>31</v>
      </c>
      <c r="E1063" s="406" t="s">
        <v>764</v>
      </c>
      <c r="F1063" s="137">
        <v>0</v>
      </c>
      <c r="G1063" s="134">
        <v>0</v>
      </c>
      <c r="H1063" s="134">
        <v>0</v>
      </c>
      <c r="I1063" s="134">
        <v>0</v>
      </c>
      <c r="J1063" s="134">
        <v>0</v>
      </c>
      <c r="K1063" s="134">
        <v>0</v>
      </c>
      <c r="L1063" s="134">
        <v>0</v>
      </c>
      <c r="M1063" s="135">
        <v>0</v>
      </c>
      <c r="N1063" s="128">
        <v>0</v>
      </c>
      <c r="O1063" s="128">
        <v>0</v>
      </c>
    </row>
    <row r="1064" spans="3:15" s="245" customFormat="1" ht="15" customHeight="1">
      <c r="C1064" s="379"/>
      <c r="D1064" s="127">
        <v>32</v>
      </c>
      <c r="E1064" s="406" t="s">
        <v>9</v>
      </c>
      <c r="F1064" s="137">
        <v>500.23100736571382</v>
      </c>
      <c r="G1064" s="134">
        <v>498.72033801235369</v>
      </c>
      <c r="H1064" s="134">
        <v>489.10568645156746</v>
      </c>
      <c r="I1064" s="134">
        <v>480.38088654193405</v>
      </c>
      <c r="J1064" s="134">
        <v>480.14884889959154</v>
      </c>
      <c r="K1064" s="134">
        <v>480.1637105673729</v>
      </c>
      <c r="L1064" s="134">
        <v>480.10783647505195</v>
      </c>
      <c r="M1064" s="367">
        <v>480.14746372331899</v>
      </c>
      <c r="N1064" s="128">
        <v>3889.0057780369048</v>
      </c>
      <c r="O1064" s="128">
        <v>486.12572225461309</v>
      </c>
    </row>
    <row r="1065" spans="3:15" s="245" customFormat="1" ht="15" customHeight="1">
      <c r="C1065" s="379"/>
      <c r="D1065" s="122"/>
      <c r="E1065" s="407" t="s">
        <v>173</v>
      </c>
      <c r="F1065" s="129"/>
      <c r="G1065" s="130"/>
      <c r="H1065" s="130"/>
      <c r="I1065" s="130"/>
      <c r="J1065" s="130"/>
      <c r="K1065" s="198"/>
      <c r="L1065" s="130"/>
      <c r="M1065" s="131"/>
      <c r="N1065" s="408"/>
      <c r="O1065" s="136"/>
    </row>
    <row r="1066" spans="3:15" s="245" customFormat="1" ht="15" customHeight="1">
      <c r="C1066" s="379"/>
      <c r="D1066" s="127">
        <v>33</v>
      </c>
      <c r="E1066" s="406" t="s">
        <v>173</v>
      </c>
      <c r="F1066" s="133">
        <v>473.74910068752729</v>
      </c>
      <c r="G1066" s="134">
        <v>473.72857212416716</v>
      </c>
      <c r="H1066" s="134">
        <v>473.71106979381284</v>
      </c>
      <c r="I1066" s="134">
        <v>473.70216055354757</v>
      </c>
      <c r="J1066" s="134">
        <v>473.69561593160125</v>
      </c>
      <c r="K1066" s="134">
        <v>473.6980856895749</v>
      </c>
      <c r="L1066" s="134">
        <v>473.69693360654423</v>
      </c>
      <c r="M1066" s="135">
        <v>473.70539564400872</v>
      </c>
      <c r="N1066" s="128">
        <v>3789.686934030784</v>
      </c>
      <c r="O1066" s="128">
        <v>473.71086675384799</v>
      </c>
    </row>
    <row r="1067" spans="3:15" s="245" customFormat="1" ht="15" customHeight="1">
      <c r="C1067" s="379"/>
      <c r="D1067" s="127">
        <v>34</v>
      </c>
      <c r="E1067" s="406" t="s">
        <v>187</v>
      </c>
      <c r="F1067" s="133">
        <v>0</v>
      </c>
      <c r="G1067" s="134">
        <v>0</v>
      </c>
      <c r="H1067" s="134">
        <v>0</v>
      </c>
      <c r="I1067" s="134">
        <v>0</v>
      </c>
      <c r="J1067" s="134">
        <v>0</v>
      </c>
      <c r="K1067" s="134">
        <v>0</v>
      </c>
      <c r="L1067" s="134">
        <v>0</v>
      </c>
      <c r="M1067" s="135">
        <v>0</v>
      </c>
      <c r="N1067" s="128">
        <v>0</v>
      </c>
      <c r="O1067" s="128">
        <v>0</v>
      </c>
    </row>
    <row r="1068" spans="3:15" s="245" customFormat="1" ht="15" customHeight="1">
      <c r="C1068" s="378"/>
      <c r="D1068" s="122"/>
      <c r="E1068" s="407" t="s">
        <v>297</v>
      </c>
      <c r="F1068" s="129"/>
      <c r="G1068" s="130"/>
      <c r="H1068" s="130"/>
      <c r="I1068" s="130"/>
      <c r="J1068" s="130"/>
      <c r="K1068" s="198"/>
      <c r="L1068" s="130"/>
      <c r="M1068" s="131"/>
      <c r="N1068" s="408"/>
      <c r="O1068" s="136"/>
    </row>
    <row r="1069" spans="3:15" s="245" customFormat="1" ht="15" customHeight="1">
      <c r="C1069" s="378"/>
      <c r="D1069" s="127">
        <v>35</v>
      </c>
      <c r="E1069" s="409">
        <v>42460</v>
      </c>
      <c r="F1069" s="137">
        <v>473.74910068752729</v>
      </c>
      <c r="G1069" s="134">
        <v>473.72857212416716</v>
      </c>
      <c r="H1069" s="134">
        <v>473.71106979381284</v>
      </c>
      <c r="I1069" s="134">
        <v>473.70216055354757</v>
      </c>
      <c r="J1069" s="134">
        <v>473.69561593160125</v>
      </c>
      <c r="K1069" s="134">
        <v>473.6980856895749</v>
      </c>
      <c r="L1069" s="134">
        <v>473.69693360654423</v>
      </c>
      <c r="M1069" s="135">
        <v>473.70539564400872</v>
      </c>
      <c r="N1069" s="128">
        <v>3789.686934030784</v>
      </c>
      <c r="O1069" s="128">
        <v>473.71086675384799</v>
      </c>
    </row>
    <row r="1070" spans="3:15" s="245" customFormat="1" ht="15" customHeight="1">
      <c r="C1070" s="378"/>
      <c r="D1070" s="127">
        <v>36</v>
      </c>
      <c r="E1070" s="409">
        <v>42825</v>
      </c>
      <c r="F1070" s="137" t="s">
        <v>196</v>
      </c>
      <c r="G1070" s="134" t="s">
        <v>196</v>
      </c>
      <c r="H1070" s="134" t="s">
        <v>196</v>
      </c>
      <c r="I1070" s="134" t="s">
        <v>196</v>
      </c>
      <c r="J1070" s="134" t="s">
        <v>196</v>
      </c>
      <c r="K1070" s="134" t="s">
        <v>196</v>
      </c>
      <c r="L1070" s="134" t="s">
        <v>196</v>
      </c>
      <c r="M1070" s="135" t="s">
        <v>196</v>
      </c>
      <c r="N1070" s="128">
        <v>0</v>
      </c>
      <c r="O1070" s="128">
        <v>0</v>
      </c>
    </row>
    <row r="1071" spans="3:15" s="245" customFormat="1" ht="15" customHeight="1">
      <c r="C1071" s="378"/>
      <c r="D1071" s="127">
        <v>37</v>
      </c>
      <c r="E1071" s="409">
        <v>43190</v>
      </c>
      <c r="F1071" s="137" t="s">
        <v>196</v>
      </c>
      <c r="G1071" s="134" t="s">
        <v>196</v>
      </c>
      <c r="H1071" s="134" t="s">
        <v>196</v>
      </c>
      <c r="I1071" s="134" t="s">
        <v>196</v>
      </c>
      <c r="J1071" s="134" t="s">
        <v>196</v>
      </c>
      <c r="K1071" s="134" t="s">
        <v>196</v>
      </c>
      <c r="L1071" s="134" t="s">
        <v>196</v>
      </c>
      <c r="M1071" s="135" t="s">
        <v>196</v>
      </c>
      <c r="N1071" s="128">
        <v>0</v>
      </c>
      <c r="O1071" s="128">
        <v>0</v>
      </c>
    </row>
    <row r="1072" spans="3:15" s="245" customFormat="1" ht="15" customHeight="1">
      <c r="C1072" s="378"/>
      <c r="D1072" s="127">
        <v>38</v>
      </c>
      <c r="E1072" s="409">
        <v>43555</v>
      </c>
      <c r="F1072" s="137" t="s">
        <v>196</v>
      </c>
      <c r="G1072" s="134" t="s">
        <v>196</v>
      </c>
      <c r="H1072" s="134" t="s">
        <v>196</v>
      </c>
      <c r="I1072" s="134" t="s">
        <v>196</v>
      </c>
      <c r="J1072" s="134" t="s">
        <v>196</v>
      </c>
      <c r="K1072" s="134" t="s">
        <v>196</v>
      </c>
      <c r="L1072" s="134" t="s">
        <v>196</v>
      </c>
      <c r="M1072" s="135" t="s">
        <v>196</v>
      </c>
      <c r="N1072" s="128">
        <v>0</v>
      </c>
      <c r="O1072" s="128">
        <v>0</v>
      </c>
    </row>
    <row r="1073" spans="3:15" s="245" customFormat="1" ht="15" customHeight="1">
      <c r="C1073" s="378"/>
      <c r="D1073" s="127">
        <v>39</v>
      </c>
      <c r="E1073" s="409">
        <v>43921</v>
      </c>
      <c r="F1073" s="137" t="s">
        <v>196</v>
      </c>
      <c r="G1073" s="134" t="s">
        <v>196</v>
      </c>
      <c r="H1073" s="134" t="s">
        <v>196</v>
      </c>
      <c r="I1073" s="134" t="s">
        <v>196</v>
      </c>
      <c r="J1073" s="134" t="s">
        <v>196</v>
      </c>
      <c r="K1073" s="134" t="s">
        <v>196</v>
      </c>
      <c r="L1073" s="134" t="s">
        <v>196</v>
      </c>
      <c r="M1073" s="135" t="s">
        <v>196</v>
      </c>
      <c r="N1073" s="128">
        <v>0</v>
      </c>
      <c r="O1073" s="128">
        <v>0</v>
      </c>
    </row>
    <row r="1074" spans="3:15" s="245" customFormat="1" ht="15" customHeight="1">
      <c r="C1074" s="378"/>
      <c r="D1074" s="127">
        <v>40</v>
      </c>
      <c r="E1074" s="409">
        <v>44286</v>
      </c>
      <c r="F1074" s="137" t="s">
        <v>196</v>
      </c>
      <c r="G1074" s="134" t="s">
        <v>196</v>
      </c>
      <c r="H1074" s="134" t="s">
        <v>196</v>
      </c>
      <c r="I1074" s="134" t="s">
        <v>196</v>
      </c>
      <c r="J1074" s="134" t="s">
        <v>196</v>
      </c>
      <c r="K1074" s="134" t="s">
        <v>196</v>
      </c>
      <c r="L1074" s="134" t="s">
        <v>196</v>
      </c>
      <c r="M1074" s="135" t="s">
        <v>196</v>
      </c>
      <c r="N1074" s="128">
        <v>0</v>
      </c>
      <c r="O1074" s="128">
        <v>0</v>
      </c>
    </row>
    <row r="1075" spans="3:15" s="245" customFormat="1" ht="15" customHeight="1">
      <c r="C1075" s="378"/>
      <c r="D1075" s="127">
        <v>41</v>
      </c>
      <c r="E1075" s="409">
        <v>44651</v>
      </c>
      <c r="F1075" s="137" t="s">
        <v>196</v>
      </c>
      <c r="G1075" s="134" t="s">
        <v>196</v>
      </c>
      <c r="H1075" s="134" t="s">
        <v>196</v>
      </c>
      <c r="I1075" s="134" t="s">
        <v>196</v>
      </c>
      <c r="J1075" s="134" t="s">
        <v>196</v>
      </c>
      <c r="K1075" s="134" t="s">
        <v>196</v>
      </c>
      <c r="L1075" s="134" t="s">
        <v>196</v>
      </c>
      <c r="M1075" s="135" t="s">
        <v>196</v>
      </c>
      <c r="N1075" s="128">
        <v>0</v>
      </c>
      <c r="O1075" s="128">
        <v>0</v>
      </c>
    </row>
    <row r="1076" spans="3:15" s="245" customFormat="1" ht="15" customHeight="1">
      <c r="C1076" s="378"/>
      <c r="D1076" s="127">
        <v>42</v>
      </c>
      <c r="E1076" s="409">
        <v>45016</v>
      </c>
      <c r="F1076" s="137" t="s">
        <v>196</v>
      </c>
      <c r="G1076" s="134" t="s">
        <v>196</v>
      </c>
      <c r="H1076" s="134" t="s">
        <v>196</v>
      </c>
      <c r="I1076" s="134" t="s">
        <v>196</v>
      </c>
      <c r="J1076" s="134" t="s">
        <v>196</v>
      </c>
      <c r="K1076" s="134" t="s">
        <v>196</v>
      </c>
      <c r="L1076" s="134" t="s">
        <v>196</v>
      </c>
      <c r="M1076" s="135" t="s">
        <v>196</v>
      </c>
      <c r="N1076" s="128">
        <v>0</v>
      </c>
      <c r="O1076" s="128">
        <v>0</v>
      </c>
    </row>
    <row r="1077" spans="3:15" s="245" customFormat="1" ht="15" customHeight="1">
      <c r="C1077" s="378"/>
      <c r="D1077" s="122"/>
      <c r="E1077" s="407" t="s">
        <v>461</v>
      </c>
      <c r="F1077" s="129"/>
      <c r="G1077" s="130"/>
      <c r="H1077" s="130"/>
      <c r="I1077" s="130"/>
      <c r="J1077" s="130"/>
      <c r="K1077" s="198"/>
      <c r="L1077" s="130"/>
      <c r="M1077" s="131"/>
      <c r="N1077" s="408"/>
      <c r="O1077" s="136"/>
    </row>
    <row r="1078" spans="3:15" s="245" customFormat="1" ht="15" customHeight="1">
      <c r="C1078" s="378"/>
      <c r="D1078" s="127">
        <v>43</v>
      </c>
      <c r="E1078" s="409">
        <v>42460</v>
      </c>
      <c r="F1078" s="137">
        <v>0</v>
      </c>
      <c r="G1078" s="134">
        <v>0</v>
      </c>
      <c r="H1078" s="134">
        <v>0</v>
      </c>
      <c r="I1078" s="134">
        <v>0</v>
      </c>
      <c r="J1078" s="134">
        <v>0</v>
      </c>
      <c r="K1078" s="134">
        <v>0</v>
      </c>
      <c r="L1078" s="134">
        <v>0</v>
      </c>
      <c r="M1078" s="135">
        <v>0</v>
      </c>
      <c r="N1078" s="128">
        <v>0</v>
      </c>
      <c r="O1078" s="128"/>
    </row>
    <row r="1079" spans="3:15" s="245" customFormat="1" ht="15" customHeight="1">
      <c r="C1079" s="378"/>
      <c r="D1079" s="127">
        <v>44</v>
      </c>
      <c r="E1079" s="409">
        <v>42825</v>
      </c>
      <c r="F1079" s="137" t="s">
        <v>196</v>
      </c>
      <c r="G1079" s="134" t="s">
        <v>196</v>
      </c>
      <c r="H1079" s="134" t="s">
        <v>196</v>
      </c>
      <c r="I1079" s="134" t="s">
        <v>196</v>
      </c>
      <c r="J1079" s="134" t="s">
        <v>196</v>
      </c>
      <c r="K1079" s="134" t="s">
        <v>196</v>
      </c>
      <c r="L1079" s="134" t="s">
        <v>196</v>
      </c>
      <c r="M1079" s="135" t="s">
        <v>196</v>
      </c>
      <c r="N1079" s="128">
        <v>0</v>
      </c>
      <c r="O1079" s="128"/>
    </row>
    <row r="1080" spans="3:15" s="245" customFormat="1" ht="15" customHeight="1">
      <c r="C1080" s="378"/>
      <c r="D1080" s="127">
        <v>45</v>
      </c>
      <c r="E1080" s="409">
        <v>43190</v>
      </c>
      <c r="F1080" s="137" t="s">
        <v>196</v>
      </c>
      <c r="G1080" s="134" t="s">
        <v>196</v>
      </c>
      <c r="H1080" s="134" t="s">
        <v>196</v>
      </c>
      <c r="I1080" s="134" t="s">
        <v>196</v>
      </c>
      <c r="J1080" s="134" t="s">
        <v>196</v>
      </c>
      <c r="K1080" s="134" t="s">
        <v>196</v>
      </c>
      <c r="L1080" s="134" t="s">
        <v>196</v>
      </c>
      <c r="M1080" s="135" t="s">
        <v>196</v>
      </c>
      <c r="N1080" s="128">
        <v>0</v>
      </c>
      <c r="O1080" s="128"/>
    </row>
    <row r="1081" spans="3:15" s="245" customFormat="1" ht="15" customHeight="1">
      <c r="C1081" s="378"/>
      <c r="D1081" s="127">
        <v>46</v>
      </c>
      <c r="E1081" s="409">
        <v>43555</v>
      </c>
      <c r="F1081" s="137" t="s">
        <v>196</v>
      </c>
      <c r="G1081" s="134" t="s">
        <v>196</v>
      </c>
      <c r="H1081" s="134" t="s">
        <v>196</v>
      </c>
      <c r="I1081" s="134" t="s">
        <v>196</v>
      </c>
      <c r="J1081" s="134" t="s">
        <v>196</v>
      </c>
      <c r="K1081" s="134" t="s">
        <v>196</v>
      </c>
      <c r="L1081" s="134" t="s">
        <v>196</v>
      </c>
      <c r="M1081" s="135" t="s">
        <v>196</v>
      </c>
      <c r="N1081" s="128">
        <v>0</v>
      </c>
      <c r="O1081" s="128"/>
    </row>
    <row r="1082" spans="3:15" s="245" customFormat="1" ht="15" customHeight="1">
      <c r="C1082" s="378"/>
      <c r="D1082" s="127">
        <v>47</v>
      </c>
      <c r="E1082" s="409">
        <v>43921</v>
      </c>
      <c r="F1082" s="137" t="s">
        <v>196</v>
      </c>
      <c r="G1082" s="134" t="s">
        <v>196</v>
      </c>
      <c r="H1082" s="134" t="s">
        <v>196</v>
      </c>
      <c r="I1082" s="134" t="s">
        <v>196</v>
      </c>
      <c r="J1082" s="134" t="s">
        <v>196</v>
      </c>
      <c r="K1082" s="134" t="s">
        <v>196</v>
      </c>
      <c r="L1082" s="134" t="s">
        <v>196</v>
      </c>
      <c r="M1082" s="135" t="s">
        <v>196</v>
      </c>
      <c r="N1082" s="128">
        <v>0</v>
      </c>
      <c r="O1082" s="128"/>
    </row>
    <row r="1083" spans="3:15" s="245" customFormat="1" ht="15" customHeight="1">
      <c r="C1083" s="378"/>
      <c r="D1083" s="127">
        <v>48</v>
      </c>
      <c r="E1083" s="409">
        <v>44286</v>
      </c>
      <c r="F1083" s="137" t="s">
        <v>196</v>
      </c>
      <c r="G1083" s="134" t="s">
        <v>196</v>
      </c>
      <c r="H1083" s="134" t="s">
        <v>196</v>
      </c>
      <c r="I1083" s="134" t="s">
        <v>196</v>
      </c>
      <c r="J1083" s="134" t="s">
        <v>196</v>
      </c>
      <c r="K1083" s="134" t="s">
        <v>196</v>
      </c>
      <c r="L1083" s="134" t="s">
        <v>196</v>
      </c>
      <c r="M1083" s="135" t="s">
        <v>196</v>
      </c>
      <c r="N1083" s="128">
        <v>0</v>
      </c>
      <c r="O1083" s="128"/>
    </row>
    <row r="1084" spans="3:15" s="245" customFormat="1" ht="15" customHeight="1">
      <c r="C1084" s="378"/>
      <c r="D1084" s="127">
        <v>49</v>
      </c>
      <c r="E1084" s="409">
        <v>44651</v>
      </c>
      <c r="F1084" s="137" t="s">
        <v>196</v>
      </c>
      <c r="G1084" s="134" t="s">
        <v>196</v>
      </c>
      <c r="H1084" s="134" t="s">
        <v>196</v>
      </c>
      <c r="I1084" s="134" t="s">
        <v>196</v>
      </c>
      <c r="J1084" s="134" t="s">
        <v>196</v>
      </c>
      <c r="K1084" s="134" t="s">
        <v>196</v>
      </c>
      <c r="L1084" s="134" t="s">
        <v>196</v>
      </c>
      <c r="M1084" s="135" t="s">
        <v>196</v>
      </c>
      <c r="N1084" s="128">
        <v>0</v>
      </c>
      <c r="O1084" s="128"/>
    </row>
    <row r="1085" spans="3:15" s="245" customFormat="1" ht="15" customHeight="1">
      <c r="C1085" s="378"/>
      <c r="D1085" s="127">
        <v>50</v>
      </c>
      <c r="E1085" s="409">
        <v>45016</v>
      </c>
      <c r="F1085" s="137" t="s">
        <v>196</v>
      </c>
      <c r="G1085" s="134" t="s">
        <v>196</v>
      </c>
      <c r="H1085" s="134" t="s">
        <v>196</v>
      </c>
      <c r="I1085" s="134" t="s">
        <v>196</v>
      </c>
      <c r="J1085" s="134" t="s">
        <v>196</v>
      </c>
      <c r="K1085" s="134" t="s">
        <v>196</v>
      </c>
      <c r="L1085" s="134" t="s">
        <v>196</v>
      </c>
      <c r="M1085" s="135" t="s">
        <v>196</v>
      </c>
      <c r="N1085" s="128">
        <v>0</v>
      </c>
      <c r="O1085" s="128"/>
    </row>
    <row r="1086" spans="3:15" s="245" customFormat="1" ht="15" customHeight="1">
      <c r="C1086" s="378"/>
      <c r="D1086" s="122"/>
      <c r="E1086" s="407" t="s">
        <v>468</v>
      </c>
      <c r="F1086" s="129"/>
      <c r="G1086" s="130"/>
      <c r="H1086" s="130"/>
      <c r="I1086" s="130"/>
      <c r="J1086" s="130"/>
      <c r="K1086" s="198"/>
      <c r="L1086" s="130"/>
      <c r="M1086" s="131"/>
      <c r="N1086" s="408"/>
      <c r="O1086" s="136"/>
    </row>
    <row r="1087" spans="3:15" s="245" customFormat="1" ht="15" customHeight="1">
      <c r="C1087" s="378"/>
      <c r="D1087" s="127">
        <v>51</v>
      </c>
      <c r="E1087" s="406" t="s">
        <v>445</v>
      </c>
      <c r="F1087" s="133">
        <v>2023.2032694780312</v>
      </c>
      <c r="G1087" s="134">
        <v>2040.9455566207116</v>
      </c>
      <c r="H1087" s="134">
        <v>2059.5839067821535</v>
      </c>
      <c r="I1087" s="134">
        <v>2077.5517595069832</v>
      </c>
      <c r="J1087" s="134">
        <v>2087.3691711253641</v>
      </c>
      <c r="K1087" s="134">
        <v>2088.6815724742146</v>
      </c>
      <c r="L1087" s="134">
        <v>2106.3749344758821</v>
      </c>
      <c r="M1087" s="135">
        <v>2138.346083260963</v>
      </c>
      <c r="N1087" s="128">
        <v>16622.056253724302</v>
      </c>
      <c r="O1087" s="128">
        <v>2077.7570317155378</v>
      </c>
    </row>
    <row r="1088" spans="3:15" s="245" customFormat="1" ht="15" customHeight="1">
      <c r="C1088" s="378"/>
      <c r="D1088" s="127">
        <v>52</v>
      </c>
      <c r="E1088" s="406" t="s">
        <v>446</v>
      </c>
      <c r="F1088" s="222">
        <v>0.65</v>
      </c>
      <c r="G1088" s="223">
        <v>0.65</v>
      </c>
      <c r="H1088" s="223">
        <v>0.65</v>
      </c>
      <c r="I1088" s="223">
        <v>0.65</v>
      </c>
      <c r="J1088" s="223">
        <v>0.65</v>
      </c>
      <c r="K1088" s="223">
        <v>0.65</v>
      </c>
      <c r="L1088" s="223">
        <v>0.65</v>
      </c>
      <c r="M1088" s="224">
        <v>0.65</v>
      </c>
      <c r="N1088" s="225">
        <v>0.64999999999999991</v>
      </c>
      <c r="O1088" s="225">
        <v>0.65</v>
      </c>
    </row>
    <row r="1089" spans="2:43" s="245" customFormat="1" ht="15" customHeight="1">
      <c r="C1089" s="379"/>
      <c r="D1089" s="127">
        <v>53</v>
      </c>
      <c r="E1089" s="406" t="s">
        <v>431</v>
      </c>
      <c r="F1089" s="133">
        <v>708.12114431731084</v>
      </c>
      <c r="G1089" s="134">
        <v>714.33094481724902</v>
      </c>
      <c r="H1089" s="134">
        <v>720.85436737375369</v>
      </c>
      <c r="I1089" s="134">
        <v>727.14311582744403</v>
      </c>
      <c r="J1089" s="134">
        <v>730.57920989387742</v>
      </c>
      <c r="K1089" s="134">
        <v>731.03855036597508</v>
      </c>
      <c r="L1089" s="134">
        <v>737.23122706655874</v>
      </c>
      <c r="M1089" s="135">
        <v>748.42112914133702</v>
      </c>
      <c r="N1089" s="128">
        <v>5817.719688803506</v>
      </c>
      <c r="O1089" s="128">
        <v>727.21496110043825</v>
      </c>
    </row>
    <row r="1090" spans="2:43" s="245" customFormat="1" ht="15" customHeight="1">
      <c r="C1090" s="379"/>
      <c r="D1090" s="127">
        <v>54</v>
      </c>
      <c r="E1090" s="406" t="s">
        <v>447</v>
      </c>
      <c r="F1090" s="137">
        <v>33.534594191598366</v>
      </c>
      <c r="G1090" s="134">
        <v>33.828672600988291</v>
      </c>
      <c r="H1090" s="134">
        <v>34.137603254914197</v>
      </c>
      <c r="I1090" s="134">
        <v>34.435420413828247</v>
      </c>
      <c r="J1090" s="134">
        <v>34.598144011402908</v>
      </c>
      <c r="K1090" s="134">
        <v>34.619897063760106</v>
      </c>
      <c r="L1090" s="134">
        <v>34.91316453893775</v>
      </c>
      <c r="M1090" s="135">
        <v>35.443086330050463</v>
      </c>
      <c r="N1090" s="128">
        <v>275.51058240548031</v>
      </c>
      <c r="O1090" s="128">
        <v>34.438822800685038</v>
      </c>
    </row>
    <row r="1091" spans="2:43" s="245" customFormat="1" ht="15" customHeight="1" thickBot="1">
      <c r="C1091" s="379"/>
      <c r="D1091" s="138">
        <v>55</v>
      </c>
      <c r="E1091" s="410" t="s">
        <v>677</v>
      </c>
      <c r="F1091" s="254">
        <v>708.12114431731084</v>
      </c>
      <c r="G1091" s="139">
        <v>714.33094481724902</v>
      </c>
      <c r="H1091" s="139">
        <v>720.85436737375369</v>
      </c>
      <c r="I1091" s="139">
        <v>727.14311582744403</v>
      </c>
      <c r="J1091" s="139">
        <v>730.57920989387742</v>
      </c>
      <c r="K1091" s="139">
        <v>731.03855036597508</v>
      </c>
      <c r="L1091" s="139">
        <v>737.23122706655874</v>
      </c>
      <c r="M1091" s="226">
        <v>748.42112914133702</v>
      </c>
      <c r="N1091" s="253"/>
      <c r="O1091" s="253">
        <v>727.21496110043825</v>
      </c>
    </row>
    <row r="1092" spans="2:43" s="245" customFormat="1" ht="15" customHeight="1">
      <c r="C1092" s="379"/>
      <c r="D1092" s="244"/>
      <c r="E1092" s="402"/>
      <c r="F1092" s="155"/>
      <c r="G1092" s="155"/>
      <c r="H1092" s="155"/>
      <c r="I1092" s="155"/>
      <c r="J1092" s="155"/>
      <c r="K1092" s="155"/>
      <c r="L1092" s="155"/>
      <c r="M1092" s="155"/>
      <c r="N1092" s="155"/>
      <c r="O1092" s="155"/>
    </row>
    <row r="1093" spans="2:43" s="245" customFormat="1" ht="15" customHeight="1">
      <c r="C1093" s="378"/>
      <c r="D1093" s="244"/>
      <c r="E1093" s="190"/>
      <c r="F1093" s="155"/>
      <c r="G1093" s="155"/>
      <c r="H1093" s="155"/>
      <c r="I1093" s="155"/>
      <c r="J1093" s="155"/>
      <c r="K1093" s="155"/>
      <c r="L1093" s="155"/>
      <c r="M1093" s="383"/>
      <c r="N1093" s="155"/>
      <c r="O1093" s="155"/>
    </row>
    <row r="1094" spans="2:43" s="245" customFormat="1" ht="15" customHeight="1">
      <c r="C1094" s="378"/>
      <c r="D1094" s="244"/>
      <c r="E1094" s="190"/>
      <c r="F1094" s="155"/>
      <c r="G1094" s="155"/>
      <c r="H1094" s="155"/>
      <c r="I1094" s="155"/>
      <c r="J1094" s="155"/>
      <c r="K1094" s="155"/>
      <c r="L1094" s="155"/>
      <c r="M1094" s="383"/>
      <c r="N1094" s="155"/>
      <c r="O1094" s="155"/>
    </row>
    <row r="1095" spans="2:43" s="245" customFormat="1" ht="15" customHeight="1">
      <c r="C1095" s="378"/>
      <c r="D1095" s="244"/>
      <c r="E1095" s="190"/>
      <c r="F1095" s="155"/>
      <c r="G1095" s="155"/>
      <c r="H1095" s="155"/>
      <c r="I1095" s="155"/>
      <c r="J1095" s="155"/>
      <c r="K1095" s="155"/>
      <c r="L1095" s="155"/>
      <c r="M1095" s="383"/>
      <c r="N1095" s="155"/>
      <c r="O1095" s="155"/>
    </row>
    <row r="1096" spans="2:43" s="245" customFormat="1" ht="15" customHeight="1">
      <c r="C1096" s="378"/>
      <c r="D1096" s="244"/>
      <c r="E1096" s="190"/>
      <c r="F1096" s="378"/>
      <c r="G1096" s="378"/>
      <c r="H1096" s="378"/>
      <c r="I1096" s="378"/>
      <c r="J1096" s="378"/>
      <c r="K1096" s="378"/>
      <c r="L1096" s="378"/>
      <c r="M1096" s="378"/>
      <c r="N1096" s="378"/>
      <c r="O1096" s="378"/>
    </row>
    <row r="1097" spans="2:43" s="245" customFormat="1" ht="15" customHeight="1" thickBot="1">
      <c r="C1097" s="405"/>
      <c r="D1097" s="378"/>
      <c r="E1097" s="378"/>
      <c r="F1097" s="378"/>
      <c r="G1097" s="378"/>
      <c r="H1097" s="378"/>
      <c r="I1097" s="378"/>
      <c r="J1097" s="378"/>
      <c r="K1097" s="378"/>
      <c r="L1097" s="378"/>
      <c r="M1097" s="378"/>
      <c r="N1097" s="378"/>
      <c r="O1097" s="378"/>
    </row>
    <row r="1098" spans="2:43" s="245" customFormat="1" ht="15" customHeight="1" thickTop="1">
      <c r="C1098" s="378"/>
      <c r="D1098" s="244"/>
      <c r="E1098" s="190"/>
      <c r="F1098" s="155"/>
      <c r="G1098" s="155"/>
      <c r="H1098" s="155"/>
      <c r="I1098" s="155"/>
      <c r="J1098" s="155"/>
      <c r="K1098" s="155"/>
      <c r="L1098" s="155"/>
      <c r="M1098" s="383"/>
      <c r="N1098" s="155"/>
      <c r="O1098" s="155"/>
    </row>
    <row r="1099" spans="2:43" s="156" customFormat="1" ht="15" customHeight="1">
      <c r="B1099" s="84" t="s">
        <v>51</v>
      </c>
      <c r="C1099" s="84"/>
      <c r="D1099" s="84"/>
      <c r="E1099" s="84"/>
      <c r="F1099" s="84"/>
      <c r="G1099" s="84"/>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84"/>
      <c r="AG1099" s="84"/>
      <c r="AH1099" s="84"/>
      <c r="AI1099" s="84"/>
      <c r="AJ1099" s="84"/>
      <c r="AK1099" s="84"/>
      <c r="AL1099" s="84"/>
      <c r="AM1099" s="84"/>
      <c r="AN1099" s="84"/>
      <c r="AO1099" s="84"/>
      <c r="AP1099" s="84"/>
      <c r="AQ1099" s="84"/>
    </row>
    <row r="1100" spans="2:43" ht="15" customHeight="1"/>
    <row r="1101" spans="2:43" ht="15" hidden="1" customHeight="1"/>
    <row r="1102" spans="2:43" ht="15" hidden="1" customHeight="1"/>
    <row r="1103" spans="2:43" ht="15" hidden="1" customHeight="1"/>
    <row r="1104" spans="2:43" ht="15" hidden="1" customHeight="1"/>
    <row r="1105" ht="15" hidden="1" customHeight="1"/>
    <row r="1106" ht="15" hidden="1" customHeight="1"/>
    <row r="1107" ht="15" hidden="1" customHeight="1"/>
    <row r="1108" ht="15" hidden="1" customHeight="1"/>
    <row r="1109" ht="15" hidden="1" customHeight="1"/>
    <row r="1110" ht="15" hidden="1" customHeight="1"/>
    <row r="1111" ht="15" hidden="1" customHeight="1"/>
    <row r="1112" ht="15" hidden="1" customHeight="1"/>
    <row r="1113" ht="15" hidden="1" customHeight="1"/>
    <row r="1114" ht="15" hidden="1" customHeight="1"/>
  </sheetData>
  <mergeCells count="1">
    <mergeCell ref="B6:O6"/>
  </mergeCells>
  <hyperlinks>
    <hyperlink ref="E8" location="m_results_01" display="m_results_01"/>
    <hyperlink ref="E9" location="m_results_02" display="m_results_02"/>
    <hyperlink ref="E10" location="m_results_03" display="m_results_03"/>
    <hyperlink ref="F8" location="SavedResults!C558" display="SavedResults!C558"/>
    <hyperlink ref="F9" location="SavedResults!C635" display="SavedResults!C635"/>
    <hyperlink ref="F10" location="SavedResults!C712" display="SavedResults!C712"/>
    <hyperlink ref="F11" location="SavedResults!C789" display="SavedResults!C789"/>
    <hyperlink ref="F12" location="SavedResults!C866" display="SavedResults!C866"/>
    <hyperlink ref="F13" location="SavedResults!C943" display="SavedResults!C943"/>
    <hyperlink ref="F14" location="SavedResults!C1020" display="SavedResults!C1020"/>
  </hyperlinks>
  <pageMargins left="0.23622047244094491" right="0.23622047244094491" top="0.74803149606299213" bottom="0.74803149606299213" header="0.31496062992125984" footer="0.31496062992125984"/>
  <pageSetup paperSize="8" scale="59" fitToHeight="0" orientation="portrait" r:id="rId1"/>
  <headerFooter>
    <oddFooter>&amp;LDraft at &amp;D&amp;C&amp;P of &amp;N&amp;R"&amp;A" sheet</oddFooter>
  </headerFooter>
  <rowBreaks count="12" manualBreakCount="12">
    <brk id="95" max="16383" man="1"/>
    <brk id="193" max="16383" man="1"/>
    <brk id="270" max="16383" man="1"/>
    <brk id="347" max="16383" man="1"/>
    <brk id="424" max="16383" man="1"/>
    <brk id="501" max="16383" man="1"/>
    <brk id="685" max="16383" man="1"/>
    <brk id="726" max="16383" man="1"/>
    <brk id="804" max="16383" man="1"/>
    <brk id="879" max="16383" man="1"/>
    <brk id="957" max="16383" man="1"/>
    <brk id="1034"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7030A0"/>
    <pageSetUpPr autoPageBreaks="0" fitToPage="1"/>
  </sheetPr>
  <dimension ref="A1:CM511"/>
  <sheetViews>
    <sheetView zoomScale="70" zoomScaleNormal="70" workbookViewId="0">
      <pane xSplit="10" ySplit="7" topLeftCell="AJ460" activePane="bottomRight" state="frozen"/>
      <selection pane="topRight" activeCell="K1" sqref="K1"/>
      <selection pane="bottomLeft" activeCell="A8" sqref="A8"/>
      <selection pane="bottomRight" activeCell="I479" sqref="I479"/>
    </sheetView>
  </sheetViews>
  <sheetFormatPr defaultColWidth="0" defaultRowHeight="15" customHeight="1" zeroHeight="1" outlineLevelCol="1"/>
  <cols>
    <col min="1" max="4" width="1.625" style="147" customWidth="1"/>
    <col min="5" max="5" width="67.5" style="147" customWidth="1"/>
    <col min="6" max="6" width="7.3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91" width="9" style="147" hidden="1" customWidth="1"/>
    <col min="92"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507</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507</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556</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556</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93"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93"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93"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1.8545933352430544</v>
      </c>
      <c r="AK23" s="216">
        <v>2.5539969900718003</v>
      </c>
      <c r="AL23" s="216">
        <v>3.0901805311977513</v>
      </c>
      <c r="AM23" s="216">
        <v>2.8168326774272026</v>
      </c>
      <c r="AN23" s="216">
        <v>2.6874394147340923</v>
      </c>
      <c r="AO23" s="216">
        <v>0</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14.843670755527576</v>
      </c>
      <c r="AK25" s="216">
        <v>18.621656918837321</v>
      </c>
      <c r="AL25" s="216">
        <v>12.397122258099518</v>
      </c>
      <c r="AM25" s="216">
        <v>16.0920949632849</v>
      </c>
      <c r="AN25" s="216">
        <v>15.157033666926679</v>
      </c>
      <c r="AO25" s="216">
        <v>16.46941454778937</v>
      </c>
      <c r="AP25" s="216">
        <v>22.258712417845899</v>
      </c>
      <c r="AQ25" s="216">
        <v>19.410466181337853</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15.825859714506272</v>
      </c>
      <c r="AK34" s="216">
        <v>15.825859714506272</v>
      </c>
      <c r="AL34" s="216">
        <v>15.825859714506272</v>
      </c>
      <c r="AM34" s="216">
        <v>15.825859714506272</v>
      </c>
      <c r="AN34" s="216">
        <v>15.825859714506272</v>
      </c>
      <c r="AO34" s="216">
        <v>15.825859714506272</v>
      </c>
      <c r="AP34" s="216">
        <v>15.825859714506272</v>
      </c>
      <c r="AQ34" s="216">
        <v>15.825859714506272</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t="s">
        <v>54</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285">
        <f t="shared" ref="AJ49:AQ49" si="0">AJ11</f>
        <v>2.5499999999999998E-2</v>
      </c>
      <c r="AK49" s="285">
        <f t="shared" si="0"/>
        <v>2.5499999999999998E-2</v>
      </c>
      <c r="AL49" s="285">
        <f t="shared" si="0"/>
        <v>2.5499999999999998E-2</v>
      </c>
      <c r="AM49" s="285">
        <f t="shared" si="0"/>
        <v>2.5499999999999998E-2</v>
      </c>
      <c r="AN49" s="285">
        <f t="shared" si="0"/>
        <v>2.5499999999999998E-2</v>
      </c>
      <c r="AO49" s="285">
        <f t="shared" si="0"/>
        <v>2.5499999999999998E-2</v>
      </c>
      <c r="AP49" s="285">
        <f t="shared" si="0"/>
        <v>2.5499999999999998E-2</v>
      </c>
      <c r="AQ49" s="285">
        <f t="shared" si="0"/>
        <v>2.5499999999999998E-2</v>
      </c>
    </row>
    <row r="50" spans="3:43" s="155" customFormat="1" ht="15" customHeight="1">
      <c r="E50" s="155" t="s">
        <v>30</v>
      </c>
      <c r="G50" s="155" t="s">
        <v>40</v>
      </c>
      <c r="J50" s="33" t="s">
        <v>54</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418">
        <v>0.06</v>
      </c>
      <c r="AK50" s="418">
        <v>0.06</v>
      </c>
      <c r="AL50" s="418">
        <v>0.06</v>
      </c>
      <c r="AM50" s="418">
        <v>0.06</v>
      </c>
      <c r="AN50" s="418">
        <v>0.06</v>
      </c>
      <c r="AO50" s="418">
        <v>0.06</v>
      </c>
      <c r="AP50" s="418">
        <v>0.06</v>
      </c>
      <c r="AQ50" s="418">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230"/>
      <c r="AK52" s="230"/>
      <c r="AL52" s="230"/>
      <c r="AM52" s="230"/>
      <c r="AN52" s="230"/>
      <c r="AO52" s="230"/>
      <c r="AP52" s="230"/>
      <c r="AQ52" s="230"/>
    </row>
    <row r="53" spans="3:43" s="155" customFormat="1" ht="15" customHeight="1">
      <c r="E53" s="155" t="s">
        <v>8</v>
      </c>
      <c r="G53" s="155" t="s">
        <v>40</v>
      </c>
      <c r="J53" s="33" t="s">
        <v>54</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239">
        <f t="shared" ref="AJ53:AQ53" si="1">(AJ49 * AJ51) + (AJ50 * (1 - AJ51))</f>
        <v>3.7574999999999997E-2</v>
      </c>
      <c r="AK53" s="239">
        <f t="shared" si="1"/>
        <v>3.7574999999999997E-2</v>
      </c>
      <c r="AL53" s="239">
        <f t="shared" si="1"/>
        <v>3.7574999999999997E-2</v>
      </c>
      <c r="AM53" s="239">
        <f t="shared" si="1"/>
        <v>3.7574999999999997E-2</v>
      </c>
      <c r="AN53" s="239">
        <f t="shared" si="1"/>
        <v>3.7574999999999997E-2</v>
      </c>
      <c r="AO53" s="239">
        <f t="shared" si="1"/>
        <v>3.7574999999999997E-2</v>
      </c>
      <c r="AP53" s="239">
        <f t="shared" si="1"/>
        <v>3.7574999999999997E-2</v>
      </c>
      <c r="AQ53" s="239">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291"/>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372"/>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434">
        <f>ROUND(AVERAGE(249.5,250,249.7,249.7,251,251.9,251.9,252.1,253.4,252.6,254.2,254.8),3)</f>
        <v>251.733</v>
      </c>
      <c r="AI59" s="227">
        <f t="shared" ref="AI59:AQ59"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ref="AI60:AQ60" si="3">ROUND(AH60*(1+3.1%),3)</f>
        <v>259.53699999999998</v>
      </c>
      <c r="AJ60" s="227">
        <f t="shared" si="3"/>
        <v>267.58300000000003</v>
      </c>
      <c r="AK60" s="227">
        <f t="shared" si="3"/>
        <v>275.87799999999999</v>
      </c>
      <c r="AL60" s="227">
        <f t="shared" si="3"/>
        <v>284.43</v>
      </c>
      <c r="AM60" s="227">
        <f t="shared" si="3"/>
        <v>293.24700000000001</v>
      </c>
      <c r="AN60" s="227">
        <f t="shared" si="3"/>
        <v>302.33800000000002</v>
      </c>
      <c r="AO60" s="227">
        <f t="shared" si="3"/>
        <v>311.70999999999998</v>
      </c>
      <c r="AP60" s="227">
        <f t="shared" si="3"/>
        <v>321.37299999999999</v>
      </c>
      <c r="AQ60" s="227">
        <f t="shared" si="3"/>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row r="64" spans="3:43" ht="15" customHeight="1">
      <c r="E64" s="147" t="s">
        <v>193</v>
      </c>
      <c r="G64" s="147" t="s">
        <v>49</v>
      </c>
      <c r="I64" s="286">
        <v>2</v>
      </c>
    </row>
    <row r="65" spans="4:43" ht="15" customHeight="1">
      <c r="AI65" s="145"/>
    </row>
    <row r="66" spans="4:43" ht="15" customHeight="1">
      <c r="E66" s="147" t="str">
        <f>Input!E66</f>
        <v>Capitalised share of totex</v>
      </c>
      <c r="G66" s="147" t="s">
        <v>47</v>
      </c>
      <c r="AI66" s="145"/>
      <c r="AJ66" s="418">
        <v>0.68</v>
      </c>
      <c r="AK66" s="418">
        <v>0.68</v>
      </c>
      <c r="AL66" s="418">
        <v>0.68</v>
      </c>
      <c r="AM66" s="418">
        <v>0.68</v>
      </c>
      <c r="AN66" s="418">
        <v>0.68</v>
      </c>
      <c r="AO66" s="418">
        <v>0.68</v>
      </c>
      <c r="AP66" s="418">
        <v>0.68</v>
      </c>
      <c r="AQ66" s="418">
        <v>0.68</v>
      </c>
    </row>
    <row r="67" spans="4:43" ht="15" customHeight="1">
      <c r="AI67" s="145"/>
      <c r="AJ67" s="145"/>
      <c r="AK67" s="145"/>
      <c r="AL67" s="145"/>
      <c r="AM67" s="145"/>
      <c r="AN67" s="145"/>
      <c r="AO67" s="145"/>
      <c r="AP67" s="145"/>
      <c r="AQ67" s="246"/>
    </row>
    <row r="68" spans="4:43" s="145" customFormat="1" ht="15" customHeight="1">
      <c r="E68" s="147" t="s">
        <v>597</v>
      </c>
      <c r="F68" s="147"/>
      <c r="G68" s="53" t="s">
        <v>47</v>
      </c>
      <c r="H68" s="147"/>
      <c r="I68" s="368">
        <v>6.5759356300048744E-3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0.58114666186475283</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229">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229">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H74"/>
      <c r="AJ74" s="89"/>
    </row>
    <row r="75" spans="4:43" s="19" customFormat="1" ht="15" customHeight="1">
      <c r="D75" s="147"/>
      <c r="E75" s="147" t="s">
        <v>673</v>
      </c>
      <c r="G75" s="190" t="s">
        <v>657</v>
      </c>
      <c r="H75" s="428"/>
      <c r="I75" s="227">
        <v>1807.9426085524569</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147" t="s">
        <v>674</v>
      </c>
      <c r="G76" s="190" t="s">
        <v>657</v>
      </c>
      <c r="I76" s="227">
        <v>1876.1141152072037</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147" t="s">
        <v>675</v>
      </c>
      <c r="G78" s="190" t="s">
        <v>657</v>
      </c>
      <c r="I78" s="227">
        <f>I75</f>
        <v>1807.9426085524569</v>
      </c>
      <c r="J78" s="88"/>
      <c r="K78" s="88"/>
      <c r="L78" s="268"/>
      <c r="M78" s="88"/>
      <c r="N78" s="88"/>
      <c r="O78" s="88"/>
      <c r="P78" s="88"/>
      <c r="Q78" s="88"/>
      <c r="R78" s="88"/>
      <c r="S78" s="88"/>
      <c r="T78" s="88"/>
      <c r="U78" s="88"/>
      <c r="V78" s="88"/>
      <c r="W78" s="88"/>
      <c r="X78" s="88"/>
      <c r="Y78" s="88"/>
      <c r="Z78" s="88"/>
      <c r="AI78" s="210"/>
      <c r="AJ78" s="89"/>
    </row>
    <row r="79" spans="4:43" s="19" customFormat="1" ht="15" customHeight="1">
      <c r="E79" s="147" t="s">
        <v>676</v>
      </c>
      <c r="G79" s="190" t="s">
        <v>657</v>
      </c>
      <c r="I79" s="227">
        <f>I76</f>
        <v>1876.1141152072037</v>
      </c>
      <c r="J79" s="88"/>
      <c r="K79" s="88"/>
      <c r="L79" s="88"/>
      <c r="M79" s="88"/>
      <c r="N79" s="88"/>
      <c r="O79" s="88"/>
      <c r="P79" s="88"/>
      <c r="Q79" s="88"/>
      <c r="R79" s="88"/>
      <c r="S79" s="88"/>
      <c r="T79" s="88"/>
      <c r="U79" s="88"/>
      <c r="V79" s="88"/>
      <c r="W79" s="88"/>
      <c r="X79" s="88"/>
      <c r="Y79" s="88"/>
      <c r="Z79" s="88"/>
      <c r="AJ79" s="89"/>
    </row>
    <row r="80" spans="4:43" s="19" customFormat="1" ht="15" customHeight="1">
      <c r="E80" s="147"/>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291"/>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229">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229">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4">AK51</f>
        <v>0.65</v>
      </c>
      <c r="AL87" s="229">
        <f t="shared" si="4"/>
        <v>0.65</v>
      </c>
      <c r="AM87" s="229">
        <f t="shared" si="4"/>
        <v>0.65</v>
      </c>
      <c r="AN87" s="229">
        <f t="shared" si="4"/>
        <v>0.65</v>
      </c>
      <c r="AO87" s="229">
        <f t="shared" si="4"/>
        <v>0.65</v>
      </c>
      <c r="AP87" s="229">
        <f t="shared" si="4"/>
        <v>0.65</v>
      </c>
      <c r="AQ87" s="229">
        <f t="shared" si="4"/>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F97" s="391"/>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F98" s="391"/>
      <c r="AJ98" s="227">
        <v>85.772190454396281</v>
      </c>
      <c r="AK98" s="227">
        <v>75.946998784804407</v>
      </c>
      <c r="AL98" s="227">
        <v>82.885064560028283</v>
      </c>
      <c r="AM98" s="227">
        <v>79.051613095124651</v>
      </c>
      <c r="AN98" s="227">
        <v>82.672522500188123</v>
      </c>
      <c r="AO98" s="227">
        <v>82.78785352835871</v>
      </c>
      <c r="AP98" s="227">
        <v>81.919194885417568</v>
      </c>
      <c r="AQ98" s="227">
        <v>79.483633016834233</v>
      </c>
    </row>
    <row r="99" spans="4:43" s="269" customFormat="1" ht="15" customHeight="1">
      <c r="E99" s="93" t="s">
        <v>797</v>
      </c>
      <c r="G99" s="269" t="s">
        <v>657</v>
      </c>
      <c r="I99" s="356"/>
      <c r="AF99" s="391"/>
      <c r="AJ99" s="227">
        <v>12.936747466073857</v>
      </c>
      <c r="AK99" s="227">
        <v>10.239290883894327</v>
      </c>
      <c r="AL99" s="227">
        <v>10.691892872566269</v>
      </c>
      <c r="AM99" s="227">
        <v>12.772451224959195</v>
      </c>
      <c r="AN99" s="227">
        <v>12.221035317083373</v>
      </c>
      <c r="AO99" s="227">
        <v>11.420680535784699</v>
      </c>
      <c r="AP99" s="227">
        <v>16.103477187791466</v>
      </c>
      <c r="AQ99" s="227">
        <v>15.970571978086864</v>
      </c>
    </row>
    <row r="100" spans="4:43" s="269" customFormat="1" ht="15" customHeight="1">
      <c r="E100" s="93" t="str">
        <f>Input!E100</f>
        <v>Non-variant allowed faults</v>
      </c>
      <c r="G100" s="269" t="s">
        <v>657</v>
      </c>
      <c r="I100" s="356"/>
      <c r="AF100" s="391"/>
      <c r="AJ100" s="227">
        <v>23.356203826375442</v>
      </c>
      <c r="AK100" s="227">
        <v>23.144250279640119</v>
      </c>
      <c r="AL100" s="227">
        <v>22.517464543925037</v>
      </c>
      <c r="AM100" s="227">
        <v>22.01074141379874</v>
      </c>
      <c r="AN100" s="227">
        <v>21.524856756931552</v>
      </c>
      <c r="AO100" s="227">
        <v>21.047689056418967</v>
      </c>
      <c r="AP100" s="227">
        <v>20.492660458835289</v>
      </c>
      <c r="AQ100" s="227">
        <v>20.004117012512289</v>
      </c>
    </row>
    <row r="101" spans="4:43" s="269" customFormat="1" ht="15" customHeight="1">
      <c r="E101" s="93" t="s">
        <v>726</v>
      </c>
      <c r="G101" s="269" t="s">
        <v>657</v>
      </c>
      <c r="I101" s="356"/>
      <c r="AF101" s="391"/>
      <c r="AJ101" s="227">
        <v>4.2391029610489728</v>
      </c>
      <c r="AK101" s="227">
        <v>4.1998075014834546</v>
      </c>
      <c r="AL101" s="227">
        <v>4.1192431011179718</v>
      </c>
      <c r="AM101" s="227">
        <v>4.0406180310553355</v>
      </c>
      <c r="AN101" s="227">
        <v>3.9654831746885821</v>
      </c>
      <c r="AO101" s="227">
        <v>3.8860170858079428</v>
      </c>
      <c r="AP101" s="227">
        <v>3.7997445528143818</v>
      </c>
      <c r="AQ101" s="227">
        <v>3.723705901233973</v>
      </c>
    </row>
    <row r="102" spans="4:43" s="269" customFormat="1" ht="15" customHeight="1">
      <c r="E102" s="93" t="str">
        <f>Input!E102</f>
        <v>Non-variant allowed 100% ‘revenue pool’ expenditure</v>
      </c>
      <c r="G102" s="269" t="s">
        <v>657</v>
      </c>
      <c r="I102" s="356"/>
      <c r="AF102" s="391"/>
      <c r="AJ102" s="227">
        <v>15.342721332532202</v>
      </c>
      <c r="AK102" s="227">
        <v>14.43769285855743</v>
      </c>
      <c r="AL102" s="227">
        <v>14.624530631047939</v>
      </c>
      <c r="AM102" s="227">
        <v>14.34531920870262</v>
      </c>
      <c r="AN102" s="227">
        <v>14.41032220295833</v>
      </c>
      <c r="AO102" s="227">
        <v>14.277131017658901</v>
      </c>
      <c r="AP102" s="227">
        <v>14.192583054085024</v>
      </c>
      <c r="AQ102" s="227">
        <v>13.844707671077281</v>
      </c>
    </row>
    <row r="103" spans="4:43" s="269" customFormat="1" ht="15" customHeight="1">
      <c r="E103" s="161" t="s">
        <v>796</v>
      </c>
      <c r="G103" s="269" t="s">
        <v>657</v>
      </c>
      <c r="I103" s="356"/>
      <c r="AF103" s="391"/>
      <c r="AJ103" s="227">
        <v>79.806287969764128</v>
      </c>
      <c r="AK103" s="227">
        <v>76.693768872747114</v>
      </c>
      <c r="AL103" s="227">
        <v>75.341975347416238</v>
      </c>
      <c r="AM103" s="227">
        <v>75.347374330479738</v>
      </c>
      <c r="AN103" s="227">
        <v>73.933765826612046</v>
      </c>
      <c r="AO103" s="227">
        <v>74.863780875468379</v>
      </c>
      <c r="AP103" s="227">
        <v>73.996131682940302</v>
      </c>
      <c r="AQ103" s="227">
        <v>72.327253726692618</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150" t="str">
        <f>Input!E107</f>
        <v xml:space="preserve">Allowed Expenditure - Enhanced Physical Site Security                                                                                                   </v>
      </c>
      <c r="G107" s="269" t="s">
        <v>657</v>
      </c>
      <c r="I107" s="356"/>
      <c r="AJ107" s="213">
        <f>AJ19</f>
        <v>0</v>
      </c>
      <c r="AK107" s="213">
        <f t="shared" ref="AK107:AQ107" si="5">AK19</f>
        <v>0</v>
      </c>
      <c r="AL107" s="213">
        <f t="shared" si="5"/>
        <v>0</v>
      </c>
      <c r="AM107" s="213">
        <f t="shared" si="5"/>
        <v>0</v>
      </c>
      <c r="AN107" s="213">
        <f t="shared" si="5"/>
        <v>0</v>
      </c>
      <c r="AO107" s="213">
        <f t="shared" si="5"/>
        <v>0</v>
      </c>
      <c r="AP107" s="213">
        <f t="shared" si="5"/>
        <v>0</v>
      </c>
      <c r="AQ107" s="213">
        <f t="shared" si="5"/>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0.88669973116263479</v>
      </c>
      <c r="AK109" s="229">
        <v>0.88403966795606581</v>
      </c>
      <c r="AL109" s="229">
        <v>0.88610410140072404</v>
      </c>
      <c r="AM109" s="229">
        <v>0.88814524512707349</v>
      </c>
      <c r="AN109" s="229">
        <v>0.88860838906488959</v>
      </c>
      <c r="AO109" s="229">
        <v>0.89116622268788992</v>
      </c>
      <c r="AP109" s="229">
        <v>0.89566814805817285</v>
      </c>
      <c r="AQ109" s="229">
        <v>0.89669291222723924</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0.11330026883736521</v>
      </c>
      <c r="AK113" s="229">
        <v>0.11596033204393419</v>
      </c>
      <c r="AL113" s="229">
        <v>0.11389589859927596</v>
      </c>
      <c r="AM113" s="229">
        <v>0.11185475487292651</v>
      </c>
      <c r="AN113" s="229">
        <v>0.11139161093511041</v>
      </c>
      <c r="AO113" s="229">
        <v>0.10883377731211008</v>
      </c>
      <c r="AP113" s="229">
        <v>0.10433185194182715</v>
      </c>
      <c r="AQ113" s="229">
        <v>0.10330708777276076</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AJ115" s="378"/>
      <c r="AK115" s="378"/>
      <c r="AL115" s="378"/>
      <c r="AM115" s="378"/>
      <c r="AN115" s="378"/>
      <c r="AO115" s="378"/>
      <c r="AP115" s="378"/>
      <c r="AQ115" s="378"/>
    </row>
    <row r="116" spans="5:43" s="269" customFormat="1" ht="15" customHeight="1">
      <c r="E116" s="150" t="str">
        <f>Input!E116</f>
        <v>Allowed Expenditure - High Value Projects</v>
      </c>
      <c r="G116" s="269" t="s">
        <v>657</v>
      </c>
      <c r="I116" s="356"/>
      <c r="AJ116" s="213">
        <f t="shared" ref="AJ116:AQ116" si="6">AJ20</f>
        <v>0</v>
      </c>
      <c r="AK116" s="213">
        <f t="shared" si="6"/>
        <v>0</v>
      </c>
      <c r="AL116" s="213">
        <f t="shared" si="6"/>
        <v>0</v>
      </c>
      <c r="AM116" s="213">
        <f t="shared" si="6"/>
        <v>0</v>
      </c>
      <c r="AN116" s="213">
        <f t="shared" si="6"/>
        <v>0</v>
      </c>
      <c r="AO116" s="213">
        <f t="shared" si="6"/>
        <v>0</v>
      </c>
      <c r="AP116" s="213">
        <f t="shared" si="6"/>
        <v>0</v>
      </c>
      <c r="AQ116" s="213">
        <f t="shared" si="6"/>
        <v>0</v>
      </c>
    </row>
    <row r="117" spans="5:43" s="269" customFormat="1" ht="15" customHeight="1">
      <c r="E117" s="357" t="str">
        <f>Input!E117</f>
        <v>Allocation to load related capex</v>
      </c>
      <c r="G117" s="269" t="s">
        <v>47</v>
      </c>
      <c r="I117" s="147"/>
      <c r="AJ117" s="229">
        <v>0</v>
      </c>
      <c r="AK117" s="229">
        <v>0</v>
      </c>
      <c r="AL117" s="229">
        <v>0</v>
      </c>
      <c r="AM117" s="229">
        <v>0</v>
      </c>
      <c r="AN117" s="229">
        <v>0</v>
      </c>
      <c r="AO117" s="229">
        <v>0</v>
      </c>
      <c r="AP117" s="229">
        <v>0</v>
      </c>
      <c r="AQ117" s="229">
        <v>0</v>
      </c>
    </row>
    <row r="118" spans="5:43" s="269" customFormat="1" ht="15" customHeight="1">
      <c r="E118" s="357" t="str">
        <f>Input!E118</f>
        <v>Allocation to non-load related capex - asset replacement</v>
      </c>
      <c r="G118" s="269" t="s">
        <v>47</v>
      </c>
      <c r="I118" s="147"/>
      <c r="AJ118" s="229">
        <v>0.98699999999999999</v>
      </c>
      <c r="AK118" s="229">
        <v>1</v>
      </c>
      <c r="AL118" s="229">
        <v>0.99121208490450208</v>
      </c>
      <c r="AM118" s="229">
        <v>0.99088275131912784</v>
      </c>
      <c r="AN118" s="229">
        <v>0.9055151844061593</v>
      </c>
      <c r="AO118" s="229">
        <v>0.98699999999999999</v>
      </c>
      <c r="AP118" s="229">
        <v>0.98699999999999999</v>
      </c>
      <c r="AQ118" s="229">
        <v>0.98699999999999999</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1.2999999999999999E-2</v>
      </c>
      <c r="AK122" s="229">
        <v>0</v>
      </c>
      <c r="AL122" s="229">
        <v>8.7879150954978513E-3</v>
      </c>
      <c r="AM122" s="229">
        <v>9.1172486808722142E-3</v>
      </c>
      <c r="AN122" s="229">
        <v>9.4484815593840754E-2</v>
      </c>
      <c r="AO122" s="229">
        <v>1.2999999999999999E-2</v>
      </c>
      <c r="AP122" s="229">
        <v>1.2999999999999999E-2</v>
      </c>
      <c r="AQ122" s="229">
        <v>1.2999999999999999E-2</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AJ124" s="378"/>
      <c r="AK124" s="378"/>
      <c r="AL124" s="378"/>
      <c r="AM124" s="378"/>
      <c r="AN124" s="378"/>
      <c r="AO124" s="378"/>
      <c r="AP124" s="378"/>
      <c r="AQ124" s="378"/>
    </row>
    <row r="125" spans="5:43" s="269" customFormat="1" ht="15" customHeight="1">
      <c r="E125" s="150" t="str">
        <f>Input!E125</f>
        <v xml:space="preserve">Allowed Expenditure - Visual Amenity Projects (TIM neutral)                                                                                                      </v>
      </c>
      <c r="G125" s="269" t="s">
        <v>657</v>
      </c>
      <c r="I125" s="356"/>
      <c r="AJ125" s="213">
        <f>AJ21</f>
        <v>0</v>
      </c>
      <c r="AK125" s="213">
        <f t="shared" ref="AK125:AQ125" si="7">AK21</f>
        <v>0</v>
      </c>
      <c r="AL125" s="213">
        <f t="shared" si="7"/>
        <v>0</v>
      </c>
      <c r="AM125" s="213">
        <f t="shared" si="7"/>
        <v>0</v>
      </c>
      <c r="AN125" s="213">
        <f t="shared" si="7"/>
        <v>0</v>
      </c>
      <c r="AO125" s="213">
        <f t="shared" si="7"/>
        <v>0</v>
      </c>
      <c r="AP125" s="213">
        <f t="shared" si="7"/>
        <v>0</v>
      </c>
      <c r="AQ125" s="213">
        <f t="shared" si="7"/>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0.96144227042608499</v>
      </c>
      <c r="AK128" s="229">
        <v>0.96026546993160522</v>
      </c>
      <c r="AL128" s="229">
        <v>0.9612309240304282</v>
      </c>
      <c r="AM128" s="229">
        <v>0.96199883234296346</v>
      </c>
      <c r="AN128" s="229">
        <v>0.96219443800822646</v>
      </c>
      <c r="AO128" s="229">
        <v>0.96315408638136735</v>
      </c>
      <c r="AP128" s="229">
        <v>0.96482435251530585</v>
      </c>
      <c r="AQ128" s="229">
        <v>0.96522060926188769</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3.8557729573915157E-2</v>
      </c>
      <c r="AK131" s="229">
        <v>3.9734530068394697E-2</v>
      </c>
      <c r="AL131" s="229">
        <v>3.8769075969571687E-2</v>
      </c>
      <c r="AM131" s="229">
        <v>3.8001167657036615E-2</v>
      </c>
      <c r="AN131" s="229">
        <v>3.7805561991773512E-2</v>
      </c>
      <c r="AO131" s="229">
        <v>3.6845913618632584E-2</v>
      </c>
      <c r="AP131" s="229">
        <v>3.5175647484694178E-2</v>
      </c>
      <c r="AQ131" s="229">
        <v>3.4779390738112453E-2</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AJ133" s="378"/>
      <c r="AK133" s="378"/>
      <c r="AL133" s="378"/>
      <c r="AM133" s="378"/>
      <c r="AN133" s="378"/>
      <c r="AO133" s="378"/>
      <c r="AP133" s="378"/>
      <c r="AQ133" s="378"/>
    </row>
    <row r="134" spans="5:43" s="269" customFormat="1" ht="15" customHeight="1">
      <c r="E134" s="150" t="str">
        <f>Input!E134</f>
        <v>Allowed Expenditure - Worst Served Customer Project (TIM neutral)</v>
      </c>
      <c r="G134" s="269" t="s">
        <v>657</v>
      </c>
      <c r="I134" s="356"/>
      <c r="AJ134" s="213">
        <f>AJ22</f>
        <v>0</v>
      </c>
      <c r="AK134" s="213">
        <f t="shared" ref="AK134:AQ134" si="8">AK22</f>
        <v>0</v>
      </c>
      <c r="AL134" s="213">
        <f t="shared" si="8"/>
        <v>0</v>
      </c>
      <c r="AM134" s="213">
        <f t="shared" si="8"/>
        <v>0</v>
      </c>
      <c r="AN134" s="213">
        <f t="shared" si="8"/>
        <v>0</v>
      </c>
      <c r="AO134" s="213">
        <f t="shared" si="8"/>
        <v>0</v>
      </c>
      <c r="AP134" s="213">
        <f t="shared" si="8"/>
        <v>0</v>
      </c>
      <c r="AQ134" s="213">
        <f t="shared" si="8"/>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AJ142" s="378"/>
      <c r="AK142" s="378"/>
      <c r="AL142" s="378"/>
      <c r="AM142" s="378"/>
      <c r="AN142" s="378"/>
      <c r="AO142" s="378"/>
      <c r="AP142" s="378"/>
      <c r="AQ142" s="378"/>
    </row>
    <row r="143" spans="5:43" s="269" customFormat="1" ht="15" customHeight="1">
      <c r="E143" s="150" t="str">
        <f>Input!E143</f>
        <v xml:space="preserve">Allowed Expenditure - Smart Meter Roll-out costs                               </v>
      </c>
      <c r="G143" s="269" t="s">
        <v>657</v>
      </c>
      <c r="I143" s="356"/>
      <c r="AJ143" s="213">
        <f t="shared" ref="AJ143:AQ143" si="9">AJ23</f>
        <v>1.8545933352430544</v>
      </c>
      <c r="AK143" s="213">
        <f t="shared" si="9"/>
        <v>2.5539969900718003</v>
      </c>
      <c r="AL143" s="213">
        <f t="shared" si="9"/>
        <v>3.0901805311977513</v>
      </c>
      <c r="AM143" s="213">
        <f t="shared" si="9"/>
        <v>2.8168326774272026</v>
      </c>
      <c r="AN143" s="213">
        <f t="shared" si="9"/>
        <v>2.6874394147340923</v>
      </c>
      <c r="AO143" s="213">
        <f t="shared" si="9"/>
        <v>0</v>
      </c>
      <c r="AP143" s="213">
        <f t="shared" si="9"/>
        <v>0</v>
      </c>
      <c r="AQ143" s="213">
        <f t="shared" si="9"/>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5.0680474649992665E-3</v>
      </c>
      <c r="AK149" s="229">
        <v>3.6989526028288E-3</v>
      </c>
      <c r="AL149" s="229">
        <v>3.0728683098915537E-3</v>
      </c>
      <c r="AM149" s="229">
        <v>3.3885532980553737E-3</v>
      </c>
      <c r="AN149" s="229">
        <v>3.5702852921518664E-3</v>
      </c>
      <c r="AO149" s="229">
        <v>9.8938500348893066E-2</v>
      </c>
      <c r="AP149" s="229">
        <v>0</v>
      </c>
      <c r="AQ149" s="229">
        <v>0</v>
      </c>
    </row>
    <row r="150" spans="5:43" s="269" customFormat="1" ht="15" customHeight="1">
      <c r="E150" s="357" t="str">
        <f>Input!E150</f>
        <v>Allocation to controllable opex</v>
      </c>
      <c r="G150" s="269" t="s">
        <v>47</v>
      </c>
      <c r="I150" s="147"/>
      <c r="AJ150" s="229">
        <v>0.99493195253500066</v>
      </c>
      <c r="AK150" s="229">
        <v>0.99630104739717129</v>
      </c>
      <c r="AL150" s="229">
        <v>0.99692713169010849</v>
      </c>
      <c r="AM150" s="229">
        <v>0.99661144670194457</v>
      </c>
      <c r="AN150" s="229">
        <v>0.99642971470784802</v>
      </c>
      <c r="AO150" s="229">
        <v>0.90106149965110693</v>
      </c>
      <c r="AP150" s="229">
        <v>0</v>
      </c>
      <c r="AQ150" s="229">
        <v>0</v>
      </c>
    </row>
    <row r="151" spans="5:43" ht="15" customHeight="1">
      <c r="AJ151" s="378"/>
      <c r="AK151" s="378"/>
      <c r="AL151" s="378"/>
      <c r="AM151" s="378"/>
      <c r="AN151" s="378"/>
      <c r="AO151" s="378"/>
      <c r="AP151" s="378"/>
      <c r="AQ151" s="378"/>
    </row>
    <row r="152" spans="5:43" s="269" customFormat="1" ht="15" customHeight="1">
      <c r="E152" s="150" t="str">
        <f>Input!E152</f>
        <v>Allowed Expenditure - Specified Street Works</v>
      </c>
      <c r="G152" s="269" t="s">
        <v>657</v>
      </c>
      <c r="I152" s="356"/>
      <c r="AJ152" s="213">
        <f t="shared" ref="AJ152:AQ152" si="10">AJ24</f>
        <v>0</v>
      </c>
      <c r="AK152" s="213">
        <f t="shared" si="10"/>
        <v>0</v>
      </c>
      <c r="AL152" s="213">
        <f t="shared" si="10"/>
        <v>0</v>
      </c>
      <c r="AM152" s="213">
        <f t="shared" si="10"/>
        <v>0</v>
      </c>
      <c r="AN152" s="213">
        <f t="shared" si="10"/>
        <v>0</v>
      </c>
      <c r="AO152" s="213">
        <f t="shared" si="10"/>
        <v>0</v>
      </c>
      <c r="AP152" s="213">
        <f t="shared" si="10"/>
        <v>0</v>
      </c>
      <c r="AQ152" s="213">
        <f t="shared" si="10"/>
        <v>0</v>
      </c>
    </row>
    <row r="153" spans="5:43" s="269" customFormat="1" ht="15" customHeight="1">
      <c r="E153" s="357" t="str">
        <f>Input!E153</f>
        <v>Allocation to load related capex</v>
      </c>
      <c r="G153" s="269" t="s">
        <v>47</v>
      </c>
      <c r="I153" s="147"/>
      <c r="AJ153" s="229">
        <v>-0.60599652364676859</v>
      </c>
      <c r="AK153" s="229">
        <v>-0.79637697297561028</v>
      </c>
      <c r="AL153" s="229">
        <v>-0.88113698061251644</v>
      </c>
      <c r="AM153" s="229">
        <v>-0.96005383678091327</v>
      </c>
      <c r="AN153" s="229">
        <v>-1.0528361129598185</v>
      </c>
      <c r="AO153" s="229">
        <v>-1.0583214141321831</v>
      </c>
      <c r="AP153" s="229">
        <v>-1.0578209681853554</v>
      </c>
      <c r="AQ153" s="229">
        <v>-1.0573876773558173</v>
      </c>
    </row>
    <row r="154" spans="5:43" s="269" customFormat="1" ht="15" customHeight="1">
      <c r="E154" s="357" t="str">
        <f>Input!E154</f>
        <v>Allocation to non-load related capex - asset replacement</v>
      </c>
      <c r="G154" s="269" t="s">
        <v>47</v>
      </c>
      <c r="I154" s="147"/>
      <c r="AJ154" s="229">
        <v>0.24579139726653135</v>
      </c>
      <c r="AK154" s="229">
        <v>0.42597287391850991</v>
      </c>
      <c r="AL154" s="229">
        <v>0.51093365573329075</v>
      </c>
      <c r="AM154" s="229">
        <v>0.59206643320090169</v>
      </c>
      <c r="AN154" s="229">
        <v>0.68807771566404763</v>
      </c>
      <c r="AO154" s="229">
        <v>0.692408261740033</v>
      </c>
      <c r="AP154" s="229">
        <v>0.69288743101086225</v>
      </c>
      <c r="AQ154" s="229">
        <v>0.69342181975998785</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0.87384698362837609</v>
      </c>
      <c r="AK156" s="229">
        <v>0.88056457923041209</v>
      </c>
      <c r="AL156" s="229">
        <v>0.88027550063151982</v>
      </c>
      <c r="AM156" s="229">
        <v>0.87875889626121928</v>
      </c>
      <c r="AN156" s="229">
        <v>0.87678535112092071</v>
      </c>
      <c r="AO156" s="229">
        <v>0.88172943089222644</v>
      </c>
      <c r="AP156" s="229">
        <v>0.88420790165118068</v>
      </c>
      <c r="AQ156" s="229">
        <v>0.88673767948456406</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0.48635814275186112</v>
      </c>
      <c r="AK159" s="229">
        <v>0.48983951982668833</v>
      </c>
      <c r="AL159" s="229">
        <v>0.48992782424770587</v>
      </c>
      <c r="AM159" s="229">
        <v>0.48922850731879219</v>
      </c>
      <c r="AN159" s="229">
        <v>0.48797304617485021</v>
      </c>
      <c r="AO159" s="229">
        <v>0.48418372149992367</v>
      </c>
      <c r="AP159" s="229">
        <v>0.48072563552331249</v>
      </c>
      <c r="AQ159" s="229">
        <v>0.47722817811126533</v>
      </c>
    </row>
    <row r="160" spans="5:43" ht="15" customHeight="1">
      <c r="AJ160" s="378"/>
      <c r="AK160" s="378"/>
      <c r="AL160" s="378"/>
      <c r="AM160" s="378"/>
      <c r="AN160" s="378"/>
      <c r="AO160" s="378"/>
      <c r="AP160" s="378"/>
      <c r="AQ160" s="378"/>
    </row>
    <row r="161" spans="5:43" s="269" customFormat="1" ht="15" customHeight="1">
      <c r="E161" s="150" t="str">
        <f>Input!E161</f>
        <v>Allowed Expenditure - Load Related</v>
      </c>
      <c r="G161" s="269" t="s">
        <v>657</v>
      </c>
      <c r="I161" s="356"/>
      <c r="AJ161" s="213">
        <f>AJ25</f>
        <v>14.843670755527576</v>
      </c>
      <c r="AK161" s="213">
        <f t="shared" ref="AK161:AQ161" si="11">AK25</f>
        <v>18.621656918837321</v>
      </c>
      <c r="AL161" s="213">
        <f t="shared" si="11"/>
        <v>12.397122258099518</v>
      </c>
      <c r="AM161" s="213">
        <f t="shared" si="11"/>
        <v>16.0920949632849</v>
      </c>
      <c r="AN161" s="213">
        <f t="shared" si="11"/>
        <v>15.157033666926679</v>
      </c>
      <c r="AO161" s="213">
        <f t="shared" si="11"/>
        <v>16.46941454778937</v>
      </c>
      <c r="AP161" s="213">
        <f t="shared" si="11"/>
        <v>22.258712417845899</v>
      </c>
      <c r="AQ161" s="213">
        <f t="shared" si="11"/>
        <v>19.410466181337853</v>
      </c>
    </row>
    <row r="162" spans="5:43" s="269" customFormat="1" ht="15" customHeight="1">
      <c r="E162" s="357" t="str">
        <f>Input!E162</f>
        <v>Allocation to load related capex</v>
      </c>
      <c r="G162" s="269" t="s">
        <v>47</v>
      </c>
      <c r="I162" s="147"/>
      <c r="AJ162" s="229">
        <v>0.98842902399982158</v>
      </c>
      <c r="AK162" s="229">
        <v>0.98763620643450833</v>
      </c>
      <c r="AL162" s="229">
        <v>0.98780981124597611</v>
      </c>
      <c r="AM162" s="229">
        <v>0.98888979775519892</v>
      </c>
      <c r="AN162" s="229">
        <v>0.98737519398762363</v>
      </c>
      <c r="AO162" s="229">
        <v>0.98972855595913922</v>
      </c>
      <c r="AP162" s="229">
        <v>0.99020696122264384</v>
      </c>
      <c r="AQ162" s="229">
        <v>0.9901701632896075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1.1570976000178423E-2</v>
      </c>
      <c r="AK167" s="229">
        <v>1.2363793565491665E-2</v>
      </c>
      <c r="AL167" s="229">
        <v>1.219018875402389E-2</v>
      </c>
      <c r="AM167" s="229">
        <v>1.1110202244801082E-2</v>
      </c>
      <c r="AN167" s="229">
        <v>1.2624806012376366E-2</v>
      </c>
      <c r="AO167" s="229">
        <v>1.0271444040860778E-2</v>
      </c>
      <c r="AP167" s="229">
        <v>9.7930387773561556E-3</v>
      </c>
      <c r="AQ167" s="229">
        <v>9.8298367103925033E-3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AJ169" s="378"/>
      <c r="AK169" s="378"/>
      <c r="AL169" s="378"/>
      <c r="AM169" s="378"/>
      <c r="AN169" s="378"/>
      <c r="AO169" s="378"/>
      <c r="AP169" s="378"/>
      <c r="AQ169" s="378"/>
    </row>
    <row r="170" spans="5:43" s="378" customFormat="1" ht="15" customHeight="1">
      <c r="E170" s="150" t="str">
        <f>Input!E170</f>
        <v>Allowed Expenditure - Rail Electrification (WPD)</v>
      </c>
      <c r="G170" s="269" t="s">
        <v>657</v>
      </c>
      <c r="AJ170" s="213">
        <f>AJ26</f>
        <v>0</v>
      </c>
      <c r="AK170" s="213">
        <f t="shared" ref="AK170:AQ170" si="12">AK26</f>
        <v>0</v>
      </c>
      <c r="AL170" s="213">
        <f t="shared" si="12"/>
        <v>0</v>
      </c>
      <c r="AM170" s="213">
        <f t="shared" si="12"/>
        <v>0</v>
      </c>
      <c r="AN170" s="213">
        <f t="shared" si="12"/>
        <v>0</v>
      </c>
      <c r="AO170" s="213">
        <f t="shared" si="12"/>
        <v>0</v>
      </c>
      <c r="AP170" s="213">
        <f t="shared" si="12"/>
        <v>0</v>
      </c>
      <c r="AQ170" s="213">
        <f t="shared" si="12"/>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0.98047322172285034</v>
      </c>
      <c r="AK172" s="229">
        <v>0.97983943161404119</v>
      </c>
      <c r="AL172" s="229">
        <v>0.98034014645905498</v>
      </c>
      <c r="AM172" s="229">
        <v>0.98073777774359605</v>
      </c>
      <c r="AN172" s="229">
        <v>0.98084028274144741</v>
      </c>
      <c r="AO172" s="229">
        <v>0.98133665264241177</v>
      </c>
      <c r="AP172" s="229">
        <v>0.98219958812841857</v>
      </c>
      <c r="AQ172" s="229">
        <v>0.98240451202979107</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1.9526778277149659E-2</v>
      </c>
      <c r="AK176" s="229">
        <v>2.016056838595881E-2</v>
      </c>
      <c r="AL176" s="229">
        <v>1.9659853540945016E-2</v>
      </c>
      <c r="AM176" s="229">
        <v>1.9262222256403949E-2</v>
      </c>
      <c r="AN176" s="229">
        <v>1.9159717258552589E-2</v>
      </c>
      <c r="AO176" s="229">
        <v>1.8663347357588234E-2</v>
      </c>
      <c r="AP176" s="229">
        <v>1.7800411871581434E-2</v>
      </c>
      <c r="AQ176" s="229">
        <v>1.7595487970208934E-2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150" t="str">
        <f>Input!E179</f>
        <v>Allowed Expenditure - Moorside Costs (ENWL)</v>
      </c>
      <c r="G179" s="269" t="s">
        <v>657</v>
      </c>
      <c r="I179" s="356"/>
      <c r="AJ179" s="213">
        <f>AJ27</f>
        <v>0</v>
      </c>
      <c r="AK179" s="213">
        <f>AK27</f>
        <v>0</v>
      </c>
      <c r="AL179" s="213">
        <f t="shared" ref="AL179:AQ179" si="13">AL27</f>
        <v>0</v>
      </c>
      <c r="AM179" s="213">
        <f t="shared" si="13"/>
        <v>0</v>
      </c>
      <c r="AN179" s="213">
        <f>AN27</f>
        <v>0</v>
      </c>
      <c r="AO179" s="213">
        <f t="shared" si="13"/>
        <v>0</v>
      </c>
      <c r="AP179" s="213">
        <f t="shared" si="13"/>
        <v>0</v>
      </c>
      <c r="AQ179" s="213">
        <f t="shared" si="13"/>
        <v>0</v>
      </c>
    </row>
    <row r="180" spans="5:43" s="269" customFormat="1" ht="15" customHeight="1">
      <c r="E180" s="357" t="str">
        <f>Input!E180</f>
        <v>Allocation to load related capex</v>
      </c>
      <c r="G180" s="269" t="s">
        <v>47</v>
      </c>
      <c r="I180" s="147"/>
      <c r="AJ180" s="229">
        <v>1</v>
      </c>
      <c r="AK180" s="229">
        <v>1</v>
      </c>
      <c r="AL180" s="229">
        <v>1</v>
      </c>
      <c r="AM180" s="229">
        <v>1</v>
      </c>
      <c r="AN180" s="229">
        <v>1</v>
      </c>
      <c r="AO180" s="229">
        <v>1</v>
      </c>
      <c r="AP180" s="229">
        <v>1</v>
      </c>
      <c r="AQ180" s="229">
        <v>1</v>
      </c>
    </row>
    <row r="181" spans="5:43" s="269" customFormat="1" ht="15" customHeight="1">
      <c r="E181" s="357" t="str">
        <f>Input!E181</f>
        <v>Allocation to non-load related capex - asset replacement</v>
      </c>
      <c r="G181" s="269" t="s">
        <v>47</v>
      </c>
      <c r="I181" s="147"/>
      <c r="AJ181" s="229">
        <v>0</v>
      </c>
      <c r="AK181" s="229">
        <v>0</v>
      </c>
      <c r="AL181" s="229">
        <v>0</v>
      </c>
      <c r="AM181" s="229">
        <v>0</v>
      </c>
      <c r="AN181" s="229">
        <v>0</v>
      </c>
      <c r="AO181" s="229">
        <v>0</v>
      </c>
      <c r="AP181" s="229">
        <v>0</v>
      </c>
      <c r="AQ181" s="229">
        <v>0</v>
      </c>
    </row>
    <row r="182" spans="5:43" s="269" customFormat="1" ht="15" customHeight="1">
      <c r="E182" s="357" t="str">
        <f>Input!E182</f>
        <v>Allocation to non-load related capex - other</v>
      </c>
      <c r="G182" s="269" t="s">
        <v>47</v>
      </c>
      <c r="I182" s="147"/>
      <c r="AJ182" s="229">
        <v>0</v>
      </c>
      <c r="AK182" s="229">
        <v>0</v>
      </c>
      <c r="AL182" s="229">
        <v>0</v>
      </c>
      <c r="AM182" s="229">
        <v>0</v>
      </c>
      <c r="AN182" s="229">
        <v>0</v>
      </c>
      <c r="AO182" s="229">
        <v>0</v>
      </c>
      <c r="AP182" s="229">
        <v>0</v>
      </c>
      <c r="AQ182" s="229">
        <v>0</v>
      </c>
    </row>
    <row r="183" spans="5:43" s="269" customFormat="1" ht="15" customHeight="1">
      <c r="E183" s="357" t="str">
        <f>Input!E183</f>
        <v>Allocation to faults</v>
      </c>
      <c r="G183" s="269" t="s">
        <v>47</v>
      </c>
      <c r="I183" s="147"/>
      <c r="AJ183" s="229">
        <v>0</v>
      </c>
      <c r="AK183" s="229">
        <v>0</v>
      </c>
      <c r="AL183" s="229">
        <v>0</v>
      </c>
      <c r="AM183" s="229">
        <v>0</v>
      </c>
      <c r="AN183" s="229">
        <v>0</v>
      </c>
      <c r="AO183" s="229">
        <v>0</v>
      </c>
      <c r="AP183" s="229">
        <v>0</v>
      </c>
      <c r="AQ183" s="229">
        <v>0</v>
      </c>
    </row>
    <row r="184" spans="5:43" s="269" customFormat="1" ht="15" customHeight="1">
      <c r="E184" s="357" t="s">
        <v>721</v>
      </c>
      <c r="I184" s="378"/>
      <c r="AJ184" s="229">
        <v>0</v>
      </c>
      <c r="AK184" s="229">
        <v>0</v>
      </c>
      <c r="AL184" s="229">
        <v>0</v>
      </c>
      <c r="AM184" s="229">
        <v>0</v>
      </c>
      <c r="AN184" s="229">
        <v>0</v>
      </c>
      <c r="AO184" s="229">
        <v>0</v>
      </c>
      <c r="AP184" s="229">
        <v>0</v>
      </c>
      <c r="AQ184" s="229">
        <v>0</v>
      </c>
    </row>
    <row r="185" spans="5:43" s="269" customFormat="1" ht="15" customHeight="1">
      <c r="E185" s="357" t="str">
        <f>Input!E185</f>
        <v>Allocation to 100% ‘revenue pool’ expenditure</v>
      </c>
      <c r="G185" s="269" t="s">
        <v>47</v>
      </c>
      <c r="I185" s="147"/>
      <c r="AJ185" s="229">
        <v>0</v>
      </c>
      <c r="AK185" s="229">
        <v>0</v>
      </c>
      <c r="AL185" s="229">
        <v>0</v>
      </c>
      <c r="AM185" s="229">
        <v>0</v>
      </c>
      <c r="AN185" s="229">
        <v>0</v>
      </c>
      <c r="AO185" s="229">
        <v>0</v>
      </c>
      <c r="AP185" s="229">
        <v>0</v>
      </c>
      <c r="AQ185" s="229">
        <v>0</v>
      </c>
    </row>
    <row r="186" spans="5:43" s="269" customFormat="1" ht="15" customHeight="1">
      <c r="E186" s="357" t="str">
        <f>Input!E186</f>
        <v>Allocation to controllable opex</v>
      </c>
      <c r="G186" s="269" t="s">
        <v>47</v>
      </c>
      <c r="I186" s="147"/>
      <c r="AJ186" s="229">
        <v>0</v>
      </c>
      <c r="AK186" s="229">
        <v>0</v>
      </c>
      <c r="AL186" s="229">
        <v>0</v>
      </c>
      <c r="AM186" s="229">
        <v>0</v>
      </c>
      <c r="AN186" s="229">
        <v>0</v>
      </c>
      <c r="AO186" s="229">
        <v>0</v>
      </c>
      <c r="AP186" s="229">
        <v>0</v>
      </c>
      <c r="AQ186" s="229">
        <v>0</v>
      </c>
    </row>
    <row r="187" spans="5:43" ht="15" customHeight="1">
      <c r="AJ187" s="378"/>
      <c r="AK187" s="378"/>
      <c r="AL187" s="378"/>
      <c r="AM187" s="378"/>
      <c r="AN187" s="378"/>
      <c r="AO187" s="378"/>
      <c r="AP187" s="378"/>
      <c r="AQ187" s="378"/>
    </row>
    <row r="188" spans="5:43" ht="15" customHeight="1">
      <c r="E188" s="150" t="str">
        <f>E28</f>
        <v>Allowed Expenditure - Shetland Uncertain Energy (SSEH)</v>
      </c>
      <c r="F188" s="269"/>
      <c r="G188" s="269" t="s">
        <v>657</v>
      </c>
      <c r="AJ188" s="213">
        <f t="shared" ref="AJ188:AQ188" si="14">AJ28</f>
        <v>0</v>
      </c>
      <c r="AK188" s="213">
        <f t="shared" si="14"/>
        <v>0</v>
      </c>
      <c r="AL188" s="213">
        <f t="shared" si="14"/>
        <v>0</v>
      </c>
      <c r="AM188" s="213">
        <f t="shared" si="14"/>
        <v>0</v>
      </c>
      <c r="AN188" s="213">
        <f t="shared" si="14"/>
        <v>0</v>
      </c>
      <c r="AO188" s="213">
        <f t="shared" si="14"/>
        <v>0</v>
      </c>
      <c r="AP188" s="213">
        <f t="shared" si="14"/>
        <v>0</v>
      </c>
      <c r="AQ188" s="213">
        <f t="shared" si="14"/>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AJ196" s="378"/>
      <c r="AK196" s="378"/>
      <c r="AL196" s="378"/>
      <c r="AM196" s="378"/>
      <c r="AN196" s="378"/>
      <c r="AO196" s="378"/>
      <c r="AP196" s="378"/>
      <c r="AQ196" s="378"/>
    </row>
    <row r="197" spans="5:43" s="378" customFormat="1" ht="15" customHeight="1">
      <c r="E197" s="150" t="str">
        <f>E29</f>
        <v>Allowed Expenditure - Shetland Competitive Process (SSEH)</v>
      </c>
      <c r="F197" s="269"/>
      <c r="G197" s="269" t="s">
        <v>657</v>
      </c>
      <c r="AJ197" s="213">
        <f>AJ29</f>
        <v>0</v>
      </c>
      <c r="AK197" s="213">
        <f t="shared" ref="AK197:AQ197" si="15">AK29</f>
        <v>0</v>
      </c>
      <c r="AL197" s="213">
        <f t="shared" si="15"/>
        <v>0</v>
      </c>
      <c r="AM197" s="213">
        <f t="shared" si="15"/>
        <v>0</v>
      </c>
      <c r="AN197" s="213">
        <f t="shared" si="15"/>
        <v>0</v>
      </c>
      <c r="AO197" s="213">
        <f t="shared" si="15"/>
        <v>0</v>
      </c>
      <c r="AP197" s="213">
        <f t="shared" si="15"/>
        <v>0</v>
      </c>
      <c r="AQ197" s="213">
        <f t="shared" si="15"/>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6">AK30</f>
        <v>0</v>
      </c>
      <c r="AL206" s="213">
        <f t="shared" si="16"/>
        <v>0</v>
      </c>
      <c r="AM206" s="213">
        <f t="shared" si="16"/>
        <v>0</v>
      </c>
      <c r="AN206" s="213">
        <f t="shared" si="16"/>
        <v>0</v>
      </c>
      <c r="AO206" s="213">
        <f t="shared" si="16"/>
        <v>0</v>
      </c>
      <c r="AP206" s="213">
        <f t="shared" si="16"/>
        <v>0</v>
      </c>
      <c r="AQ206" s="213">
        <f t="shared" si="16"/>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7">AK31</f>
        <v>0</v>
      </c>
      <c r="AL215" s="213">
        <f t="shared" si="17"/>
        <v>0</v>
      </c>
      <c r="AM215" s="213">
        <f t="shared" si="17"/>
        <v>0</v>
      </c>
      <c r="AN215" s="213">
        <f t="shared" si="17"/>
        <v>0</v>
      </c>
      <c r="AO215" s="213">
        <f t="shared" si="17"/>
        <v>0</v>
      </c>
      <c r="AP215" s="213">
        <f t="shared" si="17"/>
        <v>0</v>
      </c>
      <c r="AQ215" s="213">
        <f t="shared" si="17"/>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150" t="str">
        <f>E32</f>
        <v>Allowed Expenditure - Uncertain Rail Electrification Costs</v>
      </c>
      <c r="F224" s="269"/>
      <c r="G224" s="269" t="s">
        <v>657</v>
      </c>
      <c r="AJ224" s="213">
        <f>AJ32</f>
        <v>0</v>
      </c>
      <c r="AK224" s="213">
        <f t="shared" ref="AK224:AQ224" si="18">AK32</f>
        <v>0</v>
      </c>
      <c r="AL224" s="213">
        <f t="shared" si="18"/>
        <v>0</v>
      </c>
      <c r="AM224" s="213">
        <f t="shared" si="18"/>
        <v>0</v>
      </c>
      <c r="AN224" s="213">
        <f t="shared" si="18"/>
        <v>0</v>
      </c>
      <c r="AO224" s="213">
        <f t="shared" si="18"/>
        <v>0</v>
      </c>
      <c r="AP224" s="213">
        <f t="shared" si="18"/>
        <v>0</v>
      </c>
      <c r="AQ224" s="213">
        <f t="shared" si="18"/>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0.98047322172285034</v>
      </c>
      <c r="AK226" s="229">
        <v>0.97983943161404119</v>
      </c>
      <c r="AL226" s="229">
        <v>0.98034014645905498</v>
      </c>
      <c r="AM226" s="229">
        <v>0.98073777774359605</v>
      </c>
      <c r="AN226" s="229">
        <v>0.98084028274144741</v>
      </c>
      <c r="AO226" s="229">
        <v>0.98133665264241177</v>
      </c>
      <c r="AP226" s="229">
        <v>0.98219958812841857</v>
      </c>
      <c r="AQ226" s="229">
        <v>0.98240451202979107</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1.9526778277149659E-2</v>
      </c>
      <c r="AK230" s="229">
        <v>2.016056838595881E-2</v>
      </c>
      <c r="AL230" s="229">
        <v>1.9659853540945016E-2</v>
      </c>
      <c r="AM230" s="229">
        <v>1.9262222256403949E-2</v>
      </c>
      <c r="AN230" s="229">
        <v>1.9159717258552589E-2</v>
      </c>
      <c r="AO230" s="229">
        <v>1.8663347357588234E-2</v>
      </c>
      <c r="AP230" s="229">
        <v>1.7800411871581434E-2</v>
      </c>
      <c r="AQ230" s="229">
        <v>1.7595487970208934E-2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AJ232" s="378"/>
      <c r="AK232" s="378"/>
      <c r="AL232" s="378"/>
      <c r="AM232" s="378"/>
      <c r="AN232" s="378"/>
      <c r="AO232" s="378"/>
      <c r="AP232" s="378"/>
      <c r="AQ232" s="378"/>
    </row>
    <row r="233" spans="5:43" s="269" customFormat="1" ht="15" customHeight="1">
      <c r="E233" s="150" t="str">
        <f>E33</f>
        <v>Allowed Expenditure - Innovation Roll-out Mechanism</v>
      </c>
      <c r="G233" s="269" t="s">
        <v>657</v>
      </c>
      <c r="I233" s="356"/>
      <c r="AJ233" s="213">
        <f>AJ33</f>
        <v>0</v>
      </c>
      <c r="AK233" s="213">
        <f t="shared" ref="AK233:AQ233" si="19">AK33</f>
        <v>0</v>
      </c>
      <c r="AL233" s="213">
        <f t="shared" si="19"/>
        <v>0</v>
      </c>
      <c r="AM233" s="213">
        <f t="shared" si="19"/>
        <v>0</v>
      </c>
      <c r="AN233" s="213">
        <f t="shared" si="19"/>
        <v>0</v>
      </c>
      <c r="AO233" s="213">
        <f t="shared" si="19"/>
        <v>0</v>
      </c>
      <c r="AP233" s="213">
        <f t="shared" si="19"/>
        <v>0</v>
      </c>
      <c r="AQ233" s="213">
        <f t="shared" si="19"/>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14.671914997460815</v>
      </c>
      <c r="AK242" s="150">
        <f t="shared" ref="AK242:AQ242" si="20">(AK$107*AK108)+(AK$116*AK117)+(AK$125*AK126)+(AK$134*AK135)+(AK$143*AK144)+(AK$152*AK153)+(AK$161*AK162)+(AK$170*AK171)+(AK$179*AK180)+(AK$197*AK198)+(AK$188*AK189)+(AK206*AK207)+(AK215*AK216)+(AK$224*AK225)+(AK$233*AK234)</f>
        <v>18.391422596845405</v>
      </c>
      <c r="AL242" s="150">
        <f t="shared" si="20"/>
        <v>12.245998997766574</v>
      </c>
      <c r="AM242" s="150">
        <f t="shared" si="20"/>
        <v>15.91330853370026</v>
      </c>
      <c r="AN242" s="150">
        <f t="shared" si="20"/>
        <v>14.965679057158672</v>
      </c>
      <c r="AO242" s="150">
        <f t="shared" si="20"/>
        <v>16.300249877876013</v>
      </c>
      <c r="AP242" s="150">
        <f t="shared" si="20"/>
        <v>22.040731984003916</v>
      </c>
      <c r="AQ242" s="150">
        <f t="shared" si="20"/>
        <v>19.219664468302707</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1">(AK$107*AK109)+(AK$116*AK118)+(AK$125*AK127)+(AK$134*AK136)+(AK$143*AK145)+(AK$152*AK154)+(AK$161*AK163)+(AK$170*AK172)+(AK$179*AK181)+(AK$197*AK199)+(AK206*AK208)+(AK215*AK217)+(AK$188*AK190)+(AK$224*AK226)+(AK$233*AK235)</f>
        <v>0</v>
      </c>
      <c r="AL243" s="150">
        <f t="shared" si="21"/>
        <v>0</v>
      </c>
      <c r="AM243" s="150">
        <f t="shared" si="21"/>
        <v>0</v>
      </c>
      <c r="AN243" s="150">
        <f t="shared" si="21"/>
        <v>0</v>
      </c>
      <c r="AO243" s="150">
        <f t="shared" si="21"/>
        <v>0</v>
      </c>
      <c r="AP243" s="150">
        <f t="shared" si="21"/>
        <v>0</v>
      </c>
      <c r="AQ243" s="150">
        <f t="shared" si="21"/>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2">(AK$107*AK110)+(AK$116*AK119)+(AK$125*AK128)+(AK$134*AK137)+(AK$143*AK146)+(AK$152*AK155)+(AK$161*AK164)+(AK$170*AK173)+(AK$179*AK182)+(AK$197*AK200)+(AK$188*AK191)+(AK206*AK209)+(AK215*AK218)+(AK$224*AK227)+(AK$233*AK236)</f>
        <v>0</v>
      </c>
      <c r="AL244" s="150">
        <f t="shared" si="22"/>
        <v>0</v>
      </c>
      <c r="AM244" s="150">
        <f t="shared" si="22"/>
        <v>0</v>
      </c>
      <c r="AN244" s="150">
        <f t="shared" si="22"/>
        <v>0</v>
      </c>
      <c r="AO244" s="150">
        <f t="shared" si="22"/>
        <v>0</v>
      </c>
      <c r="AP244" s="150">
        <f t="shared" si="22"/>
        <v>0</v>
      </c>
      <c r="AQ244" s="150">
        <f t="shared" si="22"/>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3">(AK$107*AK111)+(AK$116*AK120)+(AK$125*AK129)+(AK$134*AK138)+(AK$143*AK147)+(AK$152*AK156)+(AK$161*AK165)+(AK$170*AK174)+(AK$179*AK183)+(AK$197*AK201)+(AK$188*AK192)+(AK206*AK210)+(AK215*AK219)+(AK$224*AK228)+(AK$233*AK237)</f>
        <v>0</v>
      </c>
      <c r="AL245" s="150">
        <f t="shared" si="23"/>
        <v>0</v>
      </c>
      <c r="AM245" s="150">
        <f t="shared" si="23"/>
        <v>0</v>
      </c>
      <c r="AN245" s="150">
        <f t="shared" si="23"/>
        <v>0</v>
      </c>
      <c r="AO245" s="150">
        <f t="shared" si="23"/>
        <v>0</v>
      </c>
      <c r="AP245" s="150">
        <f t="shared" si="23"/>
        <v>0</v>
      </c>
      <c r="AQ245" s="150">
        <f t="shared" si="23"/>
        <v>0</v>
      </c>
    </row>
    <row r="246" spans="4:44" s="269" customFormat="1" ht="15" customHeight="1">
      <c r="E246" s="161" t="s">
        <v>722</v>
      </c>
      <c r="G246" s="269" t="s">
        <v>657</v>
      </c>
      <c r="I246" s="356"/>
      <c r="AJ246" s="150">
        <f>(AJ$107*AJ112)+(AJ$116*AJ121)+(AJ$125*AJ130)+(AJ$134*AJ139)+(AJ$143*AJ148)+(AJ$152*AJ157)+(AJ$161*AJ166)+(AJ$170*AJ175)+(AJ$179*AJ184)+(AJ$197*AJ202)+(AJ$188*AJ193)+(AJ206*AJ211)+(AJ215*AJ220)+(AJ$224*AJ229)+(AJ$233*AJ238)</f>
        <v>0</v>
      </c>
      <c r="AK246" s="150">
        <f t="shared" ref="AK246:AQ246" si="24">(AK$107*AK112)+(AK$116*AK121)+(AK$125*AK130)+(AK$134*AK139)+(AK$143*AK148)+(AK$152*AK157)+(AK$161*AK166)+(AK$170*AK175)+(AK$179*AK184)+(AK$197*AK202)+(AK$188*AK193)+(AK206*AK211)+(AK215*AK220)+(AK$224*AK229)+(AK$233*AK238)</f>
        <v>0</v>
      </c>
      <c r="AL246" s="150">
        <f t="shared" si="24"/>
        <v>0</v>
      </c>
      <c r="AM246" s="150">
        <f t="shared" si="24"/>
        <v>0</v>
      </c>
      <c r="AN246" s="150">
        <f t="shared" si="24"/>
        <v>0</v>
      </c>
      <c r="AO246" s="150">
        <f t="shared" si="24"/>
        <v>0</v>
      </c>
      <c r="AP246" s="150">
        <f t="shared" si="24"/>
        <v>0</v>
      </c>
      <c r="AQ246" s="150">
        <f t="shared" si="24"/>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0.18115492511804301</v>
      </c>
      <c r="AK247" s="150">
        <f t="shared" ref="AK247:AQ247" si="25">(AK$107*AK113)+(AK$116*AK122)+(AK$125*AK131)+(AK$134*AK140)+(AK$143*AK149)+(AK$152*AK158)+(AK$161*AK167)+(AK$170*AK176)+(AK$179*AK185)+(AK$197*AK203)+(AK$188*AK194)+(AK206*AK212)+(AK215*AK221)+(AK$224*AK230)+(AK$233*AK239)</f>
        <v>0.23968143580595722</v>
      </c>
      <c r="AL247" s="150">
        <f t="shared" si="25"/>
        <v>0.16061897815910542</v>
      </c>
      <c r="AM247" s="150">
        <f t="shared" si="25"/>
        <v>0.18833141724380617</v>
      </c>
      <c r="AN247" s="150">
        <f t="shared" si="25"/>
        <v>0.20094953518398129</v>
      </c>
      <c r="AO247" s="150">
        <f t="shared" si="25"/>
        <v>0.16916466991335694</v>
      </c>
      <c r="AP247" s="150">
        <f t="shared" si="25"/>
        <v>0.21798043384198387</v>
      </c>
      <c r="AQ247" s="150">
        <f t="shared" si="25"/>
        <v>0.19080171303514701</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1.8451941681917712</v>
      </c>
      <c r="AK248" s="150">
        <f t="shared" ref="AK248:AQ248" si="26">(AK$107*AK114)+(AK$116*AK123)+(AK$125*AK132)+(AK$134*AK141)+(AK$143*AK150)+(AK$152*AK159)+(AK$161*AK168)+(AK$170*AK177)+(AK$179*AK186)+(AK$197*AK204)+(AK$188*AK195)+(AK206*AK213)+(AK215*AK222)+(AK$224*AK231)+(AK$233*AK240)</f>
        <v>2.5445498762577574</v>
      </c>
      <c r="AL248" s="150">
        <f t="shared" si="26"/>
        <v>3.0806848133715898</v>
      </c>
      <c r="AM248" s="150">
        <f t="shared" si="26"/>
        <v>2.8072876897680361</v>
      </c>
      <c r="AN248" s="150">
        <f t="shared" si="26"/>
        <v>2.6778444893181175</v>
      </c>
      <c r="AO248" s="150">
        <f t="shared" si="26"/>
        <v>0</v>
      </c>
      <c r="AP248" s="150">
        <f t="shared" si="26"/>
        <v>0</v>
      </c>
      <c r="AQ248" s="150">
        <f t="shared" si="26"/>
        <v>0</v>
      </c>
    </row>
    <row r="249" spans="4:44" s="269" customFormat="1" ht="15" customHeight="1">
      <c r="E249" s="147"/>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7">AJ12</f>
        <v>0</v>
      </c>
      <c r="AK252" s="213">
        <f t="shared" si="27"/>
        <v>0</v>
      </c>
      <c r="AL252" s="213">
        <f t="shared" si="27"/>
        <v>0</v>
      </c>
      <c r="AM252" s="213">
        <f t="shared" si="27"/>
        <v>0</v>
      </c>
      <c r="AN252" s="213">
        <f t="shared" si="27"/>
        <v>0</v>
      </c>
      <c r="AO252" s="213">
        <f t="shared" si="27"/>
        <v>0</v>
      </c>
      <c r="AP252" s="213">
        <f t="shared" si="27"/>
        <v>0</v>
      </c>
      <c r="AQ252" s="213">
        <f t="shared" si="27"/>
        <v>0</v>
      </c>
      <c r="AR252" s="326"/>
    </row>
    <row r="253" spans="4:44" s="161" customFormat="1" ht="15" customHeight="1">
      <c r="E253" s="56" t="str">
        <f>Input!E253</f>
        <v>Actual non-load related capex - asset replacement</v>
      </c>
      <c r="G253" s="269" t="s">
        <v>657</v>
      </c>
      <c r="AJ253" s="213">
        <f t="shared" si="27"/>
        <v>0</v>
      </c>
      <c r="AK253" s="213">
        <f t="shared" si="27"/>
        <v>0</v>
      </c>
      <c r="AL253" s="213">
        <f t="shared" si="27"/>
        <v>0</v>
      </c>
      <c r="AM253" s="213">
        <f t="shared" si="27"/>
        <v>0</v>
      </c>
      <c r="AN253" s="213">
        <f t="shared" si="27"/>
        <v>0</v>
      </c>
      <c r="AO253" s="213">
        <f t="shared" si="27"/>
        <v>0</v>
      </c>
      <c r="AP253" s="213">
        <f t="shared" si="27"/>
        <v>0</v>
      </c>
      <c r="AQ253" s="213">
        <f t="shared" si="27"/>
        <v>0</v>
      </c>
      <c r="AR253" s="326"/>
    </row>
    <row r="254" spans="4:44" s="161" customFormat="1" ht="15" customHeight="1">
      <c r="E254" s="269" t="str">
        <f>Input!E254</f>
        <v>Actual non-load related capex - other</v>
      </c>
      <c r="G254" s="269" t="s">
        <v>657</v>
      </c>
      <c r="AJ254" s="213">
        <f t="shared" si="27"/>
        <v>0</v>
      </c>
      <c r="AK254" s="213">
        <f t="shared" si="27"/>
        <v>0</v>
      </c>
      <c r="AL254" s="213">
        <f t="shared" si="27"/>
        <v>0</v>
      </c>
      <c r="AM254" s="213">
        <f t="shared" si="27"/>
        <v>0</v>
      </c>
      <c r="AN254" s="213">
        <f t="shared" si="27"/>
        <v>0</v>
      </c>
      <c r="AO254" s="213">
        <f t="shared" si="27"/>
        <v>0</v>
      </c>
      <c r="AP254" s="213">
        <f t="shared" si="27"/>
        <v>0</v>
      </c>
      <c r="AQ254" s="213">
        <f t="shared" si="27"/>
        <v>0</v>
      </c>
      <c r="AR254" s="326"/>
    </row>
    <row r="255" spans="4:44" s="161" customFormat="1" ht="15" customHeight="1">
      <c r="E255" s="269" t="str">
        <f>Input!E255</f>
        <v>Actual faults</v>
      </c>
      <c r="G255" s="269" t="s">
        <v>657</v>
      </c>
      <c r="AJ255" s="213">
        <f>AJ15</f>
        <v>0</v>
      </c>
      <c r="AK255" s="213">
        <f t="shared" ref="AK255:AQ255" si="28">AK15</f>
        <v>0</v>
      </c>
      <c r="AL255" s="213">
        <f t="shared" si="28"/>
        <v>0</v>
      </c>
      <c r="AM255" s="213">
        <f t="shared" si="28"/>
        <v>0</v>
      </c>
      <c r="AN255" s="213">
        <f t="shared" si="28"/>
        <v>0</v>
      </c>
      <c r="AO255" s="213">
        <f t="shared" si="28"/>
        <v>0</v>
      </c>
      <c r="AP255" s="213">
        <f t="shared" si="28"/>
        <v>0</v>
      </c>
      <c r="AQ255" s="213">
        <f t="shared" si="28"/>
        <v>0</v>
      </c>
      <c r="AR255" s="326"/>
    </row>
    <row r="256" spans="4:44" s="161" customFormat="1" ht="15" customHeight="1">
      <c r="E256" s="161" t="s">
        <v>723</v>
      </c>
      <c r="G256" s="269"/>
      <c r="AJ256" s="213">
        <f>AJ16</f>
        <v>0</v>
      </c>
      <c r="AK256" s="213">
        <f t="shared" ref="AK256:AQ256" si="29">AK16</f>
        <v>0</v>
      </c>
      <c r="AL256" s="213">
        <f t="shared" si="29"/>
        <v>0</v>
      </c>
      <c r="AM256" s="213">
        <f t="shared" si="29"/>
        <v>0</v>
      </c>
      <c r="AN256" s="213">
        <f t="shared" si="29"/>
        <v>0</v>
      </c>
      <c r="AO256" s="213">
        <f t="shared" si="29"/>
        <v>0</v>
      </c>
      <c r="AP256" s="213">
        <f t="shared" si="29"/>
        <v>0</v>
      </c>
      <c r="AQ256" s="213">
        <f t="shared" si="29"/>
        <v>0</v>
      </c>
      <c r="AR256" s="326"/>
    </row>
    <row r="257" spans="2:44" s="161" customFormat="1" ht="15" customHeight="1">
      <c r="E257" s="269" t="str">
        <f>Input!E257</f>
        <v>Actual 100% ‘revenue pool’ expenditure</v>
      </c>
      <c r="G257" s="269" t="s">
        <v>657</v>
      </c>
      <c r="AJ257" s="213">
        <f t="shared" ref="AJ257:AQ257" si="30">AJ17</f>
        <v>0</v>
      </c>
      <c r="AK257" s="213">
        <f t="shared" si="30"/>
        <v>0</v>
      </c>
      <c r="AL257" s="213">
        <f t="shared" si="30"/>
        <v>0</v>
      </c>
      <c r="AM257" s="213">
        <f t="shared" si="30"/>
        <v>0</v>
      </c>
      <c r="AN257" s="213">
        <f t="shared" si="30"/>
        <v>0</v>
      </c>
      <c r="AO257" s="213">
        <f t="shared" si="30"/>
        <v>0</v>
      </c>
      <c r="AP257" s="213">
        <f t="shared" si="30"/>
        <v>0</v>
      </c>
      <c r="AQ257" s="213">
        <f t="shared" si="30"/>
        <v>0</v>
      </c>
      <c r="AR257" s="326"/>
    </row>
    <row r="258" spans="2:44" s="161" customFormat="1" ht="15" customHeight="1">
      <c r="E258" s="358" t="str">
        <f>Input!E258</f>
        <v>Actual controllable opex</v>
      </c>
      <c r="G258" s="269" t="s">
        <v>657</v>
      </c>
      <c r="AJ258" s="213">
        <f t="shared" ref="AJ258:AQ258" si="31">AJ18</f>
        <v>0</v>
      </c>
      <c r="AK258" s="213">
        <f t="shared" si="31"/>
        <v>0</v>
      </c>
      <c r="AL258" s="213">
        <f t="shared" si="31"/>
        <v>0</v>
      </c>
      <c r="AM258" s="213">
        <f t="shared" si="31"/>
        <v>0</v>
      </c>
      <c r="AN258" s="213">
        <f t="shared" si="31"/>
        <v>0</v>
      </c>
      <c r="AO258" s="213">
        <f t="shared" si="31"/>
        <v>0</v>
      </c>
      <c r="AP258" s="213">
        <f t="shared" si="31"/>
        <v>0</v>
      </c>
      <c r="AQ258" s="213">
        <f t="shared" si="31"/>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29.827777424403546</v>
      </c>
      <c r="AK262" s="227">
        <v>30.294484696750153</v>
      </c>
      <c r="AL262" s="227">
        <v>30.446799866014551</v>
      </c>
      <c r="AM262" s="227">
        <v>30.427310888290322</v>
      </c>
      <c r="AN262" s="227">
        <v>30.247022151113633</v>
      </c>
      <c r="AO262" s="227">
        <v>30.43151172926671</v>
      </c>
      <c r="AP262" s="227">
        <v>29.404085606430666</v>
      </c>
      <c r="AQ262" s="227">
        <v>29.734063510295329</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13.584580199326078</v>
      </c>
      <c r="AK263" s="227">
        <v>14.877663581082411</v>
      </c>
      <c r="AL263" s="227">
        <v>14.634731709883079</v>
      </c>
      <c r="AM263" s="227">
        <v>14.389106150706709</v>
      </c>
      <c r="AN263" s="227">
        <v>15.060852703504702</v>
      </c>
      <c r="AO263" s="227">
        <v>14.810753687017705</v>
      </c>
      <c r="AP263" s="227">
        <v>17.64398982252504</v>
      </c>
      <c r="AQ263" s="227">
        <v>21.032121305957009</v>
      </c>
    </row>
    <row r="264" spans="2:44" ht="15" customHeight="1">
      <c r="E264" s="19" t="s">
        <v>105</v>
      </c>
      <c r="G264" s="19" t="s">
        <v>657</v>
      </c>
      <c r="AJ264" s="165">
        <f>SUM(AJ262:AJ263)</f>
        <v>43.412357623729626</v>
      </c>
      <c r="AK264" s="165">
        <f t="shared" ref="AK264:AQ264" si="32">SUM(AK262:AK263)</f>
        <v>45.172148277832562</v>
      </c>
      <c r="AL264" s="165">
        <f t="shared" si="32"/>
        <v>45.081531575897628</v>
      </c>
      <c r="AM264" s="165">
        <f t="shared" si="32"/>
        <v>44.816417038997031</v>
      </c>
      <c r="AN264" s="165">
        <f t="shared" si="32"/>
        <v>45.307874854618333</v>
      </c>
      <c r="AO264" s="165">
        <f t="shared" si="32"/>
        <v>45.242265416284411</v>
      </c>
      <c r="AP264" s="165">
        <f t="shared" si="32"/>
        <v>47.048075428955705</v>
      </c>
      <c r="AQ264" s="165">
        <f t="shared" si="32"/>
        <v>50.766184816252334</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row r="268" spans="2:44" s="145" customFormat="1" ht="15" customHeight="1">
      <c r="D268" s="155"/>
      <c r="E268" s="155" t="str">
        <f t="shared" ref="E268" si="33">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4">AJ34</f>
        <v>15.825859714506272</v>
      </c>
      <c r="AK268" s="213">
        <f t="shared" si="34"/>
        <v>15.825859714506272</v>
      </c>
      <c r="AL268" s="213">
        <f t="shared" si="34"/>
        <v>15.825859714506272</v>
      </c>
      <c r="AM268" s="213">
        <f t="shared" si="34"/>
        <v>15.825859714506272</v>
      </c>
      <c r="AN268" s="213">
        <f t="shared" si="34"/>
        <v>15.825859714506272</v>
      </c>
      <c r="AO268" s="213">
        <f t="shared" si="34"/>
        <v>15.825859714506272</v>
      </c>
      <c r="AP268" s="213">
        <f t="shared" si="34"/>
        <v>15.825859714506272</v>
      </c>
      <c r="AQ268" s="213">
        <f t="shared" si="34"/>
        <v>15.825859714506272</v>
      </c>
      <c r="AR268" s="155"/>
    </row>
    <row r="269" spans="2:44" ht="15" customHeight="1"/>
    <row r="270" spans="2:44" ht="15" customHeight="1">
      <c r="E270" s="147" t="str">
        <f>Input!E270</f>
        <v>Other legacy adjustments' Revenue adjustment from previous controls</v>
      </c>
      <c r="G270" s="19" t="s">
        <v>657</v>
      </c>
      <c r="H270" s="378"/>
      <c r="I270" s="421">
        <v>25.386295458408327</v>
      </c>
      <c r="AJ270" s="422">
        <f>($I$270/8)</f>
        <v>3.1732869323010409</v>
      </c>
      <c r="AK270" s="423">
        <f>($I$270/8)*(1+$AK$53)</f>
        <v>3.2925231887822521</v>
      </c>
      <c r="AL270" s="423">
        <f>($I$270/8)*(1+$AK$53)*(1+$AL$53)</f>
        <v>3.4162397476007449</v>
      </c>
      <c r="AM270" s="423">
        <f>($I$270/8)*(1+$AK$53)*(1+$AL$53)*(1+$AM$53)</f>
        <v>3.5446049561168427</v>
      </c>
      <c r="AN270" s="423">
        <f>($I$270/8)*(1+$AK$53)*(1+$AL$53)*(1+$AM$53)*(1+$AN$53)</f>
        <v>3.6777934873429325</v>
      </c>
      <c r="AO270" s="423">
        <f>($I$270/8)*(1+$AK$53)*(1+$AL$53)*(1+$AM$53)*(1+$AN$53)*(1+$AO$53)</f>
        <v>3.8159865776298427</v>
      </c>
      <c r="AP270" s="423">
        <f>($I$270/8)*(1+$AK$53)*(1+$AL$53)*(1+$AM$53)*(1+$AN$53)*(1+$AO$53)*(1+$AP$53)</f>
        <v>3.9593722732842838</v>
      </c>
      <c r="AQ270" s="424">
        <f>($I$270/8)*(1+$AK$53)*(1+$AL$53)*(1+$AM$53)*(1+$AN$53)*(1+$AO$53)*(1+$AP$53)*(1+$AQ$53)</f>
        <v>4.1081456864529402</v>
      </c>
    </row>
    <row r="271" spans="2:44" ht="15" customHeight="1">
      <c r="E271" s="147"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3.1732869323010409</v>
      </c>
      <c r="AK272" s="165">
        <f t="shared" ref="AK272:AQ272" si="35">AK270+AK271</f>
        <v>3.2925231887822521</v>
      </c>
      <c r="AL272" s="165">
        <f t="shared" si="35"/>
        <v>3.4162397476007449</v>
      </c>
      <c r="AM272" s="165">
        <f t="shared" si="35"/>
        <v>3.5446049561168427</v>
      </c>
      <c r="AN272" s="165">
        <f t="shared" si="35"/>
        <v>3.6777934873429325</v>
      </c>
      <c r="AO272" s="165">
        <f t="shared" si="35"/>
        <v>3.8159865776298427</v>
      </c>
      <c r="AP272" s="165">
        <f t="shared" si="35"/>
        <v>3.9593722732842838</v>
      </c>
      <c r="AQ272" s="165">
        <f t="shared" si="35"/>
        <v>4.1081456864529402</v>
      </c>
    </row>
    <row r="273" spans="5:44" ht="15" customHeight="1"/>
    <row r="274" spans="5:44" ht="15" customHeight="1">
      <c r="E274" s="147" t="str">
        <f>Input!E274</f>
        <v>RAV Rolling Incentive legacy adjustments' price control allowed revenue</v>
      </c>
      <c r="G274" s="378" t="str">
        <f>Input!G274</f>
        <v>£m 12/13 prices</v>
      </c>
      <c r="I274" s="421">
        <v>15.296045278566545</v>
      </c>
      <c r="AJ274" s="422">
        <f>($I$274/8)</f>
        <v>1.9120056598208182</v>
      </c>
      <c r="AK274" s="423">
        <f>($I$274/8)*(1+$AK$53)</f>
        <v>1.9838492724885852</v>
      </c>
      <c r="AL274" s="423">
        <f>($I$274/8)*(1+$AK$53)*(1+$AL$53)</f>
        <v>2.0583924089023435</v>
      </c>
      <c r="AM274" s="423">
        <f>($I$274/8)*(1+$AK$53)*(1+$AL$53)*(1+$AM$53)</f>
        <v>2.1357365036668488</v>
      </c>
      <c r="AN274" s="423">
        <f>($I$274/8)*(1+$AK$53)*(1+$AL$53)*(1+$AM$53)*(1+$AN$53)</f>
        <v>2.2159868027921306</v>
      </c>
      <c r="AO274" s="423">
        <f>($I$274/8)*(1+$AK$53)*(1+$AL$53)*(1+$AM$53)*(1+$AN$53)*(1+$AO$53)</f>
        <v>2.2992525069070449</v>
      </c>
      <c r="AP274" s="423">
        <f>($I$274/8)*(1+$AK$53)*(1+$AL$53)*(1+$AM$53)*(1+$AN$53)*(1+$AO$53)*(1+$AP$53)</f>
        <v>2.3856469198540768</v>
      </c>
      <c r="AQ274" s="424">
        <f>($I$274/8)*(1+$AK$53)*(1+$AL$53)*(1+$AM$53)*(1+$AN$53)*(1+$AO$53)*(1+$AP$53)*(1+$AQ$53)</f>
        <v>2.4752876028675934</v>
      </c>
    </row>
    <row r="275" spans="5:44" ht="15" customHeight="1">
      <c r="E275" s="147"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4" ht="15" customHeight="1">
      <c r="E276" s="147" t="str">
        <f>Input!E276</f>
        <v>RAV Rolling Incentive legacy adjustments' price control allowed revenue</v>
      </c>
      <c r="F276" s="19"/>
      <c r="G276" s="378" t="str">
        <f>Input!G276</f>
        <v>£m 12/13 prices</v>
      </c>
      <c r="AJ276" s="165">
        <f>AJ274+AJ275</f>
        <v>1.9120056598208182</v>
      </c>
      <c r="AK276" s="165">
        <f t="shared" ref="AK276:AQ276" si="36">AK274+AK275</f>
        <v>1.9838492724885852</v>
      </c>
      <c r="AL276" s="165">
        <f t="shared" si="36"/>
        <v>2.0583924089023435</v>
      </c>
      <c r="AM276" s="165">
        <f t="shared" si="36"/>
        <v>2.1357365036668488</v>
      </c>
      <c r="AN276" s="165">
        <f t="shared" si="36"/>
        <v>2.2159868027921306</v>
      </c>
      <c r="AO276" s="165">
        <f t="shared" si="36"/>
        <v>2.2992525069070449</v>
      </c>
      <c r="AP276" s="165">
        <f t="shared" si="36"/>
        <v>2.3856469198540768</v>
      </c>
      <c r="AQ276" s="165">
        <f t="shared" si="36"/>
        <v>2.4752876028675934</v>
      </c>
    </row>
    <row r="277" spans="5:44" s="378" customFormat="1" ht="15" customHeight="1">
      <c r="F277" s="19"/>
      <c r="G277" s="19"/>
      <c r="AJ277" s="155"/>
      <c r="AK277" s="155"/>
      <c r="AL277" s="155"/>
      <c r="AM277" s="155"/>
      <c r="AN277" s="155"/>
      <c r="AO277" s="155"/>
      <c r="AP277" s="155"/>
      <c r="AQ277" s="155"/>
    </row>
    <row r="278" spans="5:44" s="378" customFormat="1" ht="15" customHeight="1">
      <c r="E278" s="378" t="str">
        <f>Input!E278</f>
        <v>Other adjustments</v>
      </c>
      <c r="F278" s="19"/>
      <c r="G278" s="378" t="str">
        <f>Input!G278</f>
        <v>£m 12/13 prices</v>
      </c>
      <c r="AJ278" s="227">
        <f>(10.862722/((AI59/AG59)))</f>
        <v>10.240684393169376</v>
      </c>
      <c r="AK278" s="227"/>
      <c r="AL278" s="227"/>
      <c r="AM278" s="227"/>
      <c r="AN278" s="227"/>
      <c r="AO278" s="227"/>
      <c r="AP278" s="227"/>
      <c r="AQ278" s="227"/>
    </row>
    <row r="279" spans="5:44" s="378" customFormat="1" ht="15" customHeight="1">
      <c r="F279" s="19"/>
      <c r="G279" s="19"/>
      <c r="AJ279" s="155"/>
      <c r="AK279" s="155"/>
      <c r="AL279" s="155"/>
      <c r="AM279" s="155"/>
      <c r="AN279" s="155"/>
      <c r="AO279" s="155"/>
      <c r="AP279" s="155"/>
      <c r="AQ279" s="155"/>
    </row>
    <row r="280" spans="5:44" ht="15" customHeight="1">
      <c r="E280" s="147" t="str">
        <f>Input!E280</f>
        <v>Legacy Losses Incentive</v>
      </c>
      <c r="G280" s="19" t="s">
        <v>657</v>
      </c>
      <c r="AJ280" s="227">
        <v>-10.891609996616232</v>
      </c>
      <c r="AK280" s="227">
        <v>-10.496430370211733</v>
      </c>
      <c r="AL280" s="227">
        <v>0</v>
      </c>
      <c r="AM280" s="227">
        <v>0</v>
      </c>
      <c r="AN280" s="227">
        <v>0</v>
      </c>
      <c r="AO280" s="227">
        <v>0</v>
      </c>
      <c r="AP280" s="227">
        <v>0</v>
      </c>
      <c r="AQ280" s="227">
        <v>0</v>
      </c>
    </row>
    <row r="281" spans="5:44" s="378" customFormat="1" ht="15" customHeight="1">
      <c r="E281" s="378" t="str">
        <f>Input!E281</f>
        <v>Adjustment for Rebate</v>
      </c>
      <c r="G281" s="19" t="s">
        <v>657</v>
      </c>
      <c r="AJ281" s="227">
        <v>0</v>
      </c>
      <c r="AK281" s="227"/>
      <c r="AL281" s="227"/>
      <c r="AM281" s="227"/>
      <c r="AN281" s="227"/>
      <c r="AO281" s="227"/>
      <c r="AP281" s="227"/>
      <c r="AQ281" s="227"/>
    </row>
    <row r="282" spans="5:44" ht="15" customHeight="1">
      <c r="AE282" s="378"/>
      <c r="AF282" s="378"/>
      <c r="AG282" s="378"/>
      <c r="AH282" s="378"/>
      <c r="AI282" s="378"/>
    </row>
    <row r="283" spans="5:44" s="378" customFormat="1" ht="15" customHeight="1">
      <c r="E283" s="378" t="str">
        <f>Input!E283</f>
        <v>Value Added Services (DRS 8) revenue</v>
      </c>
      <c r="G283" s="19" t="s">
        <v>657</v>
      </c>
      <c r="AJ283" s="219">
        <v>0.59004000000000001</v>
      </c>
      <c r="AK283" s="219">
        <v>0.5840204</v>
      </c>
      <c r="AL283" s="219">
        <v>0.57794060400000002</v>
      </c>
      <c r="AM283" s="219">
        <v>0.57180001003999992</v>
      </c>
      <c r="AN283" s="219">
        <v>0.56559801014040001</v>
      </c>
      <c r="AO283" s="219">
        <v>0.55933399024180386</v>
      </c>
      <c r="AP283" s="219">
        <v>0.5530073301442221</v>
      </c>
      <c r="AQ283" s="219">
        <v>0.54661740344566412</v>
      </c>
    </row>
    <row r="284" spans="5:44" s="378" customFormat="1" ht="15" customHeight="1">
      <c r="E284" s="378" t="str">
        <f>Input!E284</f>
        <v>Value Added Services (DRS 8) costs</v>
      </c>
      <c r="G284" s="19" t="s">
        <v>657</v>
      </c>
      <c r="AJ284" s="219">
        <v>-9.9315056000000027E-2</v>
      </c>
      <c r="AK284" s="219">
        <v>-9.9315056000000027E-2</v>
      </c>
      <c r="AL284" s="219">
        <v>-9.9315056000000027E-2</v>
      </c>
      <c r="AM284" s="219">
        <v>-9.9315056000000027E-2</v>
      </c>
      <c r="AN284" s="219">
        <v>-9.9315056000000027E-2</v>
      </c>
      <c r="AO284" s="219">
        <v>-9.9315056000000027E-2</v>
      </c>
      <c r="AP284" s="219">
        <v>-9.9315056000000027E-2</v>
      </c>
      <c r="AQ284" s="219">
        <v>-9.9315056000000027E-2</v>
      </c>
    </row>
    <row r="285" spans="5:44" s="378" customFormat="1" ht="15" customHeight="1">
      <c r="E285" s="378" t="s">
        <v>790</v>
      </c>
      <c r="G285" s="19" t="s">
        <v>657</v>
      </c>
      <c r="AJ285" s="165">
        <f>SUM(AJ283,AJ284)</f>
        <v>0.490724944</v>
      </c>
      <c r="AK285" s="165">
        <f t="shared" ref="AK285:AQ285" si="37">SUM(AK283,AK284)</f>
        <v>0.48470534399999998</v>
      </c>
      <c r="AL285" s="165">
        <f t="shared" si="37"/>
        <v>0.47862554800000001</v>
      </c>
      <c r="AM285" s="165">
        <f t="shared" si="37"/>
        <v>0.4724849540399999</v>
      </c>
      <c r="AN285" s="165">
        <f t="shared" si="37"/>
        <v>0.4662829541404</v>
      </c>
      <c r="AO285" s="165">
        <f t="shared" si="37"/>
        <v>0.46001893424180385</v>
      </c>
      <c r="AP285" s="165">
        <f t="shared" si="37"/>
        <v>0.45369227414422209</v>
      </c>
      <c r="AQ285" s="165">
        <f t="shared" si="37"/>
        <v>0.44730234744566411</v>
      </c>
    </row>
    <row r="286" spans="5:44" s="378" customFormat="1" ht="15" customHeight="1"/>
    <row r="287" spans="5:44"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0.39996000000000004</v>
      </c>
      <c r="AK287" s="219">
        <v>0.3958796</v>
      </c>
      <c r="AL287" s="219">
        <v>0.39175839600000006</v>
      </c>
      <c r="AM287" s="219">
        <v>0.38759597996</v>
      </c>
      <c r="AN287" s="219">
        <v>0.38339193975960006</v>
      </c>
      <c r="AO287" s="219">
        <v>0.37914585915719595</v>
      </c>
      <c r="AP287" s="219">
        <v>0.37485731774876807</v>
      </c>
      <c r="AQ287" s="219">
        <v>0.3705258909262556</v>
      </c>
      <c r="AR287"/>
    </row>
    <row r="288" spans="5:44"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-6.7320944000000035E-2</v>
      </c>
      <c r="AK288" s="219">
        <v>-6.7320944000000035E-2</v>
      </c>
      <c r="AL288" s="219">
        <v>-6.7320944000000035E-2</v>
      </c>
      <c r="AM288" s="219">
        <v>-6.7320944000000035E-2</v>
      </c>
      <c r="AN288" s="219">
        <v>-6.7320944000000035E-2</v>
      </c>
      <c r="AO288" s="219">
        <v>-6.7320944000000035E-2</v>
      </c>
      <c r="AP288" s="219">
        <v>-6.7320944000000035E-2</v>
      </c>
      <c r="AQ288" s="219">
        <v>-6.7320944000000035E-2</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0.33263905599999999</v>
      </c>
      <c r="AK289" s="165">
        <f t="shared" ref="AK289:AQ289" si="38">SUM(AK287,AK288)</f>
        <v>0.32855865599999995</v>
      </c>
      <c r="AL289" s="165">
        <f t="shared" si="38"/>
        <v>0.32443745200000002</v>
      </c>
      <c r="AM289" s="165">
        <f t="shared" si="38"/>
        <v>0.32027503595999995</v>
      </c>
      <c r="AN289" s="165">
        <f t="shared" si="38"/>
        <v>0.31607099575960002</v>
      </c>
      <c r="AO289" s="165">
        <f t="shared" si="38"/>
        <v>0.3118249151571959</v>
      </c>
      <c r="AP289" s="165">
        <f t="shared" si="38"/>
        <v>0.30753637374876802</v>
      </c>
      <c r="AQ289" s="165">
        <f t="shared" si="38"/>
        <v>0.30320494692625555</v>
      </c>
    </row>
    <row r="290" spans="4:43" ht="15" customHeight="1">
      <c r="AE290" s="378"/>
      <c r="AF290" s="378"/>
      <c r="AG290" s="378"/>
      <c r="AH290" s="378"/>
      <c r="AI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AE292" s="378"/>
      <c r="AF292" s="378"/>
      <c r="AG292" s="378"/>
      <c r="AH292" s="378"/>
      <c r="AI292" s="378"/>
    </row>
    <row r="293" spans="4:43" ht="15" customHeight="1">
      <c r="E293" s="147" t="str">
        <f>Input!E293</f>
        <v>Connections Sole Use funded &amp; DG (DRS 1) revenue/customer contributions</v>
      </c>
      <c r="G293" s="147" t="str">
        <f>Input!G293</f>
        <v>£m 12/13 prices</v>
      </c>
      <c r="AE293" s="219">
        <v>0</v>
      </c>
      <c r="AF293" s="219">
        <v>0</v>
      </c>
      <c r="AG293" s="219">
        <v>0</v>
      </c>
      <c r="AH293" s="219">
        <v>0</v>
      </c>
      <c r="AI293" s="219">
        <v>0</v>
      </c>
      <c r="AJ293" s="219">
        <v>22.030416536118953</v>
      </c>
      <c r="AK293" s="219">
        <v>22.25093065547863</v>
      </c>
      <c r="AL293" s="219">
        <v>21.346542097061889</v>
      </c>
      <c r="AM293" s="219">
        <v>22.370544795181225</v>
      </c>
      <c r="AN293" s="219">
        <v>20.624943624748479</v>
      </c>
      <c r="AO293" s="219">
        <v>21.0055045811092</v>
      </c>
      <c r="AP293" s="219">
        <v>20.47311266479797</v>
      </c>
      <c r="AQ293" s="219">
        <v>21.24539500379198</v>
      </c>
    </row>
    <row r="294" spans="4:43" ht="15" customHeight="1">
      <c r="E294" s="147" t="str">
        <f>Input!E294</f>
        <v>Connections Sole Use funded &amp; DG (DRS 1) costs</v>
      </c>
      <c r="G294" s="147" t="str">
        <f>Input!G294</f>
        <v>£m 12/13 prices</v>
      </c>
      <c r="AE294" s="219">
        <v>0</v>
      </c>
      <c r="AF294" s="219">
        <v>0</v>
      </c>
      <c r="AG294" s="219">
        <v>0</v>
      </c>
      <c r="AH294" s="219">
        <v>0</v>
      </c>
      <c r="AI294" s="219">
        <v>0</v>
      </c>
      <c r="AJ294" s="219">
        <v>-21.598447584430346</v>
      </c>
      <c r="AK294" s="219">
        <v>-21.814637897528073</v>
      </c>
      <c r="AL294" s="219">
        <v>-20.92798244809989</v>
      </c>
      <c r="AM294" s="219">
        <v>-21.931906661942378</v>
      </c>
      <c r="AN294" s="219">
        <v>-20.220532965439684</v>
      </c>
      <c r="AO294" s="219">
        <v>-20.593631942263922</v>
      </c>
      <c r="AP294" s="219">
        <v>-20.071679083135265</v>
      </c>
      <c r="AQ294" s="219">
        <v>-20.828818631168609</v>
      </c>
    </row>
    <row r="295" spans="4:43" ht="15" customHeight="1">
      <c r="E295" s="147" t="str">
        <f>Input!E295</f>
        <v>Connections Sole Use funded &amp; DG (DRS 1) net position</v>
      </c>
      <c r="G295" s="147" t="str">
        <f>Input!G295</f>
        <v>£m 12/13 prices</v>
      </c>
      <c r="AE295" s="165">
        <f t="shared" ref="AE295" si="39">SUM(AE293,AE294)</f>
        <v>0</v>
      </c>
      <c r="AF295" s="165">
        <f t="shared" ref="AF295:AK295" si="40">SUM(AF293,AF294)</f>
        <v>0</v>
      </c>
      <c r="AG295" s="165">
        <f t="shared" si="40"/>
        <v>0</v>
      </c>
      <c r="AH295" s="165">
        <f t="shared" si="40"/>
        <v>0</v>
      </c>
      <c r="AI295" s="165">
        <f t="shared" si="40"/>
        <v>0</v>
      </c>
      <c r="AJ295" s="165">
        <f t="shared" si="40"/>
        <v>0.4319689516886065</v>
      </c>
      <c r="AK295" s="165">
        <f t="shared" si="40"/>
        <v>0.43629275795055733</v>
      </c>
      <c r="AL295" s="165">
        <f t="shared" ref="AL295:AQ295" si="41">SUM(AL293,AL294)</f>
        <v>0.41855964896199893</v>
      </c>
      <c r="AM295" s="165">
        <f t="shared" si="41"/>
        <v>0.43863813323884671</v>
      </c>
      <c r="AN295" s="165">
        <f t="shared" si="41"/>
        <v>0.40441065930879461</v>
      </c>
      <c r="AO295" s="165">
        <f t="shared" si="41"/>
        <v>0.41187263884527781</v>
      </c>
      <c r="AP295" s="165">
        <f t="shared" si="41"/>
        <v>0.4014335816627046</v>
      </c>
      <c r="AQ295" s="165">
        <f t="shared" si="41"/>
        <v>0.41657637262337133</v>
      </c>
    </row>
    <row r="296" spans="4:43" ht="15" customHeight="1">
      <c r="AE296" s="378"/>
      <c r="AF296" s="378"/>
      <c r="AG296" s="378"/>
      <c r="AH296" s="378"/>
      <c r="AI296" s="378"/>
      <c r="AJ296" s="378"/>
      <c r="AK296" s="378"/>
      <c r="AL296" s="378"/>
      <c r="AM296" s="378"/>
      <c r="AN296" s="378"/>
      <c r="AO296" s="378"/>
      <c r="AP296" s="378"/>
      <c r="AQ296" s="378"/>
    </row>
    <row r="297" spans="4:43" ht="15" customHeight="1">
      <c r="E297" s="147" t="str">
        <f>Input!E297</f>
        <v>Connection projects UMC (DRS 1) revenue/customer contributions</v>
      </c>
      <c r="G297" s="147" t="str">
        <f>Input!G297</f>
        <v>£m 12/13 prices</v>
      </c>
      <c r="AE297" s="219">
        <v>0</v>
      </c>
      <c r="AF297" s="219">
        <v>0</v>
      </c>
      <c r="AG297" s="219">
        <v>0</v>
      </c>
      <c r="AH297" s="219">
        <v>0</v>
      </c>
      <c r="AI297" s="219">
        <v>0</v>
      </c>
      <c r="AJ297" s="219">
        <v>1.1325919496130481</v>
      </c>
      <c r="AK297" s="219">
        <v>1.1100646478559859</v>
      </c>
      <c r="AL297" s="219">
        <v>1.1049320178584956</v>
      </c>
      <c r="AM297" s="219">
        <v>1.0713016188491187</v>
      </c>
      <c r="AN297" s="219">
        <v>1.0765074514724993</v>
      </c>
      <c r="AO297" s="219">
        <v>1.0693313993347422</v>
      </c>
      <c r="AP297" s="219">
        <v>1.0621370976507225</v>
      </c>
      <c r="AQ297" s="219">
        <v>1.0324255169951848</v>
      </c>
    </row>
    <row r="298" spans="4:43" ht="15" customHeight="1">
      <c r="E298" s="147" t="str">
        <f>Input!E298</f>
        <v>Connection projects UMC (DRS 1) costs</v>
      </c>
      <c r="G298" s="147" t="str">
        <f>Input!G298</f>
        <v>£m 12/13 prices</v>
      </c>
      <c r="AE298" s="219">
        <v>0</v>
      </c>
      <c r="AF298" s="219">
        <v>0</v>
      </c>
      <c r="AG298" s="219">
        <v>0</v>
      </c>
      <c r="AH298" s="219">
        <v>0</v>
      </c>
      <c r="AI298" s="219">
        <v>0</v>
      </c>
      <c r="AJ298" s="219">
        <v>-1.1103842643265178</v>
      </c>
      <c r="AK298" s="219">
        <v>-1.0882986743686136</v>
      </c>
      <c r="AL298" s="219">
        <v>-1.0832666841749956</v>
      </c>
      <c r="AM298" s="219">
        <v>-1.050295704754038</v>
      </c>
      <c r="AN298" s="219">
        <v>-1.0553994622279403</v>
      </c>
      <c r="AO298" s="219">
        <v>-1.0483641169948452</v>
      </c>
      <c r="AP298" s="219">
        <v>-1.0413108800497279</v>
      </c>
      <c r="AQ298" s="219">
        <v>-1.0121818794070438</v>
      </c>
    </row>
    <row r="299" spans="4:43" ht="15" customHeight="1">
      <c r="E299" s="147" t="str">
        <f>Input!E299</f>
        <v>Connection projects UMC (DRS 1) net position</v>
      </c>
      <c r="G299" s="147" t="str">
        <f>Input!G299</f>
        <v>£m 12/13 prices</v>
      </c>
      <c r="AE299" s="165">
        <f t="shared" ref="AE299:AI299" si="42">SUM(AE297,AE298)</f>
        <v>0</v>
      </c>
      <c r="AF299" s="165">
        <f t="shared" si="42"/>
        <v>0</v>
      </c>
      <c r="AG299" s="165">
        <f t="shared" si="42"/>
        <v>0</v>
      </c>
      <c r="AH299" s="165">
        <f t="shared" si="42"/>
        <v>0</v>
      </c>
      <c r="AI299" s="165">
        <f t="shared" si="42"/>
        <v>0</v>
      </c>
      <c r="AJ299" s="165">
        <f>SUM(AJ297,AJ298)</f>
        <v>2.2207685286530277E-2</v>
      </c>
      <c r="AK299" s="165">
        <f t="shared" ref="AK299:AQ299" si="43">SUM(AK297,AK298)</f>
        <v>2.1765973487372303E-2</v>
      </c>
      <c r="AL299" s="165">
        <f t="shared" si="43"/>
        <v>2.1665333683499988E-2</v>
      </c>
      <c r="AM299" s="165">
        <f t="shared" si="43"/>
        <v>2.100591409508068E-2</v>
      </c>
      <c r="AN299" s="165">
        <f t="shared" si="43"/>
        <v>2.1107989244558922E-2</v>
      </c>
      <c r="AO299" s="165">
        <f t="shared" si="43"/>
        <v>2.0967282339896975E-2</v>
      </c>
      <c r="AP299" s="165">
        <f t="shared" si="43"/>
        <v>2.0826217600994568E-2</v>
      </c>
      <c r="AQ299" s="165">
        <f t="shared" si="43"/>
        <v>2.0243637588140961E-2</v>
      </c>
    </row>
    <row r="300" spans="4:43" ht="15" customHeight="1">
      <c r="AE300" s="378"/>
      <c r="AF300" s="378"/>
      <c r="AG300" s="378"/>
      <c r="AH300" s="378"/>
      <c r="AI300" s="378"/>
      <c r="AJ300" s="378"/>
      <c r="AK300" s="378"/>
      <c r="AL300" s="378"/>
      <c r="AM300" s="378"/>
      <c r="AN300" s="378"/>
      <c r="AO300" s="378"/>
      <c r="AP300" s="378"/>
      <c r="AQ300" s="378"/>
    </row>
    <row r="301" spans="4:43" ht="15" customHeight="1">
      <c r="E301" s="147" t="str">
        <f>Input!E301</f>
        <v>Diversionary works under obligation (DRS 2) revenue</v>
      </c>
      <c r="G301" s="147" t="str">
        <f>Input!G301</f>
        <v>£m 12/13 prices</v>
      </c>
      <c r="AE301" s="219">
        <v>0</v>
      </c>
      <c r="AF301" s="219">
        <v>0</v>
      </c>
      <c r="AG301" s="219">
        <v>0</v>
      </c>
      <c r="AH301" s="219">
        <v>0</v>
      </c>
      <c r="AI301" s="219">
        <v>0</v>
      </c>
      <c r="AJ301" s="219">
        <v>7.0289999999999999</v>
      </c>
      <c r="AK301" s="219">
        <v>6.9572899999999995</v>
      </c>
      <c r="AL301" s="219">
        <v>5.4303144000000003</v>
      </c>
      <c r="AM301" s="219">
        <v>5.3726175439999997</v>
      </c>
      <c r="AN301" s="219">
        <v>5.3143437194400001</v>
      </c>
      <c r="AO301" s="219">
        <v>5.2554871566343992</v>
      </c>
      <c r="AP301" s="219">
        <v>5.1960420282007442</v>
      </c>
      <c r="AQ301" s="219">
        <v>5.13600244848275</v>
      </c>
    </row>
    <row r="302" spans="4:43" ht="15" customHeight="1">
      <c r="E302" s="147" t="str">
        <f>Input!E302</f>
        <v>Diversionary works under obligation (DRS 2) costs</v>
      </c>
      <c r="G302" s="147" t="str">
        <f>Input!G302</f>
        <v>£m 12/13 prices</v>
      </c>
      <c r="AE302" s="219">
        <v>0</v>
      </c>
      <c r="AF302" s="219">
        <v>0</v>
      </c>
      <c r="AG302" s="219">
        <v>0</v>
      </c>
      <c r="AH302" s="219">
        <v>0</v>
      </c>
      <c r="AI302" s="219">
        <v>0</v>
      </c>
      <c r="AJ302" s="219">
        <v>-7.2066423609742616</v>
      </c>
      <c r="AK302" s="219">
        <v>-7.1457479697724988</v>
      </c>
      <c r="AL302" s="219">
        <v>-5.5758309252791936</v>
      </c>
      <c r="AM302" s="219">
        <v>-5.5291915039481507</v>
      </c>
      <c r="AN302" s="219">
        <v>-5.4820882534468574</v>
      </c>
      <c r="AO302" s="219">
        <v>-5.4345166749056437</v>
      </c>
      <c r="AP302" s="219">
        <v>-5.3864722340514781</v>
      </c>
      <c r="AQ302" s="219">
        <v>-5.3379503616674819</v>
      </c>
    </row>
    <row r="303" spans="4:43" ht="15" customHeight="1">
      <c r="E303" s="147" t="str">
        <f>Input!E303</f>
        <v>Diversionary works under obligation (DRS 2) net position</v>
      </c>
      <c r="G303" s="147" t="str">
        <f>Input!G303</f>
        <v>£m 12/13 prices</v>
      </c>
      <c r="AE303" s="165">
        <f t="shared" ref="AE303:AI303" si="44">SUM(AE301,AE302)</f>
        <v>0</v>
      </c>
      <c r="AF303" s="165">
        <f t="shared" si="44"/>
        <v>0</v>
      </c>
      <c r="AG303" s="165">
        <f t="shared" si="44"/>
        <v>0</v>
      </c>
      <c r="AH303" s="165">
        <f t="shared" si="44"/>
        <v>0</v>
      </c>
      <c r="AI303" s="165">
        <f t="shared" si="44"/>
        <v>0</v>
      </c>
      <c r="AJ303" s="165">
        <f>SUM(AJ301,AJ302)</f>
        <v>-0.17764236097426167</v>
      </c>
      <c r="AK303" s="165">
        <f t="shared" ref="AK303:AQ303" si="45">SUM(AK301,AK302)</f>
        <v>-0.18845796977249929</v>
      </c>
      <c r="AL303" s="165">
        <f t="shared" si="45"/>
        <v>-0.14551652527919323</v>
      </c>
      <c r="AM303" s="165">
        <f t="shared" si="45"/>
        <v>-0.15657395994815104</v>
      </c>
      <c r="AN303" s="165">
        <f t="shared" si="45"/>
        <v>-0.16774453400685729</v>
      </c>
      <c r="AO303" s="165">
        <f t="shared" si="45"/>
        <v>-0.17902951827124447</v>
      </c>
      <c r="AP303" s="165">
        <f t="shared" si="45"/>
        <v>-0.19043020585073389</v>
      </c>
      <c r="AQ303" s="165">
        <f t="shared" si="45"/>
        <v>-0.20194791318473193</v>
      </c>
    </row>
    <row r="304" spans="4:43" ht="15" customHeight="1">
      <c r="AE304" s="378"/>
      <c r="AF304" s="378"/>
      <c r="AG304" s="378"/>
      <c r="AH304" s="378"/>
      <c r="AI304" s="378"/>
      <c r="AJ304" s="378"/>
      <c r="AK304" s="378"/>
      <c r="AL304" s="378"/>
      <c r="AM304" s="378"/>
      <c r="AN304" s="378"/>
      <c r="AO304" s="378"/>
      <c r="AP304" s="378"/>
      <c r="AQ304" s="378"/>
    </row>
    <row r="305" spans="5:43" ht="15" customHeight="1">
      <c r="E305" s="147" t="str">
        <f>Input!E305</f>
        <v>Work required by any alteration premises (DRS 3) revenue</v>
      </c>
      <c r="G305" s="147" t="str">
        <f>Input!G305</f>
        <v>£m 12/13 prices</v>
      </c>
      <c r="AE305" s="219">
        <v>0</v>
      </c>
      <c r="AF305" s="219">
        <v>0</v>
      </c>
      <c r="AG305" s="219">
        <v>0</v>
      </c>
      <c r="AH305" s="219">
        <v>0</v>
      </c>
      <c r="AI305" s="219">
        <v>0</v>
      </c>
      <c r="AJ305" s="219">
        <v>0.57419999999999993</v>
      </c>
      <c r="AK305" s="219">
        <v>0.5683419999999999</v>
      </c>
      <c r="AL305" s="219">
        <v>0.56242542000000006</v>
      </c>
      <c r="AM305" s="219">
        <v>0.55644967419999991</v>
      </c>
      <c r="AN305" s="219">
        <v>0.55041417094199996</v>
      </c>
      <c r="AO305" s="219">
        <v>0.54431831265141983</v>
      </c>
      <c r="AP305" s="219">
        <v>0.53816149577793426</v>
      </c>
      <c r="AQ305" s="219">
        <v>0.53194311073571343</v>
      </c>
    </row>
    <row r="306" spans="5:43" ht="15" customHeight="1">
      <c r="E306" s="147" t="str">
        <f>Input!E306</f>
        <v>Work required by any alteration premises (DRS 3) costs</v>
      </c>
      <c r="G306" s="147" t="str">
        <f>Input!G306</f>
        <v>£m 12/13 prices</v>
      </c>
      <c r="AE306" s="219">
        <v>0</v>
      </c>
      <c r="AF306" s="219">
        <v>0</v>
      </c>
      <c r="AG306" s="219">
        <v>0</v>
      </c>
      <c r="AH306" s="219">
        <v>0</v>
      </c>
      <c r="AI306" s="219">
        <v>0</v>
      </c>
      <c r="AJ306" s="219">
        <v>-0.59080943090753291</v>
      </c>
      <c r="AK306" s="219">
        <v>-0.5858172335971461</v>
      </c>
      <c r="AL306" s="219">
        <v>-0.6082098074974277</v>
      </c>
      <c r="AM306" s="219">
        <v>-0.60312239472439344</v>
      </c>
      <c r="AN306" s="219">
        <v>-0.59798438761768391</v>
      </c>
      <c r="AO306" s="219">
        <v>-0.59279529544207221</v>
      </c>
      <c r="AP306" s="219">
        <v>-0.58755462360054389</v>
      </c>
      <c r="AQ306" s="219">
        <v>-0.58226187368442117</v>
      </c>
    </row>
    <row r="307" spans="5:43" ht="15" customHeight="1">
      <c r="E307" s="147" t="str">
        <f>Input!E307</f>
        <v>Work required by any alteration premises (DRS 3) net position</v>
      </c>
      <c r="G307" s="147" t="str">
        <f>Input!G307</f>
        <v>£m 12/13 prices</v>
      </c>
      <c r="AE307" s="165">
        <f t="shared" ref="AE307:AI307" si="46">SUM(AE305,AE306)</f>
        <v>0</v>
      </c>
      <c r="AF307" s="165">
        <f t="shared" si="46"/>
        <v>0</v>
      </c>
      <c r="AG307" s="165">
        <f t="shared" si="46"/>
        <v>0</v>
      </c>
      <c r="AH307" s="165">
        <f t="shared" si="46"/>
        <v>0</v>
      </c>
      <c r="AI307" s="165">
        <f t="shared" si="46"/>
        <v>0</v>
      </c>
      <c r="AJ307" s="165">
        <f>SUM(AJ305,AJ306)</f>
        <v>-1.6609430907532974E-2</v>
      </c>
      <c r="AK307" s="165">
        <f t="shared" ref="AK307:AQ307" si="47">SUM(AK305,AK306)</f>
        <v>-1.74752335971462E-2</v>
      </c>
      <c r="AL307" s="165">
        <f t="shared" si="47"/>
        <v>-4.5784387497427637E-2</v>
      </c>
      <c r="AM307" s="165">
        <f t="shared" si="47"/>
        <v>-4.6672720524393529E-2</v>
      </c>
      <c r="AN307" s="165">
        <f t="shared" si="47"/>
        <v>-4.7570216675683952E-2</v>
      </c>
      <c r="AO307" s="165">
        <f t="shared" si="47"/>
        <v>-4.8476982790652379E-2</v>
      </c>
      <c r="AP307" s="165">
        <f t="shared" si="47"/>
        <v>-4.9393127822609628E-2</v>
      </c>
      <c r="AQ307" s="165">
        <f t="shared" si="47"/>
        <v>-5.031876294870774E-2</v>
      </c>
    </row>
    <row r="308" spans="5:43" ht="15" customHeight="1">
      <c r="AE308" s="378"/>
      <c r="AF308" s="378"/>
      <c r="AG308" s="378"/>
      <c r="AH308" s="378"/>
      <c r="AI308" s="378"/>
      <c r="AJ308" s="378"/>
      <c r="AK308" s="378"/>
      <c r="AL308" s="378"/>
      <c r="AM308" s="378"/>
      <c r="AN308" s="378"/>
      <c r="AO308" s="378"/>
      <c r="AP308" s="378"/>
      <c r="AQ308" s="378"/>
    </row>
    <row r="309" spans="5:43" ht="15" customHeight="1">
      <c r="E309" s="147"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147"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147" t="str">
        <f>Input!E311</f>
        <v>Top up standby and enhanced system security (DRS 4) net position</v>
      </c>
      <c r="G311" s="147" t="str">
        <f>Input!G311</f>
        <v>£m 12/13 prices</v>
      </c>
      <c r="AE311" s="165">
        <f t="shared" ref="AE311:AI311" si="48">SUM(AE309,AE310)</f>
        <v>0</v>
      </c>
      <c r="AF311" s="165">
        <f t="shared" si="48"/>
        <v>0</v>
      </c>
      <c r="AG311" s="165">
        <f t="shared" si="48"/>
        <v>0</v>
      </c>
      <c r="AH311" s="165">
        <f t="shared" si="48"/>
        <v>0</v>
      </c>
      <c r="AI311" s="165">
        <f t="shared" si="48"/>
        <v>0</v>
      </c>
      <c r="AJ311" s="165">
        <f>SUM(AJ309,AJ310)</f>
        <v>0</v>
      </c>
      <c r="AK311" s="165">
        <f t="shared" ref="AK311:AQ311" si="49">SUM(AK309,AK310)</f>
        <v>0</v>
      </c>
      <c r="AL311" s="165">
        <f t="shared" si="49"/>
        <v>0</v>
      </c>
      <c r="AM311" s="165">
        <f t="shared" si="49"/>
        <v>0</v>
      </c>
      <c r="AN311" s="165">
        <f t="shared" si="49"/>
        <v>0</v>
      </c>
      <c r="AO311" s="165">
        <f t="shared" si="49"/>
        <v>0</v>
      </c>
      <c r="AP311" s="165">
        <f t="shared" si="49"/>
        <v>0</v>
      </c>
      <c r="AQ311" s="165">
        <f t="shared" si="49"/>
        <v>0</v>
      </c>
    </row>
    <row r="312" spans="5:43" ht="15" customHeight="1">
      <c r="AE312" s="378"/>
      <c r="AF312" s="378"/>
      <c r="AG312" s="378"/>
      <c r="AH312" s="378"/>
      <c r="AI312" s="378"/>
      <c r="AJ312" s="378"/>
      <c r="AK312" s="378"/>
      <c r="AL312" s="378"/>
      <c r="AM312" s="378"/>
      <c r="AN312" s="378"/>
      <c r="AO312" s="378"/>
      <c r="AP312" s="378"/>
      <c r="AQ312" s="378"/>
    </row>
    <row r="313" spans="5:43" ht="15" customHeight="1">
      <c r="E313" s="147" t="str">
        <f>Input!E313</f>
        <v>Revenue protection services (DRS 5) revenue</v>
      </c>
      <c r="G313" s="147" t="str">
        <f>Input!G313</f>
        <v>£m 12/13 prices</v>
      </c>
      <c r="AE313" s="219">
        <v>0</v>
      </c>
      <c r="AF313" s="219">
        <v>0</v>
      </c>
      <c r="AG313" s="219">
        <v>0</v>
      </c>
      <c r="AH313" s="219">
        <v>0</v>
      </c>
      <c r="AI313" s="219">
        <v>0</v>
      </c>
      <c r="AJ313" s="219">
        <v>1.0318851982303352</v>
      </c>
      <c r="AK313" s="219">
        <v>1.0202721264282286</v>
      </c>
      <c r="AL313" s="219">
        <v>1.008542923908101</v>
      </c>
      <c r="AM313" s="219">
        <v>0.9966964293627717</v>
      </c>
      <c r="AN313" s="219">
        <v>0.98473146987198934</v>
      </c>
      <c r="AO313" s="219">
        <v>0.97264686078629892</v>
      </c>
      <c r="AP313" s="219">
        <v>0.96044140560975244</v>
      </c>
      <c r="AQ313" s="219">
        <v>0.94811389588143946</v>
      </c>
    </row>
    <row r="314" spans="5:43" ht="15" customHeight="1">
      <c r="E314" s="147" t="str">
        <f>Input!E314</f>
        <v>Revenue protection services (DRS 5) costs</v>
      </c>
      <c r="G314" s="147" t="str">
        <f>Input!G314</f>
        <v>£m 12/13 prices</v>
      </c>
      <c r="AE314" s="219">
        <v>0</v>
      </c>
      <c r="AF314" s="219">
        <v>0</v>
      </c>
      <c r="AG314" s="219">
        <v>0</v>
      </c>
      <c r="AH314" s="219">
        <v>0</v>
      </c>
      <c r="AI314" s="219">
        <v>0</v>
      </c>
      <c r="AJ314" s="219">
        <v>-0.57046338266710683</v>
      </c>
      <c r="AK314" s="219">
        <v>-0.56504179562941037</v>
      </c>
      <c r="AL314" s="219">
        <v>-0.5859965015756593</v>
      </c>
      <c r="AM314" s="219">
        <v>-0.58043637830508643</v>
      </c>
      <c r="AN314" s="219">
        <v>-0.57481780896469725</v>
      </c>
      <c r="AO314" s="219">
        <v>-0.56914005446364058</v>
      </c>
      <c r="AP314" s="219">
        <v>-0.56340235768928093</v>
      </c>
      <c r="AQ314" s="219">
        <v>-0.5576039424246414</v>
      </c>
    </row>
    <row r="315" spans="5:43" ht="15" customHeight="1">
      <c r="E315" s="147" t="str">
        <f>Input!E315</f>
        <v>Revenue protection services (DRS 5) net position</v>
      </c>
      <c r="G315" s="147" t="str">
        <f>Input!G315</f>
        <v>£m 12/13 prices</v>
      </c>
      <c r="AE315" s="165">
        <f t="shared" ref="AE315:AI315" si="50">SUM(AE313,AE314)</f>
        <v>0</v>
      </c>
      <c r="AF315" s="165">
        <f t="shared" si="50"/>
        <v>0</v>
      </c>
      <c r="AG315" s="165">
        <f t="shared" si="50"/>
        <v>0</v>
      </c>
      <c r="AH315" s="165">
        <f t="shared" si="50"/>
        <v>0</v>
      </c>
      <c r="AI315" s="165">
        <f t="shared" si="50"/>
        <v>0</v>
      </c>
      <c r="AJ315" s="165">
        <f>SUM(AJ313,AJ314)</f>
        <v>0.46142181556322837</v>
      </c>
      <c r="AK315" s="165">
        <f t="shared" ref="AK315:AQ315" si="51">SUM(AK313,AK314)</f>
        <v>0.45523033079881825</v>
      </c>
      <c r="AL315" s="165">
        <f t="shared" si="51"/>
        <v>0.42254642233244166</v>
      </c>
      <c r="AM315" s="165">
        <f t="shared" si="51"/>
        <v>0.41626005105768527</v>
      </c>
      <c r="AN315" s="165">
        <f t="shared" si="51"/>
        <v>0.40991366090729209</v>
      </c>
      <c r="AO315" s="165">
        <f t="shared" si="51"/>
        <v>0.40350680632265834</v>
      </c>
      <c r="AP315" s="165">
        <f t="shared" si="51"/>
        <v>0.39703904792047151</v>
      </c>
      <c r="AQ315" s="165">
        <f t="shared" si="51"/>
        <v>0.39050995345679806</v>
      </c>
    </row>
    <row r="316" spans="5:43" ht="15" customHeight="1">
      <c r="AE316" s="378"/>
      <c r="AF316" s="378"/>
      <c r="AG316" s="378"/>
      <c r="AH316" s="378"/>
      <c r="AI316" s="378"/>
      <c r="AJ316" s="378"/>
      <c r="AK316" s="378"/>
      <c r="AL316" s="378"/>
      <c r="AM316" s="378"/>
      <c r="AN316" s="378"/>
      <c r="AO316" s="378"/>
      <c r="AP316" s="378"/>
      <c r="AQ316" s="378"/>
    </row>
    <row r="317" spans="5:43" ht="15" customHeight="1">
      <c r="E317" s="147" t="str">
        <f>Input!E317</f>
        <v>Metering services (non legacy) (DRS 6) revenue</v>
      </c>
      <c r="G317" s="147" t="str">
        <f>Input!G317</f>
        <v>£m 12/13 prices</v>
      </c>
      <c r="AE317" s="219">
        <v>0</v>
      </c>
      <c r="AF317" s="219">
        <v>0</v>
      </c>
      <c r="AG317" s="219">
        <v>0</v>
      </c>
      <c r="AH317" s="219">
        <v>0</v>
      </c>
      <c r="AI317" s="219">
        <v>0</v>
      </c>
      <c r="AJ317" s="219">
        <v>0.18315000000000001</v>
      </c>
      <c r="AK317" s="219">
        <v>0.18128149999999998</v>
      </c>
      <c r="AL317" s="219">
        <v>0.17939431500000003</v>
      </c>
      <c r="AM317" s="219">
        <v>0.17748825814999999</v>
      </c>
      <c r="AN317" s="219">
        <v>0.17556314073150001</v>
      </c>
      <c r="AO317" s="219">
        <v>0.17361877213881496</v>
      </c>
      <c r="AP317" s="219">
        <v>0.17165495986020318</v>
      </c>
      <c r="AQ317" s="219">
        <v>0.16967150945880516</v>
      </c>
    </row>
    <row r="318" spans="5:43" ht="15" customHeight="1">
      <c r="E318" s="147"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147" t="str">
        <f>Input!E319</f>
        <v>Metering services (non legacy) (DRS 6) net position</v>
      </c>
      <c r="G319" s="147" t="str">
        <f>Input!G319</f>
        <v>£m 12/13 prices</v>
      </c>
      <c r="AE319" s="165">
        <f t="shared" ref="AE319:AI319" si="52">SUM(AE317,AE318)</f>
        <v>0</v>
      </c>
      <c r="AF319" s="165">
        <f t="shared" si="52"/>
        <v>0</v>
      </c>
      <c r="AG319" s="165">
        <f t="shared" si="52"/>
        <v>0</v>
      </c>
      <c r="AH319" s="165">
        <f t="shared" si="52"/>
        <v>0</v>
      </c>
      <c r="AI319" s="165">
        <f t="shared" si="52"/>
        <v>0</v>
      </c>
      <c r="AJ319" s="165">
        <f>SUM(AJ317,AJ318)</f>
        <v>0.18315000000000001</v>
      </c>
      <c r="AK319" s="165">
        <f t="shared" ref="AK319:AQ319" si="53">SUM(AK317,AK318)</f>
        <v>0.18128149999999998</v>
      </c>
      <c r="AL319" s="165">
        <f t="shared" si="53"/>
        <v>0.17939431500000003</v>
      </c>
      <c r="AM319" s="165">
        <f t="shared" si="53"/>
        <v>0.17748825814999999</v>
      </c>
      <c r="AN319" s="165">
        <f t="shared" si="53"/>
        <v>0.17556314073150001</v>
      </c>
      <c r="AO319" s="165">
        <f t="shared" si="53"/>
        <v>0.17361877213881496</v>
      </c>
      <c r="AP319" s="165">
        <f t="shared" si="53"/>
        <v>0.17165495986020318</v>
      </c>
      <c r="AQ319" s="165">
        <f t="shared" si="53"/>
        <v>0.16967150945880516</v>
      </c>
    </row>
    <row r="320" spans="5:43" ht="15" customHeight="1">
      <c r="AE320" s="378"/>
      <c r="AF320" s="378"/>
      <c r="AG320" s="378"/>
      <c r="AH320" s="378"/>
      <c r="AI320" s="378"/>
      <c r="AJ320" s="378"/>
      <c r="AK320" s="378"/>
      <c r="AL320" s="378"/>
      <c r="AM320" s="378"/>
      <c r="AN320" s="378"/>
      <c r="AO320" s="378"/>
      <c r="AP320" s="378"/>
      <c r="AQ320" s="378"/>
    </row>
    <row r="321" spans="5:43" ht="15" customHeight="1">
      <c r="E321" s="147" t="str">
        <f>Input!E321</f>
        <v>Metering services (legacy)  revenue</v>
      </c>
      <c r="G321" s="147" t="str">
        <f>Input!G321</f>
        <v>£m 12/13 prices</v>
      </c>
      <c r="AE321" s="219">
        <v>0</v>
      </c>
      <c r="AF321" s="219">
        <v>0</v>
      </c>
      <c r="AG321" s="219">
        <v>0</v>
      </c>
      <c r="AH321" s="219">
        <v>0</v>
      </c>
      <c r="AI321" s="219">
        <v>0</v>
      </c>
      <c r="AJ321" s="219">
        <v>2.4075470971336213</v>
      </c>
      <c r="AK321" s="219">
        <v>1.8226652338723945</v>
      </c>
      <c r="AL321" s="219">
        <v>1.3047301552042012</v>
      </c>
      <c r="AM321" s="219">
        <v>0.7508788361555232</v>
      </c>
      <c r="AN321" s="219">
        <v>0.24286641370897782</v>
      </c>
      <c r="AO321" s="219">
        <v>0</v>
      </c>
      <c r="AP321" s="219">
        <v>0</v>
      </c>
      <c r="AQ321" s="219">
        <v>0</v>
      </c>
    </row>
    <row r="322" spans="5:43" ht="15" customHeight="1">
      <c r="E322" s="147" t="str">
        <f>Input!E322</f>
        <v>Metering services (legacy)  costs</v>
      </c>
      <c r="G322" s="147" t="str">
        <f>Input!G322</f>
        <v>£m 12/13 prices</v>
      </c>
      <c r="AE322" s="219">
        <v>0</v>
      </c>
      <c r="AF322" s="219">
        <v>0</v>
      </c>
      <c r="AG322" s="219">
        <v>0</v>
      </c>
      <c r="AH322" s="219">
        <v>0</v>
      </c>
      <c r="AI322" s="219">
        <v>0</v>
      </c>
      <c r="AJ322" s="219">
        <v>-1.4199999999999999E-2</v>
      </c>
      <c r="AK322" s="219">
        <v>-1.4199999999999999E-2</v>
      </c>
      <c r="AL322" s="219">
        <v>-1.4199999999999999E-2</v>
      </c>
      <c r="AM322" s="219">
        <v>-1.4199999999999999E-2</v>
      </c>
      <c r="AN322" s="219">
        <v>-1.4199999999999999E-2</v>
      </c>
      <c r="AO322" s="219">
        <v>0</v>
      </c>
      <c r="AP322" s="219">
        <v>0</v>
      </c>
      <c r="AQ322" s="219">
        <v>0</v>
      </c>
    </row>
    <row r="323" spans="5:43" ht="15" customHeight="1">
      <c r="E323" s="147" t="str">
        <f>Input!E323</f>
        <v>Metering services (legacy)  net position</v>
      </c>
      <c r="G323" s="147" t="str">
        <f>Input!G323</f>
        <v>£m 12/13 prices</v>
      </c>
      <c r="AE323" s="165">
        <f t="shared" ref="AE323:AI323" si="54">SUM(AE321,AE322)</f>
        <v>0</v>
      </c>
      <c r="AF323" s="165">
        <f t="shared" si="54"/>
        <v>0</v>
      </c>
      <c r="AG323" s="165">
        <f t="shared" si="54"/>
        <v>0</v>
      </c>
      <c r="AH323" s="165">
        <f t="shared" si="54"/>
        <v>0</v>
      </c>
      <c r="AI323" s="165">
        <f t="shared" si="54"/>
        <v>0</v>
      </c>
      <c r="AJ323" s="165">
        <f>SUM(AJ321,AJ322)</f>
        <v>2.393347097133621</v>
      </c>
      <c r="AK323" s="165">
        <f t="shared" ref="AK323:AQ323" si="55">SUM(AK321,AK322)</f>
        <v>1.8084652338723946</v>
      </c>
      <c r="AL323" s="165">
        <f t="shared" si="55"/>
        <v>1.2905301552042012</v>
      </c>
      <c r="AM323" s="165">
        <f t="shared" si="55"/>
        <v>0.73667883615552321</v>
      </c>
      <c r="AN323" s="165">
        <f t="shared" si="55"/>
        <v>0.22866641370897783</v>
      </c>
      <c r="AO323" s="165">
        <f t="shared" si="55"/>
        <v>0</v>
      </c>
      <c r="AP323" s="165">
        <f t="shared" si="55"/>
        <v>0</v>
      </c>
      <c r="AQ323" s="165">
        <f t="shared" si="55"/>
        <v>0</v>
      </c>
    </row>
    <row r="324" spans="5:43" ht="15" customHeight="1">
      <c r="AE324" s="378"/>
      <c r="AF324" s="378"/>
      <c r="AG324" s="378"/>
      <c r="AH324" s="378"/>
      <c r="AI324" s="378"/>
      <c r="AJ324" s="378"/>
      <c r="AK324" s="378"/>
      <c r="AL324" s="378"/>
      <c r="AM324" s="378"/>
      <c r="AN324" s="378"/>
      <c r="AO324" s="378"/>
      <c r="AP324" s="378"/>
      <c r="AQ324" s="378"/>
    </row>
    <row r="325" spans="5:43" ht="15" customHeight="1">
      <c r="E325" s="147" t="str">
        <f>Input!E325</f>
        <v>Metering services associated with the SM roll out (DRS 7) revenue</v>
      </c>
      <c r="G325" s="147" t="str">
        <f>Input!G325</f>
        <v>£m 12/13 prices</v>
      </c>
      <c r="AE325" s="219">
        <v>0</v>
      </c>
      <c r="AF325" s="219">
        <v>0</v>
      </c>
      <c r="AG325" s="219">
        <v>0</v>
      </c>
      <c r="AH325" s="219">
        <v>0</v>
      </c>
      <c r="AI325" s="219">
        <v>0</v>
      </c>
      <c r="AJ325" s="219">
        <v>8.2598443199999594E-3</v>
      </c>
      <c r="AK325" s="219">
        <v>1.1811744000000001E-2</v>
      </c>
      <c r="AL325" s="219">
        <v>1.4490645119999999E-2</v>
      </c>
      <c r="AM325" s="219">
        <v>1.35420768E-2</v>
      </c>
      <c r="AN325" s="219">
        <v>1.281150864E-2</v>
      </c>
      <c r="AO325" s="219">
        <v>0</v>
      </c>
      <c r="AP325" s="219">
        <v>0</v>
      </c>
      <c r="AQ325" s="219">
        <v>0</v>
      </c>
    </row>
    <row r="326" spans="5:43" ht="15" customHeight="1">
      <c r="E326" s="147" t="str">
        <f>Input!E326</f>
        <v>Metering services associated with the SM roll out (DRS 7) costs</v>
      </c>
      <c r="G326" s="147" t="str">
        <f>Input!G326</f>
        <v>£m 12/13 prices</v>
      </c>
      <c r="AE326" s="219">
        <v>0</v>
      </c>
      <c r="AF326" s="219">
        <v>0</v>
      </c>
      <c r="AG326" s="219">
        <v>0</v>
      </c>
      <c r="AH326" s="219">
        <v>0</v>
      </c>
      <c r="AI326" s="219">
        <v>0</v>
      </c>
      <c r="AJ326" s="219">
        <v>-8.2598443199999594E-3</v>
      </c>
      <c r="AK326" s="219">
        <v>-1.1811744000000001E-2</v>
      </c>
      <c r="AL326" s="219">
        <v>-1.4490645119999999E-2</v>
      </c>
      <c r="AM326" s="219">
        <v>-1.35420768E-2</v>
      </c>
      <c r="AN326" s="219">
        <v>-1.281150864E-2</v>
      </c>
      <c r="AO326" s="219">
        <v>0</v>
      </c>
      <c r="AP326" s="219">
        <v>0</v>
      </c>
      <c r="AQ326" s="219">
        <v>0</v>
      </c>
    </row>
    <row r="327" spans="5:43" ht="15" customHeight="1">
      <c r="E327" s="147" t="str">
        <f>Input!E327</f>
        <v>Metering services associated with the SM roll out (DRS 7) net position</v>
      </c>
      <c r="G327" s="147" t="str">
        <f>Input!G327</f>
        <v>£m 12/13 prices</v>
      </c>
      <c r="AE327" s="165">
        <f t="shared" ref="AE327:AI327" si="56">SUM(AE325,AE326)</f>
        <v>0</v>
      </c>
      <c r="AF327" s="165">
        <f t="shared" si="56"/>
        <v>0</v>
      </c>
      <c r="AG327" s="165">
        <f t="shared" si="56"/>
        <v>0</v>
      </c>
      <c r="AH327" s="165">
        <f t="shared" si="56"/>
        <v>0</v>
      </c>
      <c r="AI327" s="165">
        <f t="shared" si="56"/>
        <v>0</v>
      </c>
      <c r="AJ327" s="165">
        <f>SUM(AJ325,AJ326)</f>
        <v>0</v>
      </c>
      <c r="AK327" s="165">
        <f t="shared" ref="AK327:AQ327" si="57">SUM(AK325,AK326)</f>
        <v>0</v>
      </c>
      <c r="AL327" s="165">
        <f t="shared" si="57"/>
        <v>0</v>
      </c>
      <c r="AM327" s="165">
        <f t="shared" si="57"/>
        <v>0</v>
      </c>
      <c r="AN327" s="165">
        <f t="shared" si="57"/>
        <v>0</v>
      </c>
      <c r="AO327" s="165">
        <f t="shared" si="57"/>
        <v>0</v>
      </c>
      <c r="AP327" s="165">
        <f t="shared" si="57"/>
        <v>0</v>
      </c>
      <c r="AQ327" s="165">
        <f t="shared" si="57"/>
        <v>0</v>
      </c>
    </row>
    <row r="328" spans="5:43" ht="15" customHeight="1">
      <c r="AE328" s="378"/>
      <c r="AF328" s="378"/>
      <c r="AG328" s="378"/>
      <c r="AH328" s="378"/>
      <c r="AI328" s="378"/>
      <c r="AJ328" s="378"/>
      <c r="AK328" s="378"/>
      <c r="AL328" s="378"/>
      <c r="AM328" s="378"/>
      <c r="AN328" s="378"/>
      <c r="AO328" s="378"/>
      <c r="AP328" s="378"/>
      <c r="AQ328" s="378"/>
    </row>
    <row r="329" spans="5:43" ht="15" customHeight="1">
      <c r="E329" s="147" t="str">
        <f>Input!E329</f>
        <v>De Minimis Activities revenue</v>
      </c>
      <c r="G329" s="147" t="str">
        <f>Input!G329</f>
        <v>£m 12/13 prices</v>
      </c>
      <c r="AE329" s="219">
        <v>0</v>
      </c>
      <c r="AF329" s="219">
        <v>0</v>
      </c>
      <c r="AG329" s="219">
        <v>0</v>
      </c>
      <c r="AH329" s="219">
        <v>0</v>
      </c>
      <c r="AI329" s="219">
        <v>0</v>
      </c>
      <c r="AJ329" s="219">
        <v>0.49378260332048945</v>
      </c>
      <c r="AK329" s="219">
        <v>0.15818372557110225</v>
      </c>
      <c r="AL329" s="219">
        <v>0.65832473792501034</v>
      </c>
      <c r="AM329" s="219">
        <v>0</v>
      </c>
      <c r="AN329" s="219">
        <v>0</v>
      </c>
      <c r="AO329" s="219">
        <v>0</v>
      </c>
      <c r="AP329" s="219">
        <v>0</v>
      </c>
      <c r="AQ329" s="219">
        <v>0</v>
      </c>
    </row>
    <row r="330" spans="5:43" ht="15" customHeight="1">
      <c r="E330" s="147" t="str">
        <f>Input!E330</f>
        <v>De Minimis Activities costs</v>
      </c>
      <c r="G330" s="147" t="str">
        <f>Input!G330</f>
        <v>£m 12/13 prices</v>
      </c>
      <c r="AE330" s="219">
        <v>0</v>
      </c>
      <c r="AF330" s="219">
        <v>0</v>
      </c>
      <c r="AG330" s="219">
        <v>0</v>
      </c>
      <c r="AH330" s="219">
        <v>0</v>
      </c>
      <c r="AI330" s="219">
        <v>0</v>
      </c>
      <c r="AJ330" s="219">
        <v>-1.4279083307781217</v>
      </c>
      <c r="AK330" s="219">
        <v>-1.1430763427189148</v>
      </c>
      <c r="AL330" s="219">
        <v>-1.5921497095602466</v>
      </c>
      <c r="AM330" s="219">
        <v>-0.96585128761940942</v>
      </c>
      <c r="AN330" s="219">
        <v>-0.9630061276835824</v>
      </c>
      <c r="AO330" s="219">
        <v>-0.95340363419283625</v>
      </c>
      <c r="AP330" s="219">
        <v>-0.9381860088779812</v>
      </c>
      <c r="AQ330" s="219">
        <v>-0.93418440919313284</v>
      </c>
    </row>
    <row r="331" spans="5:43" ht="15" customHeight="1">
      <c r="E331" s="147" t="str">
        <f>Input!E331</f>
        <v>De Minimis Activities net position</v>
      </c>
      <c r="G331" s="147" t="str">
        <f>Input!G331</f>
        <v>£m 12/13 prices</v>
      </c>
      <c r="AE331" s="165">
        <f t="shared" ref="AE331:AI331" si="58">SUM(AE329,AE330)</f>
        <v>0</v>
      </c>
      <c r="AF331" s="165">
        <f t="shared" si="58"/>
        <v>0</v>
      </c>
      <c r="AG331" s="165">
        <f t="shared" si="58"/>
        <v>0</v>
      </c>
      <c r="AH331" s="165">
        <f t="shared" si="58"/>
        <v>0</v>
      </c>
      <c r="AI331" s="165">
        <f t="shared" si="58"/>
        <v>0</v>
      </c>
      <c r="AJ331" s="165">
        <f>SUM(AJ329,AJ330)</f>
        <v>-0.93412572745763223</v>
      </c>
      <c r="AK331" s="165">
        <f t="shared" ref="AK331:AQ331" si="59">SUM(AK329,AK330)</f>
        <v>-0.98489261714781251</v>
      </c>
      <c r="AL331" s="165">
        <f t="shared" si="59"/>
        <v>-0.93382497163523626</v>
      </c>
      <c r="AM331" s="165">
        <f t="shared" si="59"/>
        <v>-0.96585128761940942</v>
      </c>
      <c r="AN331" s="165">
        <f t="shared" si="59"/>
        <v>-0.9630061276835824</v>
      </c>
      <c r="AO331" s="165">
        <f t="shared" si="59"/>
        <v>-0.95340363419283625</v>
      </c>
      <c r="AP331" s="165">
        <f t="shared" si="59"/>
        <v>-0.9381860088779812</v>
      </c>
      <c r="AQ331" s="165">
        <f t="shared" si="59"/>
        <v>-0.93418440919313284</v>
      </c>
    </row>
    <row r="332" spans="5:43" ht="15" customHeight="1">
      <c r="AE332" s="378"/>
      <c r="AF332" s="378"/>
      <c r="AG332" s="378"/>
      <c r="AH332" s="378"/>
      <c r="AI332" s="378"/>
      <c r="AJ332" s="378"/>
      <c r="AK332" s="378"/>
      <c r="AL332" s="378"/>
      <c r="AM332" s="378"/>
      <c r="AN332" s="378"/>
      <c r="AO332" s="378"/>
      <c r="AP332" s="378"/>
      <c r="AQ332" s="378"/>
    </row>
    <row r="333" spans="5:43" ht="15" customHeight="1">
      <c r="E333" s="147"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147"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147" t="str">
        <f>Input!E335</f>
        <v>Out of Area Networks net position</v>
      </c>
      <c r="G335" s="147" t="str">
        <f>Input!G335</f>
        <v>£m 12/13 prices</v>
      </c>
      <c r="AE335" s="165">
        <f t="shared" ref="AE335:AI335" si="60">SUM(AE333,AE334)</f>
        <v>0</v>
      </c>
      <c r="AF335" s="165">
        <f t="shared" si="60"/>
        <v>0</v>
      </c>
      <c r="AG335" s="165">
        <f t="shared" si="60"/>
        <v>0</v>
      </c>
      <c r="AH335" s="165">
        <f t="shared" si="60"/>
        <v>0</v>
      </c>
      <c r="AI335" s="165">
        <f t="shared" si="60"/>
        <v>0</v>
      </c>
      <c r="AJ335" s="165">
        <f>SUM(AJ333,AJ334)</f>
        <v>0</v>
      </c>
      <c r="AK335" s="165">
        <f t="shared" ref="AK335:AQ335" si="61">SUM(AK333,AK334)</f>
        <v>0</v>
      </c>
      <c r="AL335" s="165">
        <f t="shared" si="61"/>
        <v>0</v>
      </c>
      <c r="AM335" s="165">
        <f t="shared" si="61"/>
        <v>0</v>
      </c>
      <c r="AN335" s="165">
        <f t="shared" si="61"/>
        <v>0</v>
      </c>
      <c r="AO335" s="165">
        <f t="shared" si="61"/>
        <v>0</v>
      </c>
      <c r="AP335" s="165">
        <f t="shared" si="61"/>
        <v>0</v>
      </c>
      <c r="AQ335" s="165">
        <f t="shared" si="61"/>
        <v>0</v>
      </c>
    </row>
    <row r="336" spans="5:43" ht="15" customHeight="1">
      <c r="AE336" s="378"/>
      <c r="AF336" s="378"/>
      <c r="AG336" s="378"/>
      <c r="AH336" s="378"/>
      <c r="AI336" s="378"/>
      <c r="AJ336" s="378"/>
      <c r="AK336" s="378"/>
      <c r="AL336" s="378"/>
      <c r="AM336" s="378"/>
      <c r="AN336" s="378"/>
      <c r="AO336" s="378"/>
      <c r="AP336" s="378"/>
      <c r="AQ336" s="378"/>
    </row>
    <row r="337" spans="2:43" ht="15" customHeight="1">
      <c r="E337" s="147"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147"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147" t="str">
        <f>Input!E339</f>
        <v>Other consented activities net position</v>
      </c>
      <c r="G339" s="147" t="str">
        <f>Input!G339</f>
        <v>£m 12/13 prices</v>
      </c>
      <c r="AE339" s="165">
        <f t="shared" ref="AE339:AI339" si="62">SUM(AE337,AE338)</f>
        <v>0</v>
      </c>
      <c r="AF339" s="165">
        <f t="shared" si="62"/>
        <v>0</v>
      </c>
      <c r="AG339" s="165">
        <f t="shared" si="62"/>
        <v>0</v>
      </c>
      <c r="AH339" s="165">
        <f t="shared" si="62"/>
        <v>0</v>
      </c>
      <c r="AI339" s="165">
        <f t="shared" si="62"/>
        <v>0</v>
      </c>
      <c r="AJ339" s="165">
        <f>SUM(AJ337,AJ338)</f>
        <v>0</v>
      </c>
      <c r="AK339" s="165">
        <f t="shared" ref="AK339:AQ339" si="63">SUM(AK337,AK338)</f>
        <v>0</v>
      </c>
      <c r="AL339" s="165">
        <f t="shared" si="63"/>
        <v>0</v>
      </c>
      <c r="AM339" s="165">
        <f t="shared" si="63"/>
        <v>0</v>
      </c>
      <c r="AN339" s="165">
        <f t="shared" si="63"/>
        <v>0</v>
      </c>
      <c r="AO339" s="165">
        <f t="shared" si="63"/>
        <v>0</v>
      </c>
      <c r="AP339" s="165">
        <f t="shared" si="63"/>
        <v>0</v>
      </c>
      <c r="AQ339" s="165">
        <f t="shared" si="63"/>
        <v>0</v>
      </c>
    </row>
    <row r="340" spans="2:43" ht="15" customHeight="1">
      <c r="AE340" s="378"/>
      <c r="AF340" s="378"/>
      <c r="AG340" s="378"/>
      <c r="AH340" s="378"/>
      <c r="AI340" s="378"/>
      <c r="AJ340" s="378"/>
      <c r="AK340" s="378"/>
      <c r="AL340" s="378"/>
      <c r="AM340" s="378"/>
      <c r="AN340" s="378"/>
      <c r="AO340" s="378"/>
      <c r="AP340" s="378"/>
      <c r="AQ340" s="378"/>
    </row>
    <row r="341" spans="2:43" ht="15" customHeight="1">
      <c r="E341" s="147"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147"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147" t="str">
        <f>Input!E343</f>
        <v>Spare net position</v>
      </c>
      <c r="G343" s="147" t="str">
        <f>Input!G343</f>
        <v>£m 12/13 prices</v>
      </c>
      <c r="AE343" s="165">
        <f t="shared" ref="AE343:AI343" si="64">SUM(AE341,AE342)</f>
        <v>0</v>
      </c>
      <c r="AF343" s="165">
        <f t="shared" si="64"/>
        <v>0</v>
      </c>
      <c r="AG343" s="165">
        <f t="shared" si="64"/>
        <v>0</v>
      </c>
      <c r="AH343" s="165">
        <f t="shared" si="64"/>
        <v>0</v>
      </c>
      <c r="AI343" s="165">
        <f t="shared" si="64"/>
        <v>0</v>
      </c>
      <c r="AJ343" s="165">
        <f>SUM(AJ341,AJ342)</f>
        <v>0</v>
      </c>
      <c r="AK343" s="165">
        <f t="shared" ref="AK343" si="65">SUM(AK341,AK342)</f>
        <v>0</v>
      </c>
      <c r="AL343" s="165">
        <f t="shared" ref="AL343" si="66">SUM(AL341,AL342)</f>
        <v>0</v>
      </c>
      <c r="AM343" s="165">
        <f t="shared" ref="AM343" si="67">SUM(AM341,AM342)</f>
        <v>0</v>
      </c>
      <c r="AN343" s="165">
        <f t="shared" ref="AN343" si="68">SUM(AN341,AN342)</f>
        <v>0</v>
      </c>
      <c r="AO343" s="165">
        <f t="shared" ref="AO343" si="69">SUM(AO341,AO342)</f>
        <v>0</v>
      </c>
      <c r="AP343" s="165">
        <f t="shared" ref="AP343" si="70">SUM(AP341,AP342)</f>
        <v>0</v>
      </c>
      <c r="AQ343" s="165">
        <f t="shared" ref="AQ343" si="71">SUM(AQ341,AQ342)</f>
        <v>0</v>
      </c>
    </row>
    <row r="344" spans="2:43" ht="15" customHeight="1">
      <c r="AE344" s="378"/>
      <c r="AF344" s="378"/>
      <c r="AG344" s="378"/>
      <c r="AH344" s="378"/>
      <c r="AI344" s="378"/>
    </row>
    <row r="345" spans="2:43" ht="15" customHeight="1">
      <c r="E345" s="147" t="str">
        <f>Input!E345</f>
        <v>Overall net income of Directly Remunerated Services</v>
      </c>
      <c r="G345" s="147" t="str">
        <f>Input!G345</f>
        <v>£m 12/13 prices</v>
      </c>
      <c r="AE345" s="165">
        <f t="shared" ref="AE345:AI345" si="72">AE295+AE299+AE303+AE307+AE311+AE315+AE319+AE323+AE327+AE331+AE335+AE339+AE343</f>
        <v>0</v>
      </c>
      <c r="AF345" s="165">
        <f t="shared" si="72"/>
        <v>0</v>
      </c>
      <c r="AG345" s="165">
        <f t="shared" si="72"/>
        <v>0</v>
      </c>
      <c r="AH345" s="165">
        <f t="shared" si="72"/>
        <v>0</v>
      </c>
      <c r="AI345" s="165">
        <f t="shared" si="72"/>
        <v>0</v>
      </c>
      <c r="AJ345" s="165">
        <f>AJ295+AJ299+AJ303+AJ307+AJ311+AJ315+AJ319+AJ323+AJ327+AJ331+AJ335+AJ339+AJ343</f>
        <v>2.3637180303325596</v>
      </c>
      <c r="AK345" s="165">
        <f t="shared" ref="AK345:AQ345" si="73">AK295+AK299+AK303+AK307+AK311+AK315+AK319+AK323+AK327+AK331+AK335+AK339+AK343</f>
        <v>1.7122099755916842</v>
      </c>
      <c r="AL345" s="165">
        <f t="shared" si="73"/>
        <v>1.2075699907702848</v>
      </c>
      <c r="AM345" s="165">
        <f t="shared" si="73"/>
        <v>0.62097322460518178</v>
      </c>
      <c r="AN345" s="165">
        <f t="shared" si="73"/>
        <v>6.1340985534999781E-2</v>
      </c>
      <c r="AO345" s="165">
        <f t="shared" si="73"/>
        <v>-0.17094463560808504</v>
      </c>
      <c r="AP345" s="165">
        <f t="shared" si="73"/>
        <v>-0.18705553550695087</v>
      </c>
      <c r="AQ345" s="165">
        <f t="shared" si="73"/>
        <v>-0.189449612199457</v>
      </c>
    </row>
    <row r="346" spans="2:43" ht="15" customHeight="1"/>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AJ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row r="351" spans="2:43" ht="15" customHeight="1">
      <c r="E351" s="25" t="str">
        <f>Input!E351</f>
        <v>Pre-vesting asset life</v>
      </c>
      <c r="G351" s="147" t="s">
        <v>49</v>
      </c>
      <c r="I351" s="227">
        <v>11</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G353" s="190"/>
    </row>
    <row r="354" spans="3:43" ht="15" customHeight="1">
      <c r="E354" s="147" t="s">
        <v>555</v>
      </c>
      <c r="G354" s="190" t="s">
        <v>657</v>
      </c>
      <c r="I354" s="219">
        <v>28.80686075136466</v>
      </c>
    </row>
    <row r="355" spans="3:43" ht="15" customHeight="1">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s="155" customFormat="1" ht="15" customHeight="1">
      <c r="E362" s="30" t="str">
        <f>Input!E362</f>
        <v>Vesting Period</v>
      </c>
      <c r="G362" s="155" t="s">
        <v>236</v>
      </c>
      <c r="I362" s="288">
        <v>33328</v>
      </c>
      <c r="AJ362" s="147"/>
      <c r="AK362" s="147"/>
      <c r="AL362" s="147"/>
      <c r="AM362" s="147"/>
      <c r="AN362" s="147"/>
      <c r="AO362" s="147"/>
      <c r="AP362" s="147"/>
      <c r="AQ362" s="147"/>
    </row>
    <row r="363" spans="3:43" ht="15" customHeight="1">
      <c r="E363" s="145" t="str">
        <f>Input!E363</f>
        <v>Pre-RIIO net additions to RAV</v>
      </c>
      <c r="F363" s="145"/>
      <c r="G363" s="147" t="s">
        <v>657</v>
      </c>
      <c r="H363" s="145"/>
      <c r="I363" s="145"/>
      <c r="J363" s="151" t="s">
        <v>54</v>
      </c>
      <c r="K363" s="219">
        <v>23.726683108569027</v>
      </c>
      <c r="L363" s="219">
        <v>58.084152804743667</v>
      </c>
      <c r="M363" s="219">
        <v>120.17410925119377</v>
      </c>
      <c r="N363" s="219">
        <v>108.31076769690927</v>
      </c>
      <c r="O363" s="219">
        <v>107.3863514719001</v>
      </c>
      <c r="P363" s="219">
        <v>110.00553077609277</v>
      </c>
      <c r="Q363" s="219">
        <v>114.93575064280839</v>
      </c>
      <c r="R363" s="219">
        <v>140.0490580888912</v>
      </c>
      <c r="S363" s="219">
        <v>149.96107415064475</v>
      </c>
      <c r="T363" s="219">
        <v>137.83186962375436</v>
      </c>
      <c r="U363" s="219">
        <v>119.6834225119175</v>
      </c>
      <c r="V363" s="219">
        <v>109.47930984902946</v>
      </c>
      <c r="W363" s="219">
        <v>126.5269430345935</v>
      </c>
      <c r="X363" s="219">
        <v>149.37276339224556</v>
      </c>
      <c r="Y363" s="219">
        <v>144.16006639880831</v>
      </c>
      <c r="Z363" s="219">
        <v>169.14918985874763</v>
      </c>
      <c r="AA363" s="219">
        <v>106.50964198192166</v>
      </c>
      <c r="AB363" s="219">
        <v>131.25705624912212</v>
      </c>
      <c r="AC363" s="219">
        <v>144.21908124466515</v>
      </c>
      <c r="AD363" s="219">
        <v>131.75907587261</v>
      </c>
      <c r="AE363" s="219">
        <v>127.87389173999962</v>
      </c>
      <c r="AF363" s="219">
        <v>157.6406126901567</v>
      </c>
      <c r="AG363" s="219">
        <v>165.36493044137814</v>
      </c>
      <c r="AH363" s="419">
        <v>169.60436367229599</v>
      </c>
      <c r="AI363" s="227">
        <v>188.51188473687546</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74">AH36</f>
        <v>0</v>
      </c>
      <c r="AI364" s="213">
        <f t="shared" si="7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-0.8</v>
      </c>
      <c r="AK367" s="227">
        <v>-0.8</v>
      </c>
      <c r="AL367" s="227">
        <v>-0.8</v>
      </c>
      <c r="AM367" s="227">
        <v>-0.8</v>
      </c>
      <c r="AN367" s="227">
        <v>-0.8</v>
      </c>
      <c r="AO367" s="227">
        <v>-0.8</v>
      </c>
      <c r="AP367" s="227">
        <v>-0.8</v>
      </c>
      <c r="AQ367" s="227">
        <v>-0.8</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row r="374" spans="2:43" ht="15" customHeight="1">
      <c r="E374" s="147" t="str">
        <f>E38</f>
        <v>Tax liability revenue allowance adjustments - gearing / debt interest costs</v>
      </c>
      <c r="G374" s="190" t="s">
        <v>25</v>
      </c>
      <c r="AJ374" s="213">
        <f t="shared" ref="AJ374:AQ375" si="75">AJ38</f>
        <v>0</v>
      </c>
      <c r="AK374" s="213">
        <f t="shared" si="75"/>
        <v>0</v>
      </c>
      <c r="AL374" s="213">
        <f t="shared" si="75"/>
        <v>0</v>
      </c>
      <c r="AM374" s="213">
        <f t="shared" si="75"/>
        <v>0</v>
      </c>
      <c r="AN374" s="213">
        <f t="shared" si="75"/>
        <v>0</v>
      </c>
      <c r="AO374" s="213">
        <f t="shared" si="75"/>
        <v>0</v>
      </c>
      <c r="AP374" s="213">
        <f t="shared" si="75"/>
        <v>0</v>
      </c>
      <c r="AQ374" s="213">
        <f t="shared" si="75"/>
        <v>0</v>
      </c>
    </row>
    <row r="375" spans="2:43" ht="15" customHeight="1">
      <c r="E375" s="147" t="str">
        <f>E39</f>
        <v xml:space="preserve">Tax liability revenue allowance adjustments - tax trigger events                                                       </v>
      </c>
      <c r="G375" s="147" t="s">
        <v>657</v>
      </c>
      <c r="AJ375" s="213">
        <f t="shared" si="75"/>
        <v>0</v>
      </c>
      <c r="AK375" s="213">
        <f t="shared" si="75"/>
        <v>0</v>
      </c>
      <c r="AL375" s="213">
        <f t="shared" si="75"/>
        <v>0</v>
      </c>
      <c r="AM375" s="213">
        <f t="shared" si="75"/>
        <v>0</v>
      </c>
      <c r="AN375" s="213">
        <f t="shared" si="75"/>
        <v>0</v>
      </c>
      <c r="AO375" s="213">
        <f t="shared" si="75"/>
        <v>0</v>
      </c>
      <c r="AP375" s="213">
        <f t="shared" si="75"/>
        <v>0</v>
      </c>
      <c r="AQ375" s="213">
        <f t="shared" si="75"/>
        <v>0</v>
      </c>
    </row>
    <row r="376" spans="2:43" ht="15" customHeight="1"/>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299"/>
      <c r="AE381" s="299"/>
      <c r="AF381" s="299"/>
      <c r="AG381" s="299"/>
      <c r="AH381" s="299"/>
      <c r="AI381" s="299"/>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row r="383" spans="2:43" ht="15" customHeight="1">
      <c r="C383" s="291" t="s">
        <v>206</v>
      </c>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105.79589555999999</v>
      </c>
      <c r="AI385" s="155"/>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-0.12805138079999168</v>
      </c>
      <c r="AI386" s="227">
        <v>0.26339786774399698</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357.36102627999998</v>
      </c>
      <c r="AI389" s="155"/>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51.247009577599997</v>
      </c>
      <c r="AI390" s="365">
        <v>37.625248811391998</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467.27780000000001</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373">
        <v>48.600000000000023</v>
      </c>
      <c r="AI394" s="373">
        <v>68.695999999999998</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398"/>
      <c r="AH397" s="373">
        <v>527.00587299999995</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62.490000000000023</v>
      </c>
      <c r="AI398" s="373">
        <v>84.200999999999993</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AJ402" s="145"/>
      <c r="AK402" s="145"/>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1.3151737512616373E-2</v>
      </c>
      <c r="AK408" s="289">
        <v>1.3151737512616373E-2</v>
      </c>
      <c r="AL408" s="289">
        <v>1.3151737512616373E-2</v>
      </c>
      <c r="AM408" s="289">
        <v>1.3151737512616373E-2</v>
      </c>
      <c r="AN408" s="289">
        <v>1.3151737512616373E-2</v>
      </c>
      <c r="AO408" s="289">
        <v>1.3151737512616373E-2</v>
      </c>
      <c r="AP408" s="289">
        <v>1.3151737512616373E-2</v>
      </c>
      <c r="AQ408" s="289">
        <v>1.3151737512616373E-2</v>
      </c>
    </row>
    <row r="409" spans="3:43" s="155" customFormat="1">
      <c r="E409" s="93" t="str">
        <f>Input!E409</f>
        <v>Non-Load Related capex - other</v>
      </c>
      <c r="G409" s="155" t="s">
        <v>47</v>
      </c>
      <c r="AJ409" s="289">
        <v>0.67285110849259921</v>
      </c>
      <c r="AK409" s="289">
        <v>0.67285110849259921</v>
      </c>
      <c r="AL409" s="289">
        <v>0.67285110849259921</v>
      </c>
      <c r="AM409" s="289">
        <v>0.67285110849259921</v>
      </c>
      <c r="AN409" s="289">
        <v>0.67285110849259921</v>
      </c>
      <c r="AO409" s="289">
        <v>0.67285110849259921</v>
      </c>
      <c r="AP409" s="289">
        <v>0.67285110849259921</v>
      </c>
      <c r="AQ409" s="289">
        <v>0.67285110849259921</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161"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2.5623294048216196E-2</v>
      </c>
      <c r="AK413" s="289">
        <v>2.5623294048216196E-2</v>
      </c>
      <c r="AL413" s="289">
        <v>2.5623294048216196E-2</v>
      </c>
      <c r="AM413" s="289">
        <v>2.5623294048216196E-2</v>
      </c>
      <c r="AN413" s="289">
        <v>2.5623294048216196E-2</v>
      </c>
      <c r="AO413" s="289">
        <v>2.5623294048216196E-2</v>
      </c>
      <c r="AP413" s="289">
        <v>2.5623294048216196E-2</v>
      </c>
      <c r="AQ413" s="289">
        <v>2.5623294048216196E-2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0.94985680823094665</v>
      </c>
      <c r="AK417" s="289">
        <v>0.94985680823094665</v>
      </c>
      <c r="AL417" s="289">
        <v>0.94985680823094665</v>
      </c>
      <c r="AM417" s="289">
        <v>0.94985680823094665</v>
      </c>
      <c r="AN417" s="289">
        <v>0.94985680823094665</v>
      </c>
      <c r="AO417" s="289">
        <v>0.94985680823094665</v>
      </c>
      <c r="AP417" s="289">
        <v>0.94985680823094665</v>
      </c>
      <c r="AQ417" s="289">
        <v>0.94985680823094665</v>
      </c>
    </row>
    <row r="418" spans="4:43" s="155" customFormat="1">
      <c r="E418" s="93" t="str">
        <f>Input!E418</f>
        <v>Non-load related capex - asset replacement</v>
      </c>
      <c r="G418" s="155" t="s">
        <v>47</v>
      </c>
      <c r="AJ418" s="289">
        <v>0.28627521291648894</v>
      </c>
      <c r="AK418" s="289">
        <v>0.28627521291648894</v>
      </c>
      <c r="AL418" s="289">
        <v>0.28627521291648894</v>
      </c>
      <c r="AM418" s="289">
        <v>0.28627521291648894</v>
      </c>
      <c r="AN418" s="289">
        <v>0.28627521291648894</v>
      </c>
      <c r="AO418" s="289">
        <v>0.28627521291648894</v>
      </c>
      <c r="AP418" s="289">
        <v>0.28627521291648894</v>
      </c>
      <c r="AQ418" s="289">
        <v>0.28627521291648894</v>
      </c>
    </row>
    <row r="419" spans="4:43" s="155" customFormat="1">
      <c r="E419" s="93" t="str">
        <f>Input!E419</f>
        <v>Non-Load Related capex - other</v>
      </c>
      <c r="G419" s="155" t="s">
        <v>47</v>
      </c>
      <c r="AJ419" s="289">
        <v>0.26677745558528398</v>
      </c>
      <c r="AK419" s="289">
        <v>0.26677745558528398</v>
      </c>
      <c r="AL419" s="289">
        <v>0.26677745558528398</v>
      </c>
      <c r="AM419" s="289">
        <v>0.26677745558528398</v>
      </c>
      <c r="AN419" s="289">
        <v>0.26677745558528398</v>
      </c>
      <c r="AO419" s="289">
        <v>0.26677745558528398</v>
      </c>
      <c r="AP419" s="289">
        <v>0.26677745558528398</v>
      </c>
      <c r="AQ419" s="289">
        <v>0.26677745558528398</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161"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0.1956192414598461</v>
      </c>
      <c r="AK423" s="289">
        <v>0.1956192414598461</v>
      </c>
      <c r="AL423" s="289">
        <v>0.1956192414598461</v>
      </c>
      <c r="AM423" s="289">
        <v>0.1956192414598461</v>
      </c>
      <c r="AN423" s="289">
        <v>0.1956192414598461</v>
      </c>
      <c r="AO423" s="289">
        <v>0.1956192414598461</v>
      </c>
      <c r="AP423" s="289">
        <v>0.1956192414598461</v>
      </c>
      <c r="AQ423" s="289">
        <v>0.1956192414598461</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0.67845250559902714</v>
      </c>
      <c r="AK428" s="289">
        <v>0.67845250559902714</v>
      </c>
      <c r="AL428" s="289">
        <v>0.67845250559902714</v>
      </c>
      <c r="AM428" s="289">
        <v>0.67845250559902714</v>
      </c>
      <c r="AN428" s="289">
        <v>0.67845250559902714</v>
      </c>
      <c r="AO428" s="289">
        <v>0.67845250559902714</v>
      </c>
      <c r="AP428" s="289">
        <v>0.67845250559902714</v>
      </c>
      <c r="AQ428" s="289">
        <v>0.67845250559902714</v>
      </c>
    </row>
    <row r="429" spans="4:43" s="155" customFormat="1">
      <c r="E429" s="93" t="str">
        <f>Input!E429</f>
        <v>Non-Load Related capex - other</v>
      </c>
      <c r="G429" s="155" t="s">
        <v>47</v>
      </c>
      <c r="AJ429" s="289">
        <v>3.9494712330317434E-2</v>
      </c>
      <c r="AK429" s="289">
        <v>3.9494712330317434E-2</v>
      </c>
      <c r="AL429" s="289">
        <v>3.9494712330317434E-2</v>
      </c>
      <c r="AM429" s="289">
        <v>3.9494712330317434E-2</v>
      </c>
      <c r="AN429" s="289">
        <v>3.9494712330317434E-2</v>
      </c>
      <c r="AO429" s="289">
        <v>3.9494712330317434E-2</v>
      </c>
      <c r="AP429" s="289">
        <v>3.9494712330317434E-2</v>
      </c>
      <c r="AQ429" s="289">
        <v>3.9494712330317434E-2</v>
      </c>
    </row>
    <row r="430" spans="4:43" s="155" customFormat="1">
      <c r="E430" s="155" t="str">
        <f>Input!E430</f>
        <v>Faults</v>
      </c>
      <c r="G430" s="155" t="s">
        <v>47</v>
      </c>
      <c r="AJ430" s="289">
        <v>0.62144289250398288</v>
      </c>
      <c r="AK430" s="289">
        <v>0.62144289250398288</v>
      </c>
      <c r="AL430" s="289">
        <v>0.62144289250398288</v>
      </c>
      <c r="AM430" s="289">
        <v>0.62144289250398288</v>
      </c>
      <c r="AN430" s="289">
        <v>0.62144289250398288</v>
      </c>
      <c r="AO430" s="289">
        <v>0.62144289250398288</v>
      </c>
      <c r="AP430" s="289">
        <v>0.62144289250398288</v>
      </c>
      <c r="AQ430" s="289">
        <v>0.62144289250398288</v>
      </c>
    </row>
    <row r="431" spans="4:43" s="155" customFormat="1">
      <c r="E431" s="161"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0.26264876029993622</v>
      </c>
      <c r="AK433" s="289">
        <v>0.26264876029993622</v>
      </c>
      <c r="AL433" s="289">
        <v>0.26264876029993622</v>
      </c>
      <c r="AM433" s="289">
        <v>0.26264876029993622</v>
      </c>
      <c r="AN433" s="289">
        <v>0.26264876029993622</v>
      </c>
      <c r="AO433" s="289">
        <v>0.26264876029993622</v>
      </c>
      <c r="AP433" s="289">
        <v>0.26264876029993622</v>
      </c>
      <c r="AQ433" s="289">
        <v>0.26264876029993622</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0.37855710749601712</v>
      </c>
      <c r="AK440" s="289">
        <v>0.37855710749601712</v>
      </c>
      <c r="AL440" s="289">
        <v>0.37855710749601712</v>
      </c>
      <c r="AM440" s="289">
        <v>0.37855710749601712</v>
      </c>
      <c r="AN440" s="289">
        <v>0.37855710749601712</v>
      </c>
      <c r="AO440" s="289">
        <v>0.37855710749601712</v>
      </c>
      <c r="AP440" s="289">
        <v>0.37855710749601712</v>
      </c>
      <c r="AQ440" s="289">
        <v>0.37855710749601712</v>
      </c>
    </row>
    <row r="441" spans="4:43" s="155" customFormat="1">
      <c r="E441" s="161"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0.47972477833068555</v>
      </c>
      <c r="AK443" s="289">
        <v>0.47972477833068555</v>
      </c>
      <c r="AL443" s="289">
        <v>0.47972477833068555</v>
      </c>
      <c r="AM443" s="289">
        <v>0.47972477833068555</v>
      </c>
      <c r="AN443" s="289">
        <v>0.47972477833068555</v>
      </c>
      <c r="AO443" s="289">
        <v>0.47972477833068555</v>
      </c>
      <c r="AP443" s="289">
        <v>0.47972477833068555</v>
      </c>
      <c r="AQ443" s="289">
        <v>0.47972477833068555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5.0143191769053394E-2</v>
      </c>
      <c r="AK447" s="289">
        <v>5.0143191769053394E-2</v>
      </c>
      <c r="AL447" s="289">
        <v>5.0143191769053394E-2</v>
      </c>
      <c r="AM447" s="289">
        <v>5.0143191769053394E-2</v>
      </c>
      <c r="AN447" s="289">
        <v>5.0143191769053394E-2</v>
      </c>
      <c r="AO447" s="289">
        <v>5.0143191769053394E-2</v>
      </c>
      <c r="AP447" s="289">
        <v>5.0143191769053394E-2</v>
      </c>
      <c r="AQ447" s="289">
        <v>5.0143191769053394E-2</v>
      </c>
    </row>
    <row r="448" spans="4:43" s="155" customFormat="1">
      <c r="E448" s="93" t="str">
        <f>Input!E448</f>
        <v>Non-load related capex - asset replacement</v>
      </c>
      <c r="G448" s="155" t="s">
        <v>47</v>
      </c>
      <c r="AJ448" s="289">
        <v>2.2120543971867575E-2</v>
      </c>
      <c r="AK448" s="289">
        <v>2.2120543971867575E-2</v>
      </c>
      <c r="AL448" s="289">
        <v>2.2120543971867575E-2</v>
      </c>
      <c r="AM448" s="289">
        <v>2.2120543971867575E-2</v>
      </c>
      <c r="AN448" s="289">
        <v>2.2120543971867575E-2</v>
      </c>
      <c r="AO448" s="289">
        <v>2.2120543971867575E-2</v>
      </c>
      <c r="AP448" s="289">
        <v>2.2120543971867575E-2</v>
      </c>
      <c r="AQ448" s="289">
        <v>2.2120543971867575E-2</v>
      </c>
    </row>
    <row r="449" spans="4:45" s="155" customFormat="1">
      <c r="E449" s="93" t="str">
        <f>Input!E449</f>
        <v>Non-Load Related capex - other</v>
      </c>
      <c r="G449" s="155" t="s">
        <v>47</v>
      </c>
      <c r="AG449" s="24"/>
      <c r="AJ449" s="289">
        <v>2.0876723591799373E-2</v>
      </c>
      <c r="AK449" s="289">
        <v>2.0876723591799373E-2</v>
      </c>
      <c r="AL449" s="289">
        <v>2.0876723591799373E-2</v>
      </c>
      <c r="AM449" s="289">
        <v>2.0876723591799373E-2</v>
      </c>
      <c r="AN449" s="289">
        <v>2.0876723591799373E-2</v>
      </c>
      <c r="AO449" s="289">
        <v>2.0876723591799373E-2</v>
      </c>
      <c r="AP449" s="289">
        <v>2.0876723591799373E-2</v>
      </c>
      <c r="AQ449" s="289">
        <v>2.0876723591799373E-2</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161"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3.6383925861315933E-2</v>
      </c>
      <c r="AK453" s="289">
        <v>3.6383925861315933E-2</v>
      </c>
      <c r="AL453" s="289">
        <v>3.6383925861315933E-2</v>
      </c>
      <c r="AM453" s="289">
        <v>3.6383925861315933E-2</v>
      </c>
      <c r="AN453" s="289">
        <v>3.6383925861315933E-2</v>
      </c>
      <c r="AO453" s="289">
        <v>3.6383925861315933E-2</v>
      </c>
      <c r="AP453" s="289">
        <v>3.6383925861315933E-2</v>
      </c>
      <c r="AQ453" s="289">
        <v>3.6383925861315933E-2</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293"/>
      <c r="AK455" s="293"/>
      <c r="AL455" s="293"/>
      <c r="AM455" s="293"/>
      <c r="AN455" s="293"/>
      <c r="AO455" s="293"/>
      <c r="AP455" s="293"/>
      <c r="AQ455" s="293"/>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33"/>
      <c r="AK456" s="233"/>
      <c r="AL456" s="233"/>
      <c r="AM456" s="233"/>
      <c r="AN456" s="233"/>
      <c r="AO456" s="233"/>
      <c r="AP456" s="233"/>
      <c r="AQ456" s="233"/>
      <c r="AS456" s="155"/>
    </row>
    <row r="457" spans="4:45" s="155" customFormat="1">
      <c r="AJ457" s="230"/>
      <c r="AK457" s="230"/>
      <c r="AL457" s="230"/>
      <c r="AM457" s="230"/>
      <c r="AN457" s="230"/>
      <c r="AO457" s="230"/>
      <c r="AP457" s="230"/>
      <c r="AQ457" s="230"/>
    </row>
    <row r="458" spans="4:45" s="155" customFormat="1">
      <c r="E458" s="93" t="str">
        <f>Input!E458</f>
        <v>Load Related</v>
      </c>
      <c r="G458" s="155" t="s">
        <v>47</v>
      </c>
      <c r="AJ458" s="237">
        <f t="shared" ref="AJ458:AJ464" si="76">AJ407+AJ417+AJ427+AJ437+AJ447</f>
        <v>1</v>
      </c>
      <c r="AK458" s="237">
        <f t="shared" ref="AK458:AQ464" si="77">AK407+AK417+AK427+AK437+AK447</f>
        <v>1</v>
      </c>
      <c r="AL458" s="237">
        <f t="shared" si="77"/>
        <v>1</v>
      </c>
      <c r="AM458" s="237">
        <f t="shared" si="77"/>
        <v>1</v>
      </c>
      <c r="AN458" s="237">
        <f t="shared" si="77"/>
        <v>1</v>
      </c>
      <c r="AO458" s="237">
        <f t="shared" si="77"/>
        <v>1</v>
      </c>
      <c r="AP458" s="237">
        <f t="shared" si="77"/>
        <v>1</v>
      </c>
      <c r="AQ458" s="237">
        <f t="shared" si="77"/>
        <v>1</v>
      </c>
    </row>
    <row r="459" spans="4:45" s="155" customFormat="1">
      <c r="E459" s="93" t="str">
        <f>Input!E459</f>
        <v>Non-load related capex - asset replacement</v>
      </c>
      <c r="G459" s="155" t="s">
        <v>47</v>
      </c>
      <c r="AJ459" s="237">
        <f t="shared" si="76"/>
        <v>1</v>
      </c>
      <c r="AK459" s="237">
        <f t="shared" si="77"/>
        <v>1</v>
      </c>
      <c r="AL459" s="237">
        <f t="shared" si="77"/>
        <v>1</v>
      </c>
      <c r="AM459" s="237">
        <f t="shared" si="77"/>
        <v>1</v>
      </c>
      <c r="AN459" s="237">
        <f t="shared" si="77"/>
        <v>1</v>
      </c>
      <c r="AO459" s="237">
        <f t="shared" si="77"/>
        <v>1</v>
      </c>
      <c r="AP459" s="237">
        <f t="shared" si="77"/>
        <v>1</v>
      </c>
      <c r="AQ459" s="237">
        <f t="shared" si="77"/>
        <v>1</v>
      </c>
    </row>
    <row r="460" spans="4:45" s="155" customFormat="1">
      <c r="E460" s="93" t="str">
        <f>Input!E460</f>
        <v>Non-Load Related capex - other</v>
      </c>
      <c r="G460" s="155" t="s">
        <v>47</v>
      </c>
      <c r="AJ460" s="237">
        <f t="shared" si="76"/>
        <v>1</v>
      </c>
      <c r="AK460" s="237">
        <f t="shared" si="77"/>
        <v>1</v>
      </c>
      <c r="AL460" s="237">
        <f t="shared" si="77"/>
        <v>1</v>
      </c>
      <c r="AM460" s="237">
        <f t="shared" si="77"/>
        <v>1</v>
      </c>
      <c r="AN460" s="237">
        <f t="shared" si="77"/>
        <v>1</v>
      </c>
      <c r="AO460" s="237">
        <f t="shared" si="77"/>
        <v>1</v>
      </c>
      <c r="AP460" s="237">
        <f t="shared" si="77"/>
        <v>1</v>
      </c>
      <c r="AQ460" s="237">
        <f t="shared" si="77"/>
        <v>1</v>
      </c>
    </row>
    <row r="461" spans="4:45" s="155" customFormat="1">
      <c r="E461" s="155" t="str">
        <f>Input!E461</f>
        <v>Faults</v>
      </c>
      <c r="G461" s="155" t="s">
        <v>47</v>
      </c>
      <c r="AJ461" s="237">
        <f t="shared" si="76"/>
        <v>1</v>
      </c>
      <c r="AK461" s="237">
        <f t="shared" si="77"/>
        <v>1</v>
      </c>
      <c r="AL461" s="237">
        <f t="shared" si="77"/>
        <v>1</v>
      </c>
      <c r="AM461" s="237">
        <f t="shared" si="77"/>
        <v>1</v>
      </c>
      <c r="AN461" s="237">
        <f t="shared" si="77"/>
        <v>1</v>
      </c>
      <c r="AO461" s="237">
        <f t="shared" si="77"/>
        <v>1</v>
      </c>
      <c r="AP461" s="237">
        <f t="shared" si="77"/>
        <v>1</v>
      </c>
      <c r="AQ461" s="237">
        <f t="shared" si="77"/>
        <v>1</v>
      </c>
    </row>
    <row r="462" spans="4:45" s="155" customFormat="1">
      <c r="E462" s="161" t="s">
        <v>719</v>
      </c>
      <c r="G462" s="155" t="s">
        <v>47</v>
      </c>
      <c r="AJ462" s="237">
        <f t="shared" si="76"/>
        <v>1</v>
      </c>
      <c r="AK462" s="237">
        <f t="shared" si="77"/>
        <v>1</v>
      </c>
      <c r="AL462" s="237">
        <f t="shared" si="77"/>
        <v>1</v>
      </c>
      <c r="AM462" s="237">
        <f t="shared" si="77"/>
        <v>1</v>
      </c>
      <c r="AN462" s="237">
        <f t="shared" si="77"/>
        <v>1</v>
      </c>
      <c r="AO462" s="237">
        <f t="shared" si="77"/>
        <v>1</v>
      </c>
      <c r="AP462" s="237">
        <f t="shared" si="77"/>
        <v>1</v>
      </c>
      <c r="AQ462" s="237">
        <f t="shared" si="77"/>
        <v>1</v>
      </c>
    </row>
    <row r="463" spans="4:45" s="155" customFormat="1">
      <c r="E463" s="155" t="str">
        <f>Input!E463</f>
        <v>100% ‘revenue pool’ expenditure</v>
      </c>
      <c r="G463" s="155" t="s">
        <v>47</v>
      </c>
      <c r="AJ463" s="237">
        <f t="shared" si="76"/>
        <v>1</v>
      </c>
      <c r="AK463" s="237">
        <f t="shared" si="77"/>
        <v>1</v>
      </c>
      <c r="AL463" s="237">
        <f t="shared" si="77"/>
        <v>1</v>
      </c>
      <c r="AM463" s="237">
        <f t="shared" si="77"/>
        <v>1</v>
      </c>
      <c r="AN463" s="237">
        <f t="shared" si="77"/>
        <v>1</v>
      </c>
      <c r="AO463" s="237">
        <f t="shared" si="77"/>
        <v>1</v>
      </c>
      <c r="AP463" s="237">
        <f t="shared" si="77"/>
        <v>1</v>
      </c>
      <c r="AQ463" s="237">
        <f t="shared" si="77"/>
        <v>1</v>
      </c>
    </row>
    <row r="464" spans="4:45" s="155" customFormat="1">
      <c r="E464" s="155" t="str">
        <f>Input!E464</f>
        <v>Controllable Opex</v>
      </c>
      <c r="G464" s="155" t="s">
        <v>47</v>
      </c>
      <c r="AJ464" s="237">
        <f t="shared" si="76"/>
        <v>1</v>
      </c>
      <c r="AK464" s="237">
        <f t="shared" si="77"/>
        <v>1</v>
      </c>
      <c r="AL464" s="237">
        <f t="shared" si="77"/>
        <v>1</v>
      </c>
      <c r="AM464" s="237">
        <f t="shared" si="77"/>
        <v>1</v>
      </c>
      <c r="AN464" s="237">
        <f t="shared" si="77"/>
        <v>1</v>
      </c>
      <c r="AO464" s="237">
        <f t="shared" si="77"/>
        <v>1</v>
      </c>
      <c r="AP464" s="237">
        <f t="shared" si="77"/>
        <v>1</v>
      </c>
      <c r="AQ464" s="237">
        <f t="shared" si="77"/>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1.2309000000000019</v>
      </c>
      <c r="AK468" s="219">
        <v>1.2593036919414249</v>
      </c>
      <c r="AL468" s="219">
        <v>1.1963250131451619</v>
      </c>
      <c r="AM468" s="219">
        <v>1.1843587949799872</v>
      </c>
      <c r="AN468" s="219">
        <v>1.1725180720528301</v>
      </c>
      <c r="AO468" s="219">
        <v>1.1607995725395301</v>
      </c>
      <c r="AP468" s="219">
        <v>1.1607939065151049</v>
      </c>
      <c r="AQ468" s="219">
        <v>1.1608039019694698</v>
      </c>
      <c r="AS468" s="155"/>
    </row>
    <row r="469" spans="2:45" ht="15" customHeight="1">
      <c r="AJ469" s="395"/>
      <c r="AK469" s="395"/>
      <c r="AL469" s="395"/>
      <c r="AM469" s="395"/>
      <c r="AN469" s="395"/>
      <c r="AO469" s="395"/>
      <c r="AP469" s="395"/>
      <c r="AQ469" s="395"/>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E471" s="155"/>
      <c r="AS471" s="155"/>
    </row>
    <row r="472" spans="2:45" s="150" customFormat="1" ht="15" customHeight="1">
      <c r="E472" s="155" t="str">
        <f>Input!E472</f>
        <v>Initial Profile Adjustment</v>
      </c>
      <c r="G472" s="147" t="s">
        <v>657</v>
      </c>
      <c r="AJ472" s="227">
        <v>-4.2034508452510853</v>
      </c>
      <c r="AK472" s="227">
        <v>9.7506511916945033</v>
      </c>
      <c r="AL472" s="227">
        <v>2.4277436024376176</v>
      </c>
      <c r="AM472" s="227">
        <v>0.71363132572948185</v>
      </c>
      <c r="AN472" s="227">
        <v>-0.52283262356171012</v>
      </c>
      <c r="AO472" s="227">
        <v>-1.000632734692358</v>
      </c>
      <c r="AP472" s="227">
        <v>-3.7354170957771498</v>
      </c>
      <c r="AQ472" s="227">
        <v>-3.4619317454342262</v>
      </c>
      <c r="AS472" s="155"/>
    </row>
    <row r="473" spans="2:45" ht="15" customHeight="1">
      <c r="E473" s="155" t="str">
        <f>Input!E473</f>
        <v>Time Value of Money Profile Adjustment</v>
      </c>
      <c r="G473" s="147" t="s">
        <v>657</v>
      </c>
      <c r="AJ473" s="227">
        <v>9.8803613371040086E-2</v>
      </c>
      <c r="AK473" s="227">
        <v>-3.1438719109485154E-2</v>
      </c>
      <c r="AL473" s="227">
        <v>-0.31776925660693173</v>
      </c>
      <c r="AM473" s="227">
        <v>-0.39209798859906841</v>
      </c>
      <c r="AN473" s="227">
        <v>-0.39709768502652343</v>
      </c>
      <c r="AO473" s="227">
        <v>-0.36170428064154325</v>
      </c>
      <c r="AP473" s="227">
        <v>-0.25063645006289409</v>
      </c>
      <c r="AQ473" s="227">
        <v>-8.1449235836622252E-2</v>
      </c>
      <c r="AS473" s="155"/>
    </row>
    <row r="474" spans="2:45" ht="15" customHeight="1">
      <c r="E474" s="155" t="str">
        <f>Input!E474</f>
        <v>Time Value of Money Profile Increment</v>
      </c>
      <c r="G474" s="147" t="s">
        <v>657</v>
      </c>
      <c r="AJ474" s="147">
        <f>AJ486</f>
        <v>0</v>
      </c>
      <c r="AK474" s="147">
        <f t="shared" ref="AK474:AQ474" si="78">AK486</f>
        <v>0</v>
      </c>
      <c r="AL474" s="147">
        <f t="shared" si="78"/>
        <v>0</v>
      </c>
      <c r="AM474" s="147">
        <f t="shared" si="78"/>
        <v>0</v>
      </c>
      <c r="AN474" s="147">
        <f t="shared" si="78"/>
        <v>0</v>
      </c>
      <c r="AO474" s="147">
        <f t="shared" si="78"/>
        <v>0</v>
      </c>
      <c r="AP474" s="147">
        <f t="shared" si="78"/>
        <v>0</v>
      </c>
      <c r="AQ474" s="147">
        <f t="shared" si="78"/>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229">
        <v>3.7574999999999997E-2</v>
      </c>
      <c r="AK478" s="229">
        <v>3.7574999999999997E-2</v>
      </c>
      <c r="AL478" s="229">
        <v>3.7574999999999997E-2</v>
      </c>
      <c r="AM478" s="229">
        <v>3.7574999999999997E-2</v>
      </c>
      <c r="AN478" s="229">
        <v>3.7574999999999997E-2</v>
      </c>
      <c r="AO478" s="229">
        <v>3.7574999999999997E-2</v>
      </c>
      <c r="AP478" s="229">
        <v>3.7574999999999997E-2</v>
      </c>
      <c r="AQ478" s="229">
        <v>3.7574999999999997E-2</v>
      </c>
    </row>
    <row r="479" spans="2:45" ht="15" customHeight="1">
      <c r="E479" s="155" t="str">
        <f>Input!E479</f>
        <v>Current WACC</v>
      </c>
      <c r="AJ479" s="230">
        <f>AJ53</f>
        <v>3.7574999999999997E-2</v>
      </c>
      <c r="AK479" s="230">
        <f>AK53</f>
        <v>3.7574999999999997E-2</v>
      </c>
      <c r="AL479" s="230">
        <f t="shared" ref="AL479:AQ479" si="79">AL53</f>
        <v>3.7574999999999997E-2</v>
      </c>
      <c r="AM479" s="230">
        <f t="shared" si="79"/>
        <v>3.7574999999999997E-2</v>
      </c>
      <c r="AN479" s="230">
        <f t="shared" si="79"/>
        <v>3.7574999999999997E-2</v>
      </c>
      <c r="AO479" s="230">
        <f t="shared" si="79"/>
        <v>3.7574999999999997E-2</v>
      </c>
      <c r="AP479" s="230">
        <f t="shared" si="79"/>
        <v>3.7574999999999997E-2</v>
      </c>
      <c r="AQ479" s="230">
        <f t="shared" si="79"/>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-5.259008030394682</v>
      </c>
      <c r="AL482" s="227">
        <v>6.9323934371448104</v>
      </c>
      <c r="AM482" s="227">
        <v>9.9814754292648331</v>
      </c>
      <c r="AN482" s="227">
        <v>10.888685451297135</v>
      </c>
      <c r="AO482" s="227">
        <v>10.247602037503782</v>
      </c>
      <c r="AP482" s="227">
        <v>9.0048151627896686</v>
      </c>
      <c r="AQ482" s="227">
        <v>4.3358192807226033</v>
      </c>
    </row>
    <row r="483" spans="2:43" ht="15" customHeight="1">
      <c r="E483" s="155" t="str">
        <f>Input!E483</f>
        <v>Profiling Impact on Actual Revenues</v>
      </c>
      <c r="AJ483" s="227">
        <v>-5.259008030394682</v>
      </c>
      <c r="AK483" s="227">
        <v>12.191401467539492</v>
      </c>
      <c r="AL483" s="227">
        <v>3.0490819921200227</v>
      </c>
      <c r="AM483" s="227">
        <v>0.90721002203230228</v>
      </c>
      <c r="AN483" s="227">
        <v>-0.64108341379335343</v>
      </c>
      <c r="AO483" s="227">
        <v>-1.2427868747141133</v>
      </c>
      <c r="AP483" s="227">
        <v>-4.6689958820670654</v>
      </c>
      <c r="AQ483" s="227">
        <v>-4.3362996267225071</v>
      </c>
    </row>
    <row r="484" spans="2:43" ht="15" customHeight="1">
      <c r="E484" s="155" t="str">
        <f>Input!E484</f>
        <v>Closing balance</v>
      </c>
      <c r="AJ484" s="227">
        <v>-5.259008030394682</v>
      </c>
      <c r="AK484" s="227">
        <v>6.9323934371448104</v>
      </c>
      <c r="AL484" s="227">
        <v>9.9814754292648331</v>
      </c>
      <c r="AM484" s="227">
        <v>10.888685451297135</v>
      </c>
      <c r="AN484" s="227">
        <v>10.247602037503782</v>
      </c>
      <c r="AO484" s="227">
        <v>9.0048151627896686</v>
      </c>
      <c r="AP484" s="227">
        <v>4.3358192807226033</v>
      </c>
      <c r="AQ484" s="227">
        <v>-4.8034599990387505E-4</v>
      </c>
    </row>
    <row r="485" spans="2:43" ht="15" customHeight="1">
      <c r="E485" s="155"/>
    </row>
    <row r="486" spans="2:43" ht="15" customHeight="1">
      <c r="E486" s="155" t="str">
        <f>Input!E486</f>
        <v>Time Value of Money Increment</v>
      </c>
      <c r="AJ486" s="378">
        <f>AVERAGE(AJ482,AJ484)*(AJ479-AJ478)</f>
        <v>0</v>
      </c>
      <c r="AK486" s="147">
        <f t="shared" ref="AK486:AQ486" si="80">AVERAGE(AK482,AK484)*(AK479-AK478)</f>
        <v>0</v>
      </c>
      <c r="AL486" s="147">
        <f t="shared" si="80"/>
        <v>0</v>
      </c>
      <c r="AM486" s="147">
        <f t="shared" si="80"/>
        <v>0</v>
      </c>
      <c r="AN486" s="147">
        <f t="shared" si="80"/>
        <v>0</v>
      </c>
      <c r="AO486" s="147">
        <f t="shared" si="80"/>
        <v>0</v>
      </c>
      <c r="AP486" s="147">
        <f t="shared" si="80"/>
        <v>0</v>
      </c>
      <c r="AQ486" s="147">
        <f t="shared" si="80"/>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c r="E489" s="155"/>
    </row>
    <row r="490" spans="2:43" ht="15" customHeight="1">
      <c r="E490" s="155" t="str">
        <f>Input!E490</f>
        <v>Input used to spread additional income</v>
      </c>
      <c r="G490" s="155" t="str">
        <f>Input!G490</f>
        <v>£m 12/13 prices</v>
      </c>
      <c r="AJ490" s="227">
        <v>238.19580327682127</v>
      </c>
      <c r="AK490" s="227">
        <v>225.32700896457936</v>
      </c>
      <c r="AL490" s="227">
        <v>224.64567666504462</v>
      </c>
      <c r="AM490" s="227">
        <v>224.91500872484582</v>
      </c>
      <c r="AN490" s="227">
        <v>224.41823166331864</v>
      </c>
      <c r="AO490" s="227">
        <v>221.53537599990659</v>
      </c>
      <c r="AP490" s="227">
        <v>228.73207032620081</v>
      </c>
      <c r="AQ490" s="227">
        <v>220.17343293174002</v>
      </c>
    </row>
    <row r="491" spans="2:43" s="378" customFormat="1" ht="15" customHeight="1">
      <c r="E491" s="155" t="str">
        <f>Input!E491</f>
        <v>DNO Finance Totex Adjustments (DRS8/Disposals)</v>
      </c>
      <c r="G491" s="155" t="str">
        <f>Input!G491</f>
        <v>£m 12/13 prices</v>
      </c>
      <c r="I491" s="227">
        <f>-SUM(ENWL!$AJ$285:$AQ$285)+SUM(ENWL!$AJ$367:$AQ$367)</f>
        <v>-10.153837300012089</v>
      </c>
    </row>
    <row r="492" spans="2:43" s="378" customFormat="1" ht="15" customHeight="1">
      <c r="E492" s="155" t="str">
        <f>Input!E492</f>
        <v>Group Finance Totex Adjustments (DRS8/Disposals)</v>
      </c>
      <c r="G492" s="155" t="str">
        <f>Input!G492</f>
        <v>£m 12/13 prices</v>
      </c>
      <c r="I492" s="227">
        <f>ENWL!I491</f>
        <v>-10.153837300012089</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ht="15" hidden="1" customHeight="1">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5:43" ht="15" hidden="1" customHeight="1">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5:43" ht="15" hidden="1" customHeight="1">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5:43" ht="15" hidden="1" customHeight="1">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5:43" ht="15" hidden="1" customHeight="1">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5:43" ht="15" hidden="1" customHeight="1">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5:43" ht="15" hidden="1" customHeight="1">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5:43" ht="15" hidden="1" customHeight="1">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5:43" ht="15" hidden="1" customHeight="1">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5:43" ht="15" hidden="1" customHeight="1">
      <c r="E505" s="389"/>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95"/>
      <c r="AK505" s="395"/>
      <c r="AL505" s="395"/>
      <c r="AM505" s="395"/>
      <c r="AN505" s="395"/>
      <c r="AO505" s="395"/>
      <c r="AP505" s="395"/>
      <c r="AQ505" s="395"/>
    </row>
    <row r="506" spans="5:43" ht="15" hidden="1" customHeight="1">
      <c r="E506" s="389"/>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95"/>
      <c r="AK506" s="395"/>
      <c r="AL506" s="395"/>
      <c r="AM506" s="395"/>
      <c r="AN506" s="395"/>
      <c r="AO506" s="395"/>
      <c r="AP506" s="395"/>
      <c r="AQ506" s="395"/>
    </row>
    <row r="507" spans="5:43" ht="15" hidden="1" customHeight="1">
      <c r="E507" s="389"/>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95"/>
      <c r="AK507" s="395"/>
      <c r="AL507" s="395"/>
      <c r="AM507" s="395"/>
      <c r="AN507" s="395"/>
      <c r="AO507" s="395"/>
      <c r="AP507" s="395"/>
      <c r="AQ507" s="395"/>
    </row>
    <row r="508" spans="5:43" ht="15" hidden="1" customHeight="1">
      <c r="E508" s="389"/>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95"/>
      <c r="AK508" s="395"/>
      <c r="AL508" s="395"/>
      <c r="AM508" s="395"/>
      <c r="AN508" s="395"/>
      <c r="AO508" s="395"/>
      <c r="AP508" s="395"/>
      <c r="AQ508" s="395"/>
    </row>
    <row r="509" spans="5:43" ht="15" hidden="1" customHeight="1">
      <c r="E509" s="389"/>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95"/>
      <c r="AK509" s="395"/>
      <c r="AL509" s="395"/>
      <c r="AM509" s="395"/>
      <c r="AN509" s="395"/>
      <c r="AO509" s="395"/>
      <c r="AP509" s="395"/>
      <c r="AQ509" s="395"/>
    </row>
    <row r="510" spans="5:43" ht="15" hidden="1" customHeight="1">
      <c r="E510" s="389"/>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95"/>
      <c r="AK510" s="395"/>
      <c r="AL510" s="395"/>
      <c r="AM510" s="395"/>
      <c r="AN510" s="395"/>
      <c r="AO510" s="395"/>
      <c r="AP510" s="395"/>
      <c r="AQ510" s="395"/>
    </row>
    <row r="511" spans="5:43" ht="15" hidden="1" customHeight="1">
      <c r="E511" s="389"/>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95"/>
      <c r="AK511" s="395"/>
      <c r="AL511" s="395"/>
      <c r="AM511" s="395"/>
      <c r="AN511" s="395"/>
      <c r="AO511" s="395"/>
      <c r="AP511" s="395"/>
      <c r="AQ511" s="395"/>
    </row>
  </sheetData>
  <conditionalFormatting sqref="AJ458:AQ464">
    <cfRule type="cellIs" dxfId="19" priority="4" operator="lessThan">
      <formula>1</formula>
    </cfRule>
    <cfRule type="cellIs" dxfId="18" priority="5"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7030A0"/>
    <pageSetUpPr autoPageBreaks="0" fitToPage="1"/>
  </sheetPr>
  <dimension ref="A1:XDH511"/>
  <sheetViews>
    <sheetView zoomScale="70" zoomScaleNormal="70" workbookViewId="0">
      <pane xSplit="10" ySplit="7" topLeftCell="K8" activePane="bottomRight" state="frozen"/>
      <selection activeCell="AN476" sqref="AN476"/>
      <selection pane="topRight" activeCell="AN476" sqref="AN476"/>
      <selection pane="bottomLeft" activeCell="AN476" sqref="AN476"/>
      <selection pane="bottomRight" activeCell="AQ25" sqref="AJ25:AQ25"/>
    </sheetView>
  </sheetViews>
  <sheetFormatPr defaultColWidth="0" defaultRowHeight="15" customHeight="1" zeroHeight="1" outlineLevelCol="1"/>
  <cols>
    <col min="1" max="4" width="1.625" style="147" customWidth="1"/>
    <col min="5" max="5" width="67.5" style="147" customWidth="1"/>
    <col min="6" max="6" width="12.3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6" width="9" style="147" hidden="1"/>
    <col min="16337"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508</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767</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568</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568</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61"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61"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0.78541788653847289</v>
      </c>
      <c r="AK23" s="216">
        <v>1.3586682494693896</v>
      </c>
      <c r="AL23" s="216">
        <v>2.0421630585308095</v>
      </c>
      <c r="AM23" s="216">
        <v>2.325013296486977</v>
      </c>
      <c r="AN23" s="216">
        <v>2.2780822372736216</v>
      </c>
      <c r="AO23" s="216">
        <v>1.6641793034593604</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18.880340207521815</v>
      </c>
      <c r="AK25" s="216">
        <v>16.419388360628346</v>
      </c>
      <c r="AL25" s="216">
        <v>13.694829049322156</v>
      </c>
      <c r="AM25" s="216">
        <v>12.963779405586095</v>
      </c>
      <c r="AN25" s="216">
        <v>15.977147605482434</v>
      </c>
      <c r="AO25" s="216">
        <v>13.265074289025785</v>
      </c>
      <c r="AP25" s="216">
        <v>8.1345135279992551</v>
      </c>
      <c r="AQ25" s="216">
        <v>7.8782335104454271</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14.378928341099536</v>
      </c>
      <c r="AK34" s="216">
        <v>14.378928341099536</v>
      </c>
      <c r="AL34" s="216">
        <v>14.378928341099536</v>
      </c>
      <c r="AM34" s="216">
        <v>14.378928341099536</v>
      </c>
      <c r="AN34" s="216">
        <v>14.378928341099536</v>
      </c>
      <c r="AO34" s="216">
        <v>14.378928341099536</v>
      </c>
      <c r="AP34" s="216">
        <v>14.378928341099536</v>
      </c>
      <c r="AQ34" s="216">
        <v>14.378928341099536</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t="s">
        <v>54</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 t="shared" ref="AJ49:AQ49" si="0">AJ11</f>
        <v>2.5499999999999998E-2</v>
      </c>
      <c r="AK49" s="352">
        <f t="shared" si="0"/>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t="s">
        <v>54</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t="s">
        <v>54</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291"/>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v>0.625</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v>0.625</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row r="64" spans="3:43" ht="15" customHeight="1">
      <c r="E64" s="147" t="s">
        <v>193</v>
      </c>
      <c r="G64" s="147" t="s">
        <v>49</v>
      </c>
      <c r="I64" s="286">
        <v>2</v>
      </c>
    </row>
    <row r="65" spans="4:43" ht="15" customHeight="1">
      <c r="AI65" s="145"/>
    </row>
    <row r="66" spans="4:43" ht="15" customHeight="1">
      <c r="E66" s="147" t="str">
        <f>Input!E66</f>
        <v>Capitalised share of totex</v>
      </c>
      <c r="G66" s="147" t="s">
        <v>47</v>
      </c>
      <c r="AI66" s="145"/>
      <c r="AJ66" s="353">
        <v>0.7</v>
      </c>
      <c r="AK66" s="353">
        <v>0.7</v>
      </c>
      <c r="AL66" s="353">
        <v>0.7</v>
      </c>
      <c r="AM66" s="353">
        <v>0.7</v>
      </c>
      <c r="AN66" s="353">
        <v>0.7</v>
      </c>
      <c r="AO66" s="353">
        <v>0.7</v>
      </c>
      <c r="AP66" s="353">
        <v>0.7</v>
      </c>
      <c r="AQ66" s="353">
        <v>0.7</v>
      </c>
    </row>
    <row r="67" spans="4:43" ht="15" customHeight="1">
      <c r="AI67" s="145"/>
      <c r="AJ67" s="145"/>
      <c r="AK67" s="246"/>
      <c r="AL67" s="246"/>
      <c r="AM67" s="145"/>
      <c r="AN67" s="145"/>
      <c r="AO67" s="145"/>
      <c r="AP67" s="145"/>
      <c r="AQ67" s="246"/>
    </row>
    <row r="68" spans="4:43" s="145" customFormat="1" ht="15" customHeight="1">
      <c r="E68" s="147" t="s">
        <v>597</v>
      </c>
      <c r="F68" s="147"/>
      <c r="G68" s="53" t="s">
        <v>47</v>
      </c>
      <c r="H68" s="147"/>
      <c r="I68" s="368">
        <v>-3.6458045853123623E-3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0.55843703457782867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147" t="s">
        <v>673</v>
      </c>
      <c r="G75" s="190" t="s">
        <v>657</v>
      </c>
      <c r="H75" s="428"/>
      <c r="I75" s="227">
        <v>1230.2221895178495</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147" t="s">
        <v>674</v>
      </c>
      <c r="G76" s="190" t="s">
        <v>657</v>
      </c>
      <c r="I76" s="227">
        <v>1368.3730178048506</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147" t="s">
        <v>675</v>
      </c>
      <c r="G78" s="190" t="s">
        <v>657</v>
      </c>
      <c r="I78" s="227">
        <f>I75 +  NPgY!I75</f>
        <v>2887.6403620620954</v>
      </c>
      <c r="J78" s="88"/>
      <c r="K78" s="88"/>
      <c r="L78" s="88"/>
      <c r="M78" s="88"/>
      <c r="N78" s="88"/>
      <c r="O78" s="88"/>
      <c r="P78" s="88"/>
      <c r="Q78" s="88"/>
      <c r="R78" s="88"/>
      <c r="S78" s="88"/>
      <c r="T78" s="88"/>
      <c r="U78" s="88"/>
      <c r="V78" s="88"/>
      <c r="W78" s="88"/>
      <c r="X78" s="88"/>
      <c r="Y78" s="88"/>
      <c r="Z78" s="88"/>
      <c r="AJ78" s="89"/>
    </row>
    <row r="79" spans="4:43" s="19" customFormat="1" ht="15" customHeight="1">
      <c r="E79" s="147" t="s">
        <v>676</v>
      </c>
      <c r="G79" s="190" t="s">
        <v>657</v>
      </c>
      <c r="I79" s="227">
        <f>I76 +  NPgY!I76</f>
        <v>3173.191875695019</v>
      </c>
      <c r="J79" s="88"/>
      <c r="K79" s="88"/>
      <c r="L79" s="88"/>
      <c r="M79" s="88"/>
      <c r="N79" s="88"/>
      <c r="O79" s="88"/>
      <c r="P79" s="88"/>
      <c r="Q79" s="88"/>
      <c r="R79" s="88"/>
      <c r="S79" s="88"/>
      <c r="T79" s="88"/>
      <c r="U79" s="88"/>
      <c r="V79" s="88"/>
      <c r="W79" s="88"/>
      <c r="X79" s="88"/>
      <c r="Y79" s="88"/>
      <c r="Z79" s="88"/>
      <c r="AJ79" s="89"/>
    </row>
    <row r="80" spans="4:43" s="19" customFormat="1" ht="15" customHeight="1">
      <c r="E80" s="147"/>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291"/>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66.922522748917785</v>
      </c>
      <c r="AK98" s="227">
        <v>64.614108601954726</v>
      </c>
      <c r="AL98" s="227">
        <v>56.089684512047214</v>
      </c>
      <c r="AM98" s="227">
        <v>55.111238861005781</v>
      </c>
      <c r="AN98" s="227">
        <v>51.701282107891473</v>
      </c>
      <c r="AO98" s="227">
        <v>44.330262878767158</v>
      </c>
      <c r="AP98" s="227">
        <v>38.898767911757815</v>
      </c>
      <c r="AQ98" s="227">
        <v>39.030766822013398</v>
      </c>
    </row>
    <row r="99" spans="4:43" s="269" customFormat="1" ht="15" customHeight="1">
      <c r="E99" s="161" t="s">
        <v>797</v>
      </c>
      <c r="G99" s="269" t="s">
        <v>657</v>
      </c>
      <c r="I99" s="356"/>
      <c r="AJ99" s="227">
        <v>11.64479691367098</v>
      </c>
      <c r="AK99" s="227">
        <v>10.929618545207823</v>
      </c>
      <c r="AL99" s="227">
        <v>10.143156315526229</v>
      </c>
      <c r="AM99" s="227">
        <v>10.767552056367037</v>
      </c>
      <c r="AN99" s="227">
        <v>9.5224705875175299</v>
      </c>
      <c r="AO99" s="227">
        <v>8.8544771027612992</v>
      </c>
      <c r="AP99" s="227">
        <v>11.528297460907361</v>
      </c>
      <c r="AQ99" s="227">
        <v>10.027242370282071</v>
      </c>
    </row>
    <row r="100" spans="4:43" s="269" customFormat="1" ht="15" customHeight="1">
      <c r="E100" s="161" t="str">
        <f>Input!E100</f>
        <v>Non-variant allowed faults</v>
      </c>
      <c r="G100" s="269" t="s">
        <v>657</v>
      </c>
      <c r="I100" s="356"/>
      <c r="AJ100" s="227">
        <v>22.197576525517327</v>
      </c>
      <c r="AK100" s="227">
        <v>22.048530323473329</v>
      </c>
      <c r="AL100" s="227">
        <v>21.804074329448468</v>
      </c>
      <c r="AM100" s="227">
        <v>21.611029445102233</v>
      </c>
      <c r="AN100" s="227">
        <v>21.371898272256672</v>
      </c>
      <c r="AO100" s="227">
        <v>21.30606117988734</v>
      </c>
      <c r="AP100" s="227">
        <v>21.188722602852906</v>
      </c>
      <c r="AQ100" s="227">
        <v>21.122144449229204</v>
      </c>
    </row>
    <row r="101" spans="4:43" s="269" customFormat="1" ht="15" customHeight="1">
      <c r="E101" s="161" t="s">
        <v>726</v>
      </c>
      <c r="G101" s="269" t="s">
        <v>657</v>
      </c>
      <c r="I101" s="356"/>
      <c r="AJ101" s="227">
        <v>4.3109333827342207</v>
      </c>
      <c r="AK101" s="227">
        <v>4.2024592005316155</v>
      </c>
      <c r="AL101" s="227">
        <v>4.170786692649239</v>
      </c>
      <c r="AM101" s="227">
        <v>4.1365703983343911</v>
      </c>
      <c r="AN101" s="227">
        <v>4.21539456352588</v>
      </c>
      <c r="AO101" s="227">
        <v>4.2965147153326742</v>
      </c>
      <c r="AP101" s="227">
        <v>4.2829619511622496</v>
      </c>
      <c r="AQ101" s="227">
        <v>4.233228783266453</v>
      </c>
    </row>
    <row r="102" spans="4:43" s="269" customFormat="1" ht="15" customHeight="1">
      <c r="E102" s="161" t="str">
        <f>Input!E102</f>
        <v>Non-variant allowed 100% ‘revenue pool’ expenditure</v>
      </c>
      <c r="G102" s="269" t="s">
        <v>657</v>
      </c>
      <c r="I102" s="356"/>
      <c r="AJ102" s="227">
        <v>6.4579171222909757</v>
      </c>
      <c r="AK102" s="227">
        <v>6.2456576793542355</v>
      </c>
      <c r="AL102" s="227">
        <v>5.8711176399457772</v>
      </c>
      <c r="AM102" s="227">
        <v>5.7600503520055835</v>
      </c>
      <c r="AN102" s="227">
        <v>5.4584924706768421</v>
      </c>
      <c r="AO102" s="227">
        <v>5.1307635963710148</v>
      </c>
      <c r="AP102" s="227">
        <v>5.0051151488162056</v>
      </c>
      <c r="AQ102" s="227">
        <v>4.8562250702172642</v>
      </c>
    </row>
    <row r="103" spans="4:43" s="269" customFormat="1" ht="15" customHeight="1">
      <c r="E103" s="161" t="s">
        <v>796</v>
      </c>
      <c r="G103" s="269" t="s">
        <v>657</v>
      </c>
      <c r="I103" s="356"/>
      <c r="AJ103" s="227">
        <v>51.710182789439614</v>
      </c>
      <c r="AK103" s="227">
        <v>51.839042984561239</v>
      </c>
      <c r="AL103" s="227">
        <v>52.085891398721287</v>
      </c>
      <c r="AM103" s="227">
        <v>52.347747427036957</v>
      </c>
      <c r="AN103" s="227">
        <v>51.97256336483477</v>
      </c>
      <c r="AO103" s="227">
        <v>51.035167827761924</v>
      </c>
      <c r="AP103" s="227">
        <v>50.583374447924399</v>
      </c>
      <c r="AQ103" s="227">
        <v>49.746439075073923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147"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0.9510637249486783</v>
      </c>
      <c r="AK109" s="229">
        <v>0.95364267606861441</v>
      </c>
      <c r="AL109" s="229">
        <v>0.95420145281431767</v>
      </c>
      <c r="AM109" s="229">
        <v>0.95770412613319611</v>
      </c>
      <c r="AN109" s="229">
        <v>0.95926724288903908</v>
      </c>
      <c r="AO109" s="229">
        <v>0.96374090554002456</v>
      </c>
      <c r="AP109" s="229">
        <v>0.96325647214669474</v>
      </c>
      <c r="AQ109" s="229">
        <v>0.96680894527255523</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4.8936275051321698E-2</v>
      </c>
      <c r="AK113" s="229">
        <v>4.6357323931385586E-2</v>
      </c>
      <c r="AL113" s="229">
        <v>4.5798547185682326E-2</v>
      </c>
      <c r="AM113" s="229">
        <v>4.229587386680389E-2</v>
      </c>
      <c r="AN113" s="229">
        <v>4.0732757110960915E-2</v>
      </c>
      <c r="AO113" s="229">
        <v>3.6259094459975438E-2</v>
      </c>
      <c r="AP113" s="229">
        <v>3.6743527853305258E-2</v>
      </c>
      <c r="AQ113" s="229">
        <v>3.3191054727444769E-2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AJ115" s="378"/>
      <c r="AK115" s="378"/>
      <c r="AL115" s="378"/>
      <c r="AM115" s="378"/>
      <c r="AN115" s="378"/>
      <c r="AO115" s="378"/>
      <c r="AP115" s="378"/>
      <c r="AQ115" s="378"/>
    </row>
    <row r="116" spans="5:43" s="269" customFormat="1" ht="15" customHeight="1">
      <c r="E116" s="147"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1</v>
      </c>
      <c r="AK117" s="229">
        <v>1</v>
      </c>
      <c r="AL117" s="229">
        <v>1</v>
      </c>
      <c r="AM117" s="229">
        <v>1</v>
      </c>
      <c r="AN117" s="229">
        <v>1</v>
      </c>
      <c r="AO117" s="229">
        <v>1</v>
      </c>
      <c r="AP117" s="229">
        <v>1</v>
      </c>
      <c r="AQ117" s="229">
        <v>1</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0</v>
      </c>
      <c r="AK122" s="229">
        <v>0</v>
      </c>
      <c r="AL122" s="229">
        <v>0</v>
      </c>
      <c r="AM122" s="229">
        <v>0</v>
      </c>
      <c r="AN122" s="229">
        <v>0</v>
      </c>
      <c r="AO122" s="229">
        <v>0</v>
      </c>
      <c r="AP122" s="229">
        <v>0</v>
      </c>
      <c r="AQ122" s="229">
        <v>0</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AJ124" s="378"/>
      <c r="AK124" s="378"/>
      <c r="AL124" s="378"/>
      <c r="AM124" s="378"/>
      <c r="AN124" s="378"/>
      <c r="AO124" s="378"/>
      <c r="AP124" s="378"/>
      <c r="AQ124" s="378"/>
    </row>
    <row r="125" spans="5:43" s="269" customFormat="1" ht="15" customHeight="1">
      <c r="E125" s="147"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0.99542868898161574</v>
      </c>
      <c r="AK128" s="229">
        <v>0.99937133693230507</v>
      </c>
      <c r="AL128" s="229">
        <v>0.99938372698232436</v>
      </c>
      <c r="AM128" s="229">
        <v>0.99941387798609405</v>
      </c>
      <c r="AN128" s="229">
        <v>0.99942822630420136</v>
      </c>
      <c r="AO128" s="229">
        <v>0.99943050223394303</v>
      </c>
      <c r="AP128" s="229">
        <v>0.99946738460054241</v>
      </c>
      <c r="AQ128" s="229">
        <v>0.99950164296083543</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4.5713110183842566E-3</v>
      </c>
      <c r="AK131" s="229">
        <v>6.2866306769477829E-4</v>
      </c>
      <c r="AL131" s="229">
        <v>6.1627301767560986E-4</v>
      </c>
      <c r="AM131" s="229">
        <v>5.8612201390591864E-4</v>
      </c>
      <c r="AN131" s="229">
        <v>5.7177369579871154E-4</v>
      </c>
      <c r="AO131" s="229">
        <v>5.6949776605693845E-4</v>
      </c>
      <c r="AP131" s="229">
        <v>5.3261539945765018E-4</v>
      </c>
      <c r="AQ131" s="229">
        <v>4.9835703916449039E-4</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AJ133" s="378"/>
      <c r="AK133" s="378"/>
      <c r="AL133" s="378"/>
      <c r="AM133" s="378"/>
      <c r="AN133" s="378"/>
      <c r="AO133" s="378"/>
      <c r="AP133" s="378"/>
      <c r="AQ133" s="378"/>
    </row>
    <row r="134" spans="5:43" s="269" customFormat="1" ht="15" customHeight="1">
      <c r="E134" s="147"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0.99071117403184294</v>
      </c>
      <c r="AK137" s="229">
        <v>0.98766850285428498</v>
      </c>
      <c r="AL137" s="229">
        <v>0.98463174945305976</v>
      </c>
      <c r="AM137" s="229">
        <v>0.98664375443190488</v>
      </c>
      <c r="AN137" s="229">
        <v>0.99413748946206737</v>
      </c>
      <c r="AO137" s="229">
        <v>0.99507603947177459</v>
      </c>
      <c r="AP137" s="229">
        <v>0.98799121107870602</v>
      </c>
      <c r="AQ137" s="229">
        <v>0.98719431650791289</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9.2888259681570551E-3</v>
      </c>
      <c r="AK140" s="229">
        <v>1.233149714571502E-2</v>
      </c>
      <c r="AL140" s="229">
        <v>1.5368250546940243E-2</v>
      </c>
      <c r="AM140" s="229">
        <v>1.3356245568095115E-2</v>
      </c>
      <c r="AN140" s="229">
        <v>5.8625105379326303E-3</v>
      </c>
      <c r="AO140" s="229">
        <v>4.9239605282254129E-3</v>
      </c>
      <c r="AP140" s="229">
        <v>1.2008788921293978E-2</v>
      </c>
      <c r="AQ140" s="229">
        <v>1.2805683492087105E-2</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AJ142" s="378"/>
      <c r="AK142" s="378"/>
      <c r="AL142" s="378"/>
      <c r="AM142" s="378"/>
      <c r="AN142" s="378"/>
      <c r="AO142" s="378"/>
      <c r="AP142" s="378"/>
      <c r="AQ142" s="378"/>
    </row>
    <row r="143" spans="5:43" s="269" customFormat="1" ht="15" customHeight="1">
      <c r="E143" s="147" t="str">
        <f>Input!E143</f>
        <v xml:space="preserve">Allowed Expenditure - Smart Meter Roll-out costs                               </v>
      </c>
      <c r="G143" s="269" t="s">
        <v>657</v>
      </c>
      <c r="I143" s="356"/>
      <c r="AJ143" s="213">
        <f t="shared" ref="AJ143:AQ143" si="8">AJ23</f>
        <v>0.78541788653847289</v>
      </c>
      <c r="AK143" s="213">
        <f t="shared" si="8"/>
        <v>1.3586682494693896</v>
      </c>
      <c r="AL143" s="213">
        <f t="shared" si="8"/>
        <v>2.0421630585308095</v>
      </c>
      <c r="AM143" s="213">
        <f t="shared" si="8"/>
        <v>2.325013296486977</v>
      </c>
      <c r="AN143" s="213">
        <f t="shared" si="8"/>
        <v>2.2780822372736216</v>
      </c>
      <c r="AO143" s="213">
        <f t="shared" si="8"/>
        <v>1.6641793034593604</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7.2464035390437968E-3</v>
      </c>
      <c r="AK149" s="229">
        <v>1.2839068959631501E-2</v>
      </c>
      <c r="AL149" s="229">
        <v>1.6215634329237793E-2</v>
      </c>
      <c r="AM149" s="229">
        <v>1.6275419392589436E-2</v>
      </c>
      <c r="AN149" s="229">
        <v>1.5541596603267812E-2</v>
      </c>
      <c r="AO149" s="229">
        <v>1.4891849994456034E-2</v>
      </c>
      <c r="AP149" s="229">
        <v>0</v>
      </c>
      <c r="AQ149" s="229">
        <v>0</v>
      </c>
    </row>
    <row r="150" spans="5:43" s="269" customFormat="1" ht="15" customHeight="1">
      <c r="E150" s="357" t="str">
        <f>Input!E150</f>
        <v>Allocation to controllable opex</v>
      </c>
      <c r="G150" s="269" t="s">
        <v>47</v>
      </c>
      <c r="I150" s="147"/>
      <c r="AJ150" s="229">
        <v>0.99275359646095618</v>
      </c>
      <c r="AK150" s="229">
        <v>0.98716093104036851</v>
      </c>
      <c r="AL150" s="229">
        <v>0.98378436567076211</v>
      </c>
      <c r="AM150" s="229">
        <v>0.98372458060741053</v>
      </c>
      <c r="AN150" s="229">
        <v>0.98445840339673218</v>
      </c>
      <c r="AO150" s="229">
        <v>0.98510815000554397</v>
      </c>
      <c r="AP150" s="229">
        <v>0</v>
      </c>
      <c r="AQ150" s="229">
        <v>0</v>
      </c>
    </row>
    <row r="151" spans="5:43" ht="15" customHeight="1">
      <c r="AJ151" s="378"/>
      <c r="AK151" s="378"/>
      <c r="AL151" s="378"/>
      <c r="AM151" s="378"/>
      <c r="AN151" s="378"/>
      <c r="AO151" s="378"/>
      <c r="AP151" s="378"/>
      <c r="AQ151" s="378"/>
    </row>
    <row r="152" spans="5:43" s="269" customFormat="1" ht="15" customHeight="1">
      <c r="E152" s="147"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2.6248882636761933E-2</v>
      </c>
      <c r="AK153" s="229">
        <v>2.5038784180229496E-2</v>
      </c>
      <c r="AL153" s="229">
        <v>2.3904837315872923E-2</v>
      </c>
      <c r="AM153" s="229">
        <v>2.2792729595110205E-2</v>
      </c>
      <c r="AN153" s="229">
        <v>2.1724079267006858E-2</v>
      </c>
      <c r="AO153" s="229">
        <v>2.0697077535899028E-2</v>
      </c>
      <c r="AP153" s="229">
        <v>1.9724455247350812E-2</v>
      </c>
      <c r="AQ153" s="229">
        <v>1.8788409230672213E-2</v>
      </c>
    </row>
    <row r="154" spans="5:43" s="269" customFormat="1" ht="15" customHeight="1">
      <c r="E154" s="357" t="str">
        <f>Input!E154</f>
        <v>Allocation to non-load related capex - asset replacement</v>
      </c>
      <c r="G154" s="269" t="s">
        <v>47</v>
      </c>
      <c r="I154" s="147"/>
      <c r="AJ154" s="229">
        <v>0.37002452199612917</v>
      </c>
      <c r="AK154" s="229">
        <v>0.36756928602948008</v>
      </c>
      <c r="AL154" s="229">
        <v>0.36511404145079041</v>
      </c>
      <c r="AM154" s="229">
        <v>0.36287010078022874</v>
      </c>
      <c r="AN154" s="229">
        <v>0.36063404662848725</v>
      </c>
      <c r="AO154" s="229">
        <v>0.35849218985457931</v>
      </c>
      <c r="AP154" s="229">
        <v>0.35648331006829337</v>
      </c>
      <c r="AQ154" s="229">
        <v>0.35454933074620826</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0.60372659536710904</v>
      </c>
      <c r="AK156" s="229">
        <v>0.60739192979029033</v>
      </c>
      <c r="AL156" s="229">
        <v>0.61098112123333659</v>
      </c>
      <c r="AM156" s="229">
        <v>0.61433716962466101</v>
      </c>
      <c r="AN156" s="229">
        <v>0.61764187410450599</v>
      </c>
      <c r="AO156" s="229">
        <v>0.62081073260952158</v>
      </c>
      <c r="AP156" s="229">
        <v>0.62379223468435585</v>
      </c>
      <c r="AQ156" s="229">
        <v>0.62666226002311942</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v>
      </c>
      <c r="AK159" s="229">
        <v>0</v>
      </c>
      <c r="AL159" s="229">
        <v>0</v>
      </c>
      <c r="AM159" s="229">
        <v>0</v>
      </c>
      <c r="AN159" s="229">
        <v>0</v>
      </c>
      <c r="AO159" s="229">
        <v>0</v>
      </c>
      <c r="AP159" s="229">
        <v>0</v>
      </c>
      <c r="AQ159" s="229">
        <v>0</v>
      </c>
    </row>
    <row r="160" spans="5:43" ht="15" customHeight="1">
      <c r="AJ160" s="378"/>
      <c r="AK160" s="378"/>
      <c r="AL160" s="378"/>
      <c r="AM160" s="378"/>
      <c r="AN160" s="378"/>
      <c r="AO160" s="378"/>
      <c r="AP160" s="378"/>
      <c r="AQ160" s="378"/>
    </row>
    <row r="161" spans="5:43" s="269" customFormat="1" ht="15" customHeight="1">
      <c r="E161" s="147" t="str">
        <f>Input!E161</f>
        <v>Allowed Expenditure - Load Related</v>
      </c>
      <c r="G161" s="269" t="s">
        <v>657</v>
      </c>
      <c r="I161" s="356"/>
      <c r="AJ161" s="213">
        <f>AJ25</f>
        <v>18.880340207521815</v>
      </c>
      <c r="AK161" s="213">
        <f t="shared" ref="AK161:AQ161" si="10">AK25</f>
        <v>16.419388360628346</v>
      </c>
      <c r="AL161" s="213">
        <f t="shared" si="10"/>
        <v>13.694829049322156</v>
      </c>
      <c r="AM161" s="213">
        <f t="shared" si="10"/>
        <v>12.963779405586095</v>
      </c>
      <c r="AN161" s="213">
        <f t="shared" si="10"/>
        <v>15.977147605482434</v>
      </c>
      <c r="AO161" s="213">
        <f t="shared" si="10"/>
        <v>13.265074289025785</v>
      </c>
      <c r="AP161" s="213">
        <f t="shared" si="10"/>
        <v>8.1345135279992551</v>
      </c>
      <c r="AQ161" s="213">
        <f t="shared" si="10"/>
        <v>7.8782335104454271</v>
      </c>
    </row>
    <row r="162" spans="5:43" s="269" customFormat="1" ht="15" customHeight="1">
      <c r="E162" s="357" t="str">
        <f>Input!E162</f>
        <v>Allocation to load related capex</v>
      </c>
      <c r="G162" s="269" t="s">
        <v>47</v>
      </c>
      <c r="I162" s="147"/>
      <c r="AJ162" s="229">
        <v>0.99039088912760653</v>
      </c>
      <c r="AK162" s="229">
        <v>0.99483550108727037</v>
      </c>
      <c r="AL162" s="229">
        <v>0.99677672268339468</v>
      </c>
      <c r="AM162" s="229">
        <v>0.9968773764010147</v>
      </c>
      <c r="AN162" s="229">
        <v>0.99797998003948074</v>
      </c>
      <c r="AO162" s="229">
        <v>0.9974466925234895</v>
      </c>
      <c r="AP162" s="229">
        <v>0.99605982111148716</v>
      </c>
      <c r="AQ162" s="229">
        <v>0.9970628255395998</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9.6091108723934671E-3</v>
      </c>
      <c r="AK167" s="229">
        <v>5.1644989127296315E-3</v>
      </c>
      <c r="AL167" s="229">
        <v>3.2232773166053219E-3</v>
      </c>
      <c r="AM167" s="229">
        <v>3.1226235989852968E-3</v>
      </c>
      <c r="AN167" s="229">
        <v>2.0200199605192593E-3</v>
      </c>
      <c r="AO167" s="229">
        <v>2.5533074765105024E-3</v>
      </c>
      <c r="AP167" s="229">
        <v>3.9401788885128353E-3</v>
      </c>
      <c r="AQ167" s="229">
        <v>2.9371744604002048E-3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0.99109417778815356</v>
      </c>
      <c r="AK172" s="229">
        <v>0.99634058257394098</v>
      </c>
      <c r="AL172" s="229">
        <v>0.9975618357404441</v>
      </c>
      <c r="AM172" s="229">
        <v>0.99777093184440901</v>
      </c>
      <c r="AN172" s="229">
        <v>0.99809492964549718</v>
      </c>
      <c r="AO172" s="229">
        <v>0.99877305610851441</v>
      </c>
      <c r="AP172" s="229">
        <v>0.99892592044093631</v>
      </c>
      <c r="AQ172" s="229">
        <v>0.99920031017644495</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8.905822211846437E-3</v>
      </c>
      <c r="AK176" s="229">
        <v>3.6594174260590195E-3</v>
      </c>
      <c r="AL176" s="229">
        <v>2.4381642595558972E-3</v>
      </c>
      <c r="AM176" s="229">
        <v>2.2290681555909853E-3</v>
      </c>
      <c r="AN176" s="229">
        <v>1.9050703545028247E-3</v>
      </c>
      <c r="AO176" s="229">
        <v>1.2269438914855879E-3</v>
      </c>
      <c r="AP176" s="229">
        <v>1.0740795590636898E-3</v>
      </c>
      <c r="AQ176" s="229">
        <v>7.9968982355504981E-4</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147"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AJ187" s="378"/>
      <c r="AK187" s="378"/>
      <c r="AL187" s="378"/>
      <c r="AM187" s="378"/>
      <c r="AN187" s="378"/>
      <c r="AO187" s="378"/>
      <c r="AP187" s="378"/>
      <c r="AQ187" s="378"/>
    </row>
    <row r="188" spans="5:43" ht="15" customHeight="1">
      <c r="E188" s="147"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147"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0.99109417778815356</v>
      </c>
      <c r="AK226" s="229">
        <v>0.99634058257394098</v>
      </c>
      <c r="AL226" s="229">
        <v>0.9975618357404441</v>
      </c>
      <c r="AM226" s="229">
        <v>0.99777093184440901</v>
      </c>
      <c r="AN226" s="229">
        <v>0.99809492964549718</v>
      </c>
      <c r="AO226" s="229">
        <v>0.99877305610851441</v>
      </c>
      <c r="AP226" s="229">
        <v>0.99892592044093631</v>
      </c>
      <c r="AQ226" s="229">
        <v>0.99920031017644495</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8.905822211846437E-3</v>
      </c>
      <c r="AK230" s="229">
        <v>3.6594174260590195E-3</v>
      </c>
      <c r="AL230" s="229">
        <v>2.4381642595558972E-3</v>
      </c>
      <c r="AM230" s="229">
        <v>2.2290681555909853E-3</v>
      </c>
      <c r="AN230" s="229">
        <v>1.9050703545028247E-3</v>
      </c>
      <c r="AO230" s="229">
        <v>1.2269438914855879E-3</v>
      </c>
      <c r="AP230" s="229">
        <v>1.0740795590636898E-3</v>
      </c>
      <c r="AQ230" s="229">
        <v>7.9968982355504981E-4</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AJ232" s="378"/>
      <c r="AK232" s="378"/>
      <c r="AL232" s="378"/>
      <c r="AM232" s="378"/>
      <c r="AN232" s="378"/>
      <c r="AO232" s="378"/>
      <c r="AP232" s="378"/>
      <c r="AQ232" s="378"/>
    </row>
    <row r="233" spans="5:43" s="269" customFormat="1" ht="15" customHeight="1">
      <c r="E233" s="147"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7" s="269" customFormat="1" ht="15" customHeight="1">
      <c r="E241" s="161"/>
      <c r="I241" s="356"/>
      <c r="AJ241" s="145"/>
      <c r="AK241" s="145"/>
      <c r="AL241" s="145"/>
      <c r="AM241" s="145"/>
      <c r="AN241" s="145"/>
      <c r="AO241" s="145"/>
      <c r="AP241" s="145"/>
      <c r="AQ241" s="145"/>
    </row>
    <row r="242" spans="4:47"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18.698916925159232</v>
      </c>
      <c r="AK242" s="150">
        <f t="shared" ref="AK242:AQ242" si="19">(AK$107*AK108)+(AK$116*AK117)+(AK$125*AK126)+(AK$134*AK135)+(AK$143*AK144)+(AK$152*AK153)+(AK$161*AK162)+(AK$170*AK171)+(AK$179*AK180)+(AK$197*AK198)+(AK$188*AK189)+(AK206*AK207)+(AK215*AK216)+(AK$224*AK225)+(AK$233*AK234)</f>
        <v>16.334590447292197</v>
      </c>
      <c r="AL242" s="150">
        <f t="shared" si="19"/>
        <v>13.650686817492687</v>
      </c>
      <c r="AM242" s="150">
        <f t="shared" si="19"/>
        <v>12.923298402082173</v>
      </c>
      <c r="AN242" s="150">
        <f t="shared" si="19"/>
        <v>15.944873448407197</v>
      </c>
      <c r="AO242" s="150">
        <f t="shared" si="19"/>
        <v>13.231204475667148</v>
      </c>
      <c r="AP242" s="150">
        <f t="shared" si="19"/>
        <v>8.1024620895279096</v>
      </c>
      <c r="AQ242" s="150">
        <f t="shared" si="19"/>
        <v>7.8550937641854777</v>
      </c>
    </row>
    <row r="243" spans="4:47"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7"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7"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7" s="269" customFormat="1" ht="15" customHeight="1">
      <c r="E246" s="161"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7"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0.1871147373152261</v>
      </c>
      <c r="AK247" s="150">
        <f t="shared" ref="AK247:AQ247" si="24">(AK$107*AK113)+(AK$116*AK122)+(AK$125*AK131)+(AK$134*AK140)+(AK$143*AK149)+(AK$152*AK158)+(AK$161*AK167)+(AK$170*AK176)+(AK$179*AK185)+(AK$197*AK203)+(AK$188*AK194)+(AK206*AK212)+(AK215*AK221)+(AK$224*AK230)+(AK$233*AK239)</f>
        <v>0.10224194868434998</v>
      </c>
      <c r="AL247" s="150">
        <f t="shared" si="24"/>
        <v>7.7257201227281164E-2</v>
      </c>
      <c r="AM247" s="150">
        <f t="shared" si="24"/>
        <v>7.8321569997595153E-2</v>
      </c>
      <c r="AN247" s="150">
        <f t="shared" si="24"/>
        <v>6.7679192236013458E-2</v>
      </c>
      <c r="AO247" s="150">
        <f t="shared" si="24"/>
        <v>5.8652521909631897E-2</v>
      </c>
      <c r="AP247" s="150">
        <f t="shared" si="24"/>
        <v>3.2051438471344729E-2</v>
      </c>
      <c r="AQ247" s="150">
        <f t="shared" si="24"/>
        <v>2.313974625994936E-2</v>
      </c>
    </row>
    <row r="248" spans="4:47"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0.77972643158583221</v>
      </c>
      <c r="AK248" s="150">
        <f t="shared" ref="AK248:AQ248" si="25">(AK$107*AK114)+(AK$116*AK123)+(AK$125*AK132)+(AK$134*AK141)+(AK$143*AK150)+(AK$152*AK159)+(AK$161*AK168)+(AK$170*AK177)+(AK$179*AK186)+(AK$197*AK204)+(AK$188*AK195)+(AK206*AK213)+(AK215*AK222)+(AK$224*AK231)+(AK$233*AK240)</f>
        <v>1.3412242141211903</v>
      </c>
      <c r="AL248" s="150">
        <f t="shared" si="25"/>
        <v>2.009048089132996</v>
      </c>
      <c r="AM248" s="150">
        <f t="shared" si="25"/>
        <v>2.2871727299933045</v>
      </c>
      <c r="AN248" s="150">
        <f t="shared" si="25"/>
        <v>2.2426772021128452</v>
      </c>
      <c r="AO248" s="150">
        <f t="shared" si="25"/>
        <v>1.6393965949083653</v>
      </c>
      <c r="AP248" s="150">
        <f t="shared" si="25"/>
        <v>0</v>
      </c>
      <c r="AQ248" s="150">
        <f t="shared" si="25"/>
        <v>0</v>
      </c>
    </row>
    <row r="249" spans="4:47" s="269" customFormat="1" ht="15" customHeight="1">
      <c r="E249" s="147"/>
      <c r="I249" s="356"/>
    </row>
    <row r="250" spans="4:47"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7" s="269" customFormat="1" ht="15" customHeight="1">
      <c r="I251" s="356"/>
    </row>
    <row r="252" spans="4:47"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c r="AS252" s="326"/>
      <c r="AT252" s="326"/>
      <c r="AU252" s="326"/>
    </row>
    <row r="253" spans="4:47"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c r="AS253" s="326"/>
      <c r="AT253" s="326"/>
      <c r="AU253" s="326"/>
    </row>
    <row r="254" spans="4:47"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c r="AS254" s="326"/>
      <c r="AT254" s="326"/>
      <c r="AU254" s="326"/>
    </row>
    <row r="255" spans="4:47"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c r="AS255" s="326"/>
      <c r="AT255" s="326"/>
      <c r="AU255" s="326"/>
    </row>
    <row r="256" spans="4:47" s="161" customFormat="1" ht="15" customHeight="1">
      <c r="E256" s="161"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c r="AS256" s="326"/>
      <c r="AT256" s="326"/>
      <c r="AU256" s="326"/>
    </row>
    <row r="257" spans="2:7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c r="AS257" s="326"/>
      <c r="AT257" s="326"/>
      <c r="AU257" s="326"/>
    </row>
    <row r="258" spans="2:7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c r="AS258" s="326"/>
      <c r="AT258" s="326"/>
      <c r="AU258" s="326"/>
    </row>
    <row r="259" spans="2:74" s="145" customFormat="1" ht="15" customHeight="1">
      <c r="J259" s="31"/>
      <c r="K259" s="31"/>
      <c r="L259" s="31"/>
      <c r="M259" s="31"/>
      <c r="N259" s="31"/>
      <c r="O259" s="31"/>
      <c r="P259" s="31"/>
      <c r="Q259" s="31"/>
      <c r="R259" s="31"/>
      <c r="S259" s="31"/>
      <c r="T259" s="31"/>
      <c r="U259" s="31"/>
      <c r="V259" s="31"/>
      <c r="W259" s="31"/>
      <c r="X259" s="31"/>
      <c r="Y259" s="31"/>
      <c r="Z259" s="31"/>
    </row>
    <row r="260" spans="2:7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74" s="145" customFormat="1" ht="15" customHeight="1">
      <c r="J261" s="31"/>
      <c r="K261" s="31"/>
      <c r="L261" s="31"/>
      <c r="M261" s="31"/>
      <c r="N261" s="31"/>
      <c r="O261" s="31"/>
      <c r="P261" s="31"/>
      <c r="Q261" s="31"/>
      <c r="R261" s="31"/>
      <c r="S261" s="31"/>
      <c r="T261" s="31"/>
      <c r="U261" s="31"/>
      <c r="V261" s="31"/>
      <c r="W261" s="31"/>
      <c r="X261" s="31"/>
      <c r="Y261" s="31"/>
      <c r="Z261" s="31"/>
    </row>
    <row r="262" spans="2:7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13.472275095400155</v>
      </c>
      <c r="AK262" s="227">
        <v>13.479891268960481</v>
      </c>
      <c r="AL262" s="227">
        <v>15.546397138930594</v>
      </c>
      <c r="AM262" s="227">
        <v>15.563522705661377</v>
      </c>
      <c r="AN262" s="227">
        <v>15.575089341270058</v>
      </c>
      <c r="AO262" s="227">
        <v>15.597631466540156</v>
      </c>
      <c r="AP262" s="227">
        <v>14.663664260472233</v>
      </c>
      <c r="AQ262" s="227">
        <v>14.664637387667037</v>
      </c>
    </row>
    <row r="263" spans="2:7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8.189816545668231</v>
      </c>
      <c r="AK263" s="227">
        <v>8.2297668702812494</v>
      </c>
      <c r="AL263" s="227">
        <v>8.2699120745265233</v>
      </c>
      <c r="AM263" s="227">
        <v>8.3102531090364096</v>
      </c>
      <c r="AN263" s="227">
        <v>8.3507909290804889</v>
      </c>
      <c r="AO263" s="227">
        <v>8.3915264945881987</v>
      </c>
      <c r="AP263" s="227">
        <v>8.4324607701715575</v>
      </c>
      <c r="AQ263" s="227">
        <v>8.4735947251480059</v>
      </c>
    </row>
    <row r="264" spans="2:74" ht="15" customHeight="1">
      <c r="E264" s="19" t="s">
        <v>105</v>
      </c>
      <c r="G264" s="19" t="s">
        <v>657</v>
      </c>
      <c r="AJ264" s="165">
        <f>SUM(AJ262:AJ263)</f>
        <v>21.662091641068386</v>
      </c>
      <c r="AK264" s="165">
        <f t="shared" ref="AK264:AQ264" si="31">SUM(AK262:AK263)</f>
        <v>21.709658139241732</v>
      </c>
      <c r="AL264" s="165">
        <f t="shared" si="31"/>
        <v>23.816309213457117</v>
      </c>
      <c r="AM264" s="165">
        <f t="shared" si="31"/>
        <v>23.873775814697787</v>
      </c>
      <c r="AN264" s="165">
        <f t="shared" si="31"/>
        <v>23.925880270350547</v>
      </c>
      <c r="AO264" s="165">
        <f t="shared" si="31"/>
        <v>23.989157961128356</v>
      </c>
      <c r="AP264" s="165">
        <f t="shared" si="31"/>
        <v>23.09612503064379</v>
      </c>
      <c r="AQ264" s="165">
        <f t="shared" si="31"/>
        <v>23.138232112815043</v>
      </c>
    </row>
    <row r="265" spans="2:74" s="145" customFormat="1" ht="15" customHeight="1">
      <c r="J265" s="31"/>
      <c r="K265" s="31"/>
      <c r="L265" s="31"/>
      <c r="M265" s="31"/>
      <c r="N265" s="31"/>
      <c r="O265" s="31"/>
      <c r="P265" s="31"/>
      <c r="Q265" s="31"/>
      <c r="R265" s="31"/>
      <c r="S265" s="31"/>
      <c r="T265" s="31"/>
      <c r="U265" s="31"/>
      <c r="V265" s="31"/>
      <c r="W265" s="31"/>
      <c r="X265" s="31"/>
      <c r="Y265" s="31"/>
      <c r="Z265" s="31"/>
    </row>
    <row r="266" spans="2:7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74" ht="15" customHeight="1"/>
    <row r="268" spans="2:7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14.378928341099536</v>
      </c>
      <c r="AK268" s="213">
        <f t="shared" si="33"/>
        <v>14.378928341099536</v>
      </c>
      <c r="AL268" s="213">
        <f t="shared" si="33"/>
        <v>14.378928341099536</v>
      </c>
      <c r="AM268" s="213">
        <f t="shared" si="33"/>
        <v>14.378928341099536</v>
      </c>
      <c r="AN268" s="213">
        <f t="shared" si="33"/>
        <v>14.378928341099536</v>
      </c>
      <c r="AO268" s="213">
        <f t="shared" si="33"/>
        <v>14.378928341099536</v>
      </c>
      <c r="AP268" s="213">
        <f t="shared" si="33"/>
        <v>14.378928341099536</v>
      </c>
      <c r="AQ268" s="213">
        <f t="shared" si="33"/>
        <v>14.378928341099536</v>
      </c>
      <c r="AR268" s="155"/>
      <c r="AS268" s="155"/>
      <c r="AT268" s="155"/>
      <c r="AU268" s="155"/>
      <c r="AV268" s="155"/>
      <c r="AW268" s="155"/>
      <c r="AX268" s="155"/>
      <c r="AY268" s="155"/>
      <c r="AZ268" s="155"/>
      <c r="BA268" s="155"/>
      <c r="BB268" s="155"/>
      <c r="BC268" s="155"/>
      <c r="BD268" s="155"/>
      <c r="BE268" s="155"/>
      <c r="BF268" s="155"/>
      <c r="BG268" s="155"/>
      <c r="BH268" s="155"/>
      <c r="BI268" s="155"/>
      <c r="BJ268" s="155"/>
      <c r="BK268" s="155"/>
      <c r="BL268" s="155"/>
      <c r="BM268" s="155"/>
      <c r="BN268" s="155"/>
      <c r="BO268" s="155"/>
      <c r="BP268" s="155"/>
      <c r="BQ268" s="155"/>
      <c r="BR268" s="155"/>
      <c r="BS268" s="155"/>
      <c r="BT268" s="155"/>
      <c r="BU268" s="155"/>
      <c r="BV268" s="155"/>
    </row>
    <row r="269" spans="2:74" ht="15" customHeight="1"/>
    <row r="270" spans="2:74" ht="15" customHeight="1">
      <c r="E270" s="147" t="str">
        <f>Input!E270</f>
        <v>Other legacy adjustments' Revenue adjustment from previous controls</v>
      </c>
      <c r="G270" s="19" t="s">
        <v>657</v>
      </c>
      <c r="H270" s="378"/>
      <c r="I270" s="421">
        <v>19.824529929808438</v>
      </c>
      <c r="AJ270" s="422">
        <f>($I$270/8)</f>
        <v>2.4780662412260548</v>
      </c>
      <c r="AK270" s="422">
        <f>(($I$270/8)*(1+$AK$53))</f>
        <v>2.5711795802401234</v>
      </c>
      <c r="AL270" s="423">
        <f>($I$270/8)*(1+$AK$53)*(1+$AL$53)</f>
        <v>2.667791652967646</v>
      </c>
      <c r="AM270" s="423">
        <f>($I$270/8)*(1+$AK$53)*(1+$AL$53)*(1+$AM$53)</f>
        <v>2.7680339243279048</v>
      </c>
      <c r="AN270" s="423">
        <f>($I$270/8)*(1+$AK$53)*(1+$AL$53)*(1+$AM$53)*(1+$AN$53)</f>
        <v>2.8720427990345256</v>
      </c>
      <c r="AO270" s="423">
        <f>($I$270/8)*(1+$AK$53)*(1+$AL$53)*(1+$AM$53)*(1+$AN$53)*(1+$AO$53)</f>
        <v>2.9799598072082478</v>
      </c>
      <c r="AP270" s="423">
        <f>($I$270/8)*(1+$AK$53)*(1+$AL$53)*(1+$AM$53)*(1+$AN$53)*(1+$AO$53)*(1+$AP$53)</f>
        <v>3.0919317969640976</v>
      </c>
      <c r="AQ270" s="424">
        <f>($I$270/8)*(1+$AK$53)*(1+$AL$53)*(1+$AM$53)*(1+$AN$53)*(1+$AO$53)*(1+$AP$53)*(1+$AQ$53)</f>
        <v>3.2081111342350233</v>
      </c>
    </row>
    <row r="271" spans="2:74" ht="15" customHeight="1">
      <c r="E271" s="147"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7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2.4780662412260548</v>
      </c>
      <c r="AK272" s="165">
        <f t="shared" ref="AK272:AQ272" si="34">AK270+AK271</f>
        <v>2.5711795802401234</v>
      </c>
      <c r="AL272" s="165">
        <f t="shared" si="34"/>
        <v>2.667791652967646</v>
      </c>
      <c r="AM272" s="165">
        <f t="shared" si="34"/>
        <v>2.7680339243279048</v>
      </c>
      <c r="AN272" s="165">
        <f t="shared" si="34"/>
        <v>2.8720427990345256</v>
      </c>
      <c r="AO272" s="165">
        <f t="shared" si="34"/>
        <v>2.9799598072082478</v>
      </c>
      <c r="AP272" s="165">
        <f t="shared" si="34"/>
        <v>3.0919317969640976</v>
      </c>
      <c r="AQ272" s="165">
        <f t="shared" si="34"/>
        <v>3.2081111342350233</v>
      </c>
    </row>
    <row r="273" spans="5:43" ht="15" customHeight="1">
      <c r="AJ273" s="378"/>
      <c r="AK273" s="378"/>
      <c r="AL273" s="378"/>
      <c r="AM273" s="378"/>
      <c r="AN273" s="378"/>
      <c r="AO273" s="378"/>
      <c r="AP273" s="378"/>
      <c r="AQ273" s="378"/>
    </row>
    <row r="274" spans="5:43" ht="15" customHeight="1">
      <c r="E274" s="147" t="str">
        <f>Input!E274</f>
        <v>RAV Rolling Incentive legacy adjustments' price control allowed revenue</v>
      </c>
      <c r="G274" s="378" t="str">
        <f>Input!G274</f>
        <v>£m 12/13 prices</v>
      </c>
      <c r="I274" s="421">
        <v>5.1946934298727951</v>
      </c>
      <c r="AJ274" s="422">
        <f>($I$274/8)</f>
        <v>0.64933667873409939</v>
      </c>
      <c r="AK274" s="423">
        <f>($I$274/8)*(1+$AK$53)</f>
        <v>0.67373550443753316</v>
      </c>
      <c r="AL274" s="423">
        <f>($I$274/8)*(1+$AK$53)*(1+$AL$53)</f>
        <v>0.69905111601677339</v>
      </c>
      <c r="AM274" s="423">
        <f>($I$274/8)*(1+$AK$53)*(1+$AL$53)*(1+$AM$53)</f>
        <v>0.72531796170110363</v>
      </c>
      <c r="AN274" s="423">
        <f>($I$274/8)*(1+$AK$53)*(1+$AL$53)*(1+$AM$53)*(1+$AN$53)</f>
        <v>0.75257178411202252</v>
      </c>
      <c r="AO274" s="423">
        <f>($I$274/8)*(1+$AK$53)*(1+$AL$53)*(1+$AM$53)*(1+$AN$53)*(1+$AO$53)</f>
        <v>0.78084966890003171</v>
      </c>
      <c r="AP274" s="423">
        <f>($I$274/8)*(1+$AK$53)*(1+$AL$53)*(1+$AM$53)*(1+$AN$53)*(1+$AO$53)*(1+$AP$53)</f>
        <v>0.81019009520895036</v>
      </c>
      <c r="AQ274" s="424">
        <f>($I$274/8)*(1+$AK$53)*(1+$AL$53)*(1+$AM$53)*(1+$AN$53)*(1+$AO$53)*(1+$AP$53)*(1+$AQ$53)</f>
        <v>0.84063298803642661</v>
      </c>
    </row>
    <row r="275" spans="5:43" ht="15" customHeight="1">
      <c r="E275" s="147"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147" t="str">
        <f>Input!E276</f>
        <v>RAV Rolling Incentive legacy adjustments' price control allowed revenue</v>
      </c>
      <c r="F276" s="19"/>
      <c r="G276" s="378" t="str">
        <f>Input!G276</f>
        <v>£m 12/13 prices</v>
      </c>
      <c r="AJ276" s="165">
        <f>AJ274+AJ275</f>
        <v>0.64933667873409939</v>
      </c>
      <c r="AK276" s="165">
        <f t="shared" ref="AK276:AQ276" si="35">AK274+AK275</f>
        <v>0.67373550443753316</v>
      </c>
      <c r="AL276" s="165">
        <f t="shared" si="35"/>
        <v>0.69905111601677339</v>
      </c>
      <c r="AM276" s="165">
        <f t="shared" si="35"/>
        <v>0.72531796170110363</v>
      </c>
      <c r="AN276" s="165">
        <f t="shared" si="35"/>
        <v>0.75257178411202252</v>
      </c>
      <c r="AO276" s="165">
        <f t="shared" si="35"/>
        <v>0.78084966890003171</v>
      </c>
      <c r="AP276" s="165">
        <f t="shared" si="35"/>
        <v>0.81019009520895036</v>
      </c>
      <c r="AQ276" s="165">
        <f t="shared" si="35"/>
        <v>0.84063298803642661</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v>-1.9</v>
      </c>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147" t="str">
        <f>Input!E280</f>
        <v>Legacy Losses Incentive</v>
      </c>
      <c r="G280" s="19" t="s">
        <v>657</v>
      </c>
      <c r="AJ280" s="227">
        <v>-7.918319375370424</v>
      </c>
      <c r="AK280" s="227">
        <v>-2.5287610007910422</v>
      </c>
      <c r="AL280" s="227">
        <v>0</v>
      </c>
      <c r="AM280" s="227">
        <v>0</v>
      </c>
      <c r="AN280" s="227">
        <v>0</v>
      </c>
      <c r="AO280" s="227">
        <v>0</v>
      </c>
      <c r="AP280" s="227">
        <v>0</v>
      </c>
      <c r="AQ280" s="227">
        <v>0</v>
      </c>
    </row>
    <row r="281" spans="5:43" s="378" customFormat="1" ht="15" customHeight="1">
      <c r="E281" s="378" t="str">
        <f>Input!E281</f>
        <v>Adjustment for Rebate</v>
      </c>
      <c r="G281" s="19" t="s">
        <v>657</v>
      </c>
      <c r="AJ281" s="227">
        <f>(15.7950059184/((AH59/AG59)))*(1+1.5%+0.5%)</f>
        <v>15.659194203962967</v>
      </c>
      <c r="AK281" s="227"/>
      <c r="AL281" s="227"/>
      <c r="AM281" s="227"/>
      <c r="AN281" s="227"/>
      <c r="AO281" s="227"/>
      <c r="AP281" s="227"/>
      <c r="AQ281" s="227"/>
    </row>
    <row r="282" spans="5:43" ht="15" customHeight="1">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AE290" s="378"/>
      <c r="AF290" s="378"/>
      <c r="AG290" s="378"/>
      <c r="AH290" s="378"/>
      <c r="AI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AE292" s="378"/>
      <c r="AF292" s="378"/>
      <c r="AG292" s="378"/>
      <c r="AH292" s="378"/>
      <c r="AI292" s="378"/>
    </row>
    <row r="293" spans="4:43" ht="15" customHeight="1">
      <c r="E293" s="147" t="str">
        <f>Input!E293</f>
        <v>Connections Sole Use funded &amp; DG (DRS 1) revenue/customer contributions</v>
      </c>
      <c r="G293" s="147" t="str">
        <f>Input!G293</f>
        <v>£m 12/13 prices</v>
      </c>
      <c r="AE293" s="219">
        <v>0</v>
      </c>
      <c r="AF293" s="219">
        <v>0</v>
      </c>
      <c r="AG293" s="219">
        <v>0</v>
      </c>
      <c r="AH293" s="219">
        <v>0</v>
      </c>
      <c r="AI293" s="219">
        <v>0</v>
      </c>
      <c r="AJ293" s="219">
        <v>25.016088225762442</v>
      </c>
      <c r="AK293" s="219">
        <v>23.159133712014576</v>
      </c>
      <c r="AL293" s="219">
        <v>24.307396284379536</v>
      </c>
      <c r="AM293" s="219">
        <v>23.130930432334154</v>
      </c>
      <c r="AN293" s="219">
        <v>21.459390822353416</v>
      </c>
      <c r="AO293" s="219">
        <v>21.447101544677309</v>
      </c>
      <c r="AP293" s="219">
        <v>21.354230267044393</v>
      </c>
      <c r="AQ293" s="219">
        <v>21.341961569808443</v>
      </c>
    </row>
    <row r="294" spans="4:43" ht="15" customHeight="1">
      <c r="E294" s="147" t="str">
        <f>Input!E294</f>
        <v>Connections Sole Use funded &amp; DG (DRS 1) costs</v>
      </c>
      <c r="G294" s="147" t="str">
        <f>Input!G294</f>
        <v>£m 12/13 prices</v>
      </c>
      <c r="AE294" s="219">
        <v>0</v>
      </c>
      <c r="AF294" s="219">
        <v>0</v>
      </c>
      <c r="AG294" s="219">
        <v>0</v>
      </c>
      <c r="AH294" s="219">
        <v>0</v>
      </c>
      <c r="AI294" s="219">
        <v>0</v>
      </c>
      <c r="AJ294" s="219">
        <v>-23.372943116989042</v>
      </c>
      <c r="AK294" s="219">
        <v>-23.045416227359269</v>
      </c>
      <c r="AL294" s="219">
        <v>-23.89228783709332</v>
      </c>
      <c r="AM294" s="219">
        <v>-22.833773010222888</v>
      </c>
      <c r="AN294" s="219">
        <v>-21.29000235513918</v>
      </c>
      <c r="AO294" s="219">
        <v>-21.282360007754757</v>
      </c>
      <c r="AP294" s="219">
        <v>-21.697476975288566</v>
      </c>
      <c r="AQ294" s="219">
        <v>-20.737728388320882</v>
      </c>
    </row>
    <row r="295" spans="4:43" ht="15" customHeight="1">
      <c r="E295" s="147"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1.6431451087733997</v>
      </c>
      <c r="AK295" s="165">
        <f t="shared" si="38"/>
        <v>0.11371748465530729</v>
      </c>
      <c r="AL295" s="165">
        <f t="shared" si="38"/>
        <v>0.41510844728621521</v>
      </c>
      <c r="AM295" s="165">
        <f t="shared" si="38"/>
        <v>0.29715742211126539</v>
      </c>
      <c r="AN295" s="165">
        <f t="shared" si="38"/>
        <v>0.16938846721423673</v>
      </c>
      <c r="AO295" s="165">
        <f t="shared" si="38"/>
        <v>0.164741536922552</v>
      </c>
      <c r="AP295" s="165">
        <f t="shared" si="38"/>
        <v>-0.34324670824417325</v>
      </c>
      <c r="AQ295" s="165">
        <f t="shared" si="38"/>
        <v>0.60423318148756167</v>
      </c>
    </row>
    <row r="296" spans="4:43" ht="15" customHeight="1">
      <c r="AE296" s="378"/>
      <c r="AF296" s="378"/>
      <c r="AG296" s="378"/>
      <c r="AH296" s="378"/>
      <c r="AI296" s="378"/>
      <c r="AJ296" s="378"/>
      <c r="AK296" s="378"/>
      <c r="AL296" s="378"/>
      <c r="AM296" s="378"/>
      <c r="AN296" s="378"/>
      <c r="AO296" s="378"/>
      <c r="AP296" s="378"/>
      <c r="AQ296" s="378"/>
    </row>
    <row r="297" spans="4:43" ht="15" customHeight="1">
      <c r="E297" s="147" t="str">
        <f>Input!E297</f>
        <v>Connection projects UMC (DRS 1) revenue/customer contributions</v>
      </c>
      <c r="G297" s="147" t="str">
        <f>Input!G297</f>
        <v>£m 12/13 prices</v>
      </c>
      <c r="AE297" s="219">
        <v>0</v>
      </c>
      <c r="AF297" s="219">
        <v>0</v>
      </c>
      <c r="AG297" s="219">
        <v>0</v>
      </c>
      <c r="AH297" s="219">
        <v>0</v>
      </c>
      <c r="AI297" s="219">
        <v>0</v>
      </c>
      <c r="AJ297" s="219">
        <v>2.3479257800940347</v>
      </c>
      <c r="AK297" s="219">
        <v>2.5352717150582231</v>
      </c>
      <c r="AL297" s="219">
        <v>2.5232828796958535</v>
      </c>
      <c r="AM297" s="219">
        <v>2.5758011271568266</v>
      </c>
      <c r="AN297" s="219">
        <v>2.6115960012579804</v>
      </c>
      <c r="AO297" s="219">
        <v>2.6098619327745429</v>
      </c>
      <c r="AP297" s="219">
        <v>2.598241509723259</v>
      </c>
      <c r="AQ297" s="219">
        <v>2.5967510467387416</v>
      </c>
    </row>
    <row r="298" spans="4:43" ht="15" customHeight="1">
      <c r="E298" s="147" t="str">
        <f>Input!E298</f>
        <v>Connection projects UMC (DRS 1) costs</v>
      </c>
      <c r="G298" s="147" t="str">
        <f>Input!G298</f>
        <v>£m 12/13 prices</v>
      </c>
      <c r="AE298" s="219">
        <v>0</v>
      </c>
      <c r="AF298" s="219">
        <v>0</v>
      </c>
      <c r="AG298" s="219">
        <v>0</v>
      </c>
      <c r="AH298" s="219">
        <v>0</v>
      </c>
      <c r="AI298" s="219">
        <v>0</v>
      </c>
      <c r="AJ298" s="219">
        <v>-2.4486326511820264</v>
      </c>
      <c r="AK298" s="219">
        <v>-2.6547154087529048</v>
      </c>
      <c r="AL298" s="219">
        <v>-2.5913344654613297</v>
      </c>
      <c r="AM298" s="219">
        <v>-2.6220029593092407</v>
      </c>
      <c r="AN298" s="219">
        <v>-2.6782719660298628</v>
      </c>
      <c r="AO298" s="219">
        <v>-2.6741537165795872</v>
      </c>
      <c r="AP298" s="219">
        <v>-2.7243864568710525</v>
      </c>
      <c r="AQ298" s="219">
        <v>-2.5979440308833173</v>
      </c>
    </row>
    <row r="299" spans="4:43" ht="15" customHeight="1">
      <c r="E299" s="147"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-0.1007068710879917</v>
      </c>
      <c r="AK299" s="165">
        <f t="shared" si="39"/>
        <v>-0.11944369369468166</v>
      </c>
      <c r="AL299" s="165">
        <f t="shared" si="39"/>
        <v>-6.8051585765476208E-2</v>
      </c>
      <c r="AM299" s="165">
        <f t="shared" si="39"/>
        <v>-4.6201832152414024E-2</v>
      </c>
      <c r="AN299" s="165">
        <f t="shared" si="39"/>
        <v>-6.6675964771882423E-2</v>
      </c>
      <c r="AO299" s="165">
        <f t="shared" si="39"/>
        <v>-6.42917838050443E-2</v>
      </c>
      <c r="AP299" s="165">
        <f t="shared" si="39"/>
        <v>-0.12614494714779356</v>
      </c>
      <c r="AQ299" s="165">
        <f t="shared" si="39"/>
        <v>-1.1929841445756928E-3</v>
      </c>
    </row>
    <row r="300" spans="4:43" ht="15" customHeight="1">
      <c r="AE300" s="378"/>
      <c r="AF300" s="378"/>
      <c r="AG300" s="378"/>
      <c r="AH300" s="378"/>
      <c r="AI300" s="378"/>
      <c r="AJ300" s="378"/>
      <c r="AK300" s="378"/>
      <c r="AL300" s="378"/>
      <c r="AM300" s="378"/>
      <c r="AN300" s="378"/>
      <c r="AO300" s="378"/>
      <c r="AP300" s="378"/>
      <c r="AQ300" s="378"/>
    </row>
    <row r="301" spans="4:43" ht="15" customHeight="1">
      <c r="E301" s="147" t="str">
        <f>Input!E301</f>
        <v>Diversionary works under obligation (DRS 2) revenue</v>
      </c>
      <c r="G301" s="147" t="str">
        <f>Input!G301</f>
        <v>£m 12/13 prices</v>
      </c>
      <c r="AE301" s="219">
        <v>0</v>
      </c>
      <c r="AF301" s="219">
        <v>0</v>
      </c>
      <c r="AG301" s="219">
        <v>0</v>
      </c>
      <c r="AH301" s="219">
        <v>0</v>
      </c>
      <c r="AI301" s="219">
        <v>0</v>
      </c>
      <c r="AJ301" s="219">
        <v>1.8931628902643975</v>
      </c>
      <c r="AK301" s="219">
        <v>2.1446519940442399</v>
      </c>
      <c r="AL301" s="219">
        <v>2.382276611971224</v>
      </c>
      <c r="AM301" s="219">
        <v>2.4392038022555185</v>
      </c>
      <c r="AN301" s="219">
        <v>2.360546947253984</v>
      </c>
      <c r="AO301" s="219">
        <v>2.2940215614085817</v>
      </c>
      <c r="AP301" s="219">
        <v>2.2064627341273315</v>
      </c>
      <c r="AQ301" s="219">
        <v>2.0514768793120557</v>
      </c>
    </row>
    <row r="302" spans="4:43" ht="15" customHeight="1">
      <c r="E302" s="147" t="str">
        <f>Input!E302</f>
        <v>Diversionary works under obligation (DRS 2) costs</v>
      </c>
      <c r="G302" s="147" t="str">
        <f>Input!G302</f>
        <v>£m 12/13 prices</v>
      </c>
      <c r="AE302" s="219">
        <v>0</v>
      </c>
      <c r="AF302" s="219">
        <v>0</v>
      </c>
      <c r="AG302" s="219">
        <v>0</v>
      </c>
      <c r="AH302" s="219">
        <v>0</v>
      </c>
      <c r="AI302" s="219">
        <v>0</v>
      </c>
      <c r="AJ302" s="219">
        <v>-1.6843399755767687</v>
      </c>
      <c r="AK302" s="219">
        <v>-1.908088894962783</v>
      </c>
      <c r="AL302" s="219">
        <v>-2.1195026329003976</v>
      </c>
      <c r="AM302" s="219">
        <v>-2.1701505421670495</v>
      </c>
      <c r="AN302" s="219">
        <v>-2.1001698310969479</v>
      </c>
      <c r="AO302" s="219">
        <v>-2.0409824429718664</v>
      </c>
      <c r="AP302" s="219">
        <v>-1.9630816803048814</v>
      </c>
      <c r="AQ302" s="219">
        <v>-1.8251913422590895</v>
      </c>
    </row>
    <row r="303" spans="4:43" ht="15" customHeight="1">
      <c r="E303" s="147"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0.20882291468762881</v>
      </c>
      <c r="AK303" s="165">
        <f t="shared" ref="AK303:AQ303" si="41">SUM(AK301,AK302)</f>
        <v>0.2365630990814569</v>
      </c>
      <c r="AL303" s="165">
        <f t="shared" si="41"/>
        <v>0.26277397907082634</v>
      </c>
      <c r="AM303" s="165">
        <f t="shared" si="41"/>
        <v>0.26905326008846897</v>
      </c>
      <c r="AN303" s="165">
        <f t="shared" si="41"/>
        <v>0.26037711615703607</v>
      </c>
      <c r="AO303" s="165">
        <f t="shared" si="41"/>
        <v>0.25303911843671534</v>
      </c>
      <c r="AP303" s="165">
        <f t="shared" si="41"/>
        <v>0.24338105382245012</v>
      </c>
      <c r="AQ303" s="165">
        <f t="shared" si="41"/>
        <v>0.22628553705296617</v>
      </c>
    </row>
    <row r="304" spans="4:43" ht="15" customHeight="1">
      <c r="AE304" s="378"/>
      <c r="AF304" s="378"/>
      <c r="AG304" s="378"/>
      <c r="AH304" s="378"/>
      <c r="AI304" s="378"/>
    </row>
    <row r="305" spans="5:43" ht="15" customHeight="1">
      <c r="E305" s="147" t="str">
        <f>Input!E305</f>
        <v>Work required by any alteration premises (DRS 3) revenue</v>
      </c>
      <c r="G305" s="147" t="str">
        <f>Input!G305</f>
        <v>£m 12/13 prices</v>
      </c>
      <c r="AE305" s="219">
        <v>0</v>
      </c>
      <c r="AF305" s="219">
        <v>0</v>
      </c>
      <c r="AG305" s="219">
        <v>0</v>
      </c>
      <c r="AH305" s="219">
        <v>0</v>
      </c>
      <c r="AI305" s="219">
        <v>0</v>
      </c>
      <c r="AJ305" s="219">
        <v>0.35399652960756467</v>
      </c>
      <c r="AK305" s="219">
        <v>0.40102168017965689</v>
      </c>
      <c r="AL305" s="219">
        <v>0.44545435447728571</v>
      </c>
      <c r="AM305" s="219">
        <v>0.456098989392</v>
      </c>
      <c r="AN305" s="219">
        <v>0.44139119333093313</v>
      </c>
      <c r="AO305" s="219">
        <v>0.42895182224396466</v>
      </c>
      <c r="AP305" s="219">
        <v>0.41257947459576949</v>
      </c>
      <c r="AQ305" s="219">
        <v>0.38359916073846217</v>
      </c>
    </row>
    <row r="306" spans="5:43" ht="15" customHeight="1">
      <c r="E306" s="147" t="str">
        <f>Input!E306</f>
        <v>Work required by any alteration premises (DRS 3) costs</v>
      </c>
      <c r="G306" s="147" t="str">
        <f>Input!G306</f>
        <v>£m 12/13 prices</v>
      </c>
      <c r="AE306" s="219">
        <v>0</v>
      </c>
      <c r="AF306" s="219">
        <v>0</v>
      </c>
      <c r="AG306" s="219">
        <v>0</v>
      </c>
      <c r="AH306" s="219">
        <v>0</v>
      </c>
      <c r="AI306" s="219">
        <v>0</v>
      </c>
      <c r="AJ306" s="219">
        <v>-0.31173427198879744</v>
      </c>
      <c r="AK306" s="219">
        <v>-0.35314527422377956</v>
      </c>
      <c r="AL306" s="219">
        <v>-0.39227330576138214</v>
      </c>
      <c r="AM306" s="219">
        <v>-0.40164711945216508</v>
      </c>
      <c r="AN306" s="219">
        <v>-0.38869522949228558</v>
      </c>
      <c r="AO306" s="219">
        <v>-0.37774094614353787</v>
      </c>
      <c r="AP306" s="219">
        <v>-0.36332322888366642</v>
      </c>
      <c r="AQ306" s="219">
        <v>-0.33780276106346002</v>
      </c>
    </row>
    <row r="307" spans="5:43" ht="15" customHeight="1">
      <c r="E307" s="147"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4.2262257618767229E-2</v>
      </c>
      <c r="AK307" s="165">
        <f t="shared" ref="AK307:AQ307" si="43">SUM(AK305,AK306)</f>
        <v>4.7876405955877332E-2</v>
      </c>
      <c r="AL307" s="165">
        <f t="shared" si="43"/>
        <v>5.3181048715903567E-2</v>
      </c>
      <c r="AM307" s="165">
        <f t="shared" si="43"/>
        <v>5.4451869939834918E-2</v>
      </c>
      <c r="AN307" s="165">
        <f t="shared" si="43"/>
        <v>5.2695963838647553E-2</v>
      </c>
      <c r="AO307" s="165">
        <f t="shared" si="43"/>
        <v>5.1210876100426794E-2</v>
      </c>
      <c r="AP307" s="165">
        <f t="shared" si="43"/>
        <v>4.9256245712103075E-2</v>
      </c>
      <c r="AQ307" s="165">
        <f t="shared" si="43"/>
        <v>4.5796399675002153E-2</v>
      </c>
    </row>
    <row r="308" spans="5:43" ht="15" customHeight="1">
      <c r="AE308" s="378"/>
      <c r="AF308" s="378"/>
      <c r="AG308" s="378"/>
      <c r="AH308" s="378"/>
      <c r="AI308" s="378"/>
      <c r="AJ308" s="378"/>
      <c r="AK308" s="378"/>
      <c r="AL308" s="378"/>
      <c r="AM308" s="378"/>
      <c r="AN308" s="378"/>
      <c r="AO308" s="378"/>
      <c r="AP308" s="378"/>
      <c r="AQ308" s="378"/>
    </row>
    <row r="309" spans="5:43" ht="15" customHeight="1">
      <c r="E309" s="147"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147"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147"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AE312" s="378"/>
      <c r="AF312" s="378"/>
      <c r="AG312" s="378"/>
      <c r="AH312" s="378"/>
      <c r="AI312" s="378"/>
      <c r="AJ312" s="378"/>
      <c r="AK312" s="378"/>
      <c r="AL312" s="378"/>
      <c r="AM312" s="378"/>
      <c r="AN312" s="378"/>
      <c r="AO312" s="378"/>
      <c r="AP312" s="378"/>
      <c r="AQ312" s="378"/>
    </row>
    <row r="313" spans="5:43" ht="15" customHeight="1">
      <c r="E313" s="147" t="str">
        <f>Input!E313</f>
        <v>Revenue protection services (DRS 5) revenue</v>
      </c>
      <c r="G313" s="147" t="str">
        <f>Input!G313</f>
        <v>£m 12/13 prices</v>
      </c>
      <c r="AE313" s="219">
        <v>0</v>
      </c>
      <c r="AF313" s="219">
        <v>0</v>
      </c>
      <c r="AG313" s="219">
        <v>0</v>
      </c>
      <c r="AH313" s="219">
        <v>0</v>
      </c>
      <c r="AI313" s="219">
        <v>0</v>
      </c>
      <c r="AJ313" s="219">
        <v>6.6254831927961888E-2</v>
      </c>
      <c r="AK313" s="219">
        <v>7.5056170887400353E-2</v>
      </c>
      <c r="AL313" s="219">
        <v>8.3372295825017151E-2</v>
      </c>
      <c r="AM313" s="219">
        <v>8.5364570997857825E-2</v>
      </c>
      <c r="AN313" s="219">
        <v>8.2611824926767802E-2</v>
      </c>
      <c r="AO313" s="219">
        <v>8.0283642665856081E-2</v>
      </c>
      <c r="AP313" s="219">
        <v>7.7219355163094791E-2</v>
      </c>
      <c r="AQ313" s="219">
        <v>7.1795330735612228E-2</v>
      </c>
    </row>
    <row r="314" spans="5:43" ht="15" customHeight="1">
      <c r="E314" s="147" t="str">
        <f>Input!E314</f>
        <v>Revenue protection services (DRS 5) costs</v>
      </c>
      <c r="G314" s="147" t="str">
        <f>Input!G314</f>
        <v>£m 12/13 prices</v>
      </c>
      <c r="AE314" s="219">
        <v>0</v>
      </c>
      <c r="AF314" s="219">
        <v>0</v>
      </c>
      <c r="AG314" s="219">
        <v>0</v>
      </c>
      <c r="AH314" s="219">
        <v>0</v>
      </c>
      <c r="AI314" s="219">
        <v>0</v>
      </c>
      <c r="AJ314" s="219">
        <v>-8.6629028180475048E-2</v>
      </c>
      <c r="AK314" s="219">
        <v>-9.8136889849675474E-2</v>
      </c>
      <c r="AL314" s="219">
        <v>-0.10901032806707911</v>
      </c>
      <c r="AM314" s="219">
        <v>-0.11161525297699257</v>
      </c>
      <c r="AN314" s="219">
        <v>-0.10801600277852502</v>
      </c>
      <c r="AO314" s="219">
        <v>-0.10497187511536686</v>
      </c>
      <c r="AP314" s="219">
        <v>-0.10096528056663398</v>
      </c>
      <c r="AQ314" s="219">
        <v>-9.387330023392608E-2</v>
      </c>
    </row>
    <row r="315" spans="5:43" ht="15" customHeight="1">
      <c r="E315" s="147"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-2.037419625251316E-2</v>
      </c>
      <c r="AK315" s="165">
        <f t="shared" ref="AK315:AQ315" si="47">SUM(AK313,AK314)</f>
        <v>-2.3080718962275121E-2</v>
      </c>
      <c r="AL315" s="165">
        <f t="shared" si="47"/>
        <v>-2.5638032242061959E-2</v>
      </c>
      <c r="AM315" s="165">
        <f t="shared" si="47"/>
        <v>-2.6250681979134743E-2</v>
      </c>
      <c r="AN315" s="165">
        <f t="shared" si="47"/>
        <v>-2.540417785175722E-2</v>
      </c>
      <c r="AO315" s="165">
        <f t="shared" si="47"/>
        <v>-2.468823244951078E-2</v>
      </c>
      <c r="AP315" s="165">
        <f t="shared" si="47"/>
        <v>-2.3745925403539189E-2</v>
      </c>
      <c r="AQ315" s="165">
        <f t="shared" si="47"/>
        <v>-2.2077969498313851E-2</v>
      </c>
    </row>
    <row r="316" spans="5:43" ht="15" customHeight="1">
      <c r="AE316" s="378"/>
      <c r="AF316" s="378"/>
      <c r="AG316" s="378"/>
      <c r="AH316" s="378"/>
      <c r="AI316" s="378"/>
    </row>
    <row r="317" spans="5:43" ht="15" customHeight="1">
      <c r="E317" s="147" t="str">
        <f>Input!E317</f>
        <v>Metering services (non legacy) (DRS 6) revenue</v>
      </c>
      <c r="G317" s="147" t="str">
        <f>Input!G317</f>
        <v>£m 12/13 prices</v>
      </c>
      <c r="AE317" s="219">
        <v>0</v>
      </c>
      <c r="AF317" s="219">
        <v>0</v>
      </c>
      <c r="AG317" s="219">
        <v>0</v>
      </c>
      <c r="AH317" s="219">
        <v>0</v>
      </c>
      <c r="AI317" s="219">
        <v>0</v>
      </c>
      <c r="AJ317" s="219">
        <v>0.72229529732607634</v>
      </c>
      <c r="AK317" s="219">
        <v>0.8182455179452649</v>
      </c>
      <c r="AL317" s="219">
        <v>0.90890604427408772</v>
      </c>
      <c r="AM317" s="219">
        <v>0.93062538075790735</v>
      </c>
      <c r="AN317" s="219">
        <v>0.90061556133759679</v>
      </c>
      <c r="AO317" s="219">
        <v>0.8752342412219114</v>
      </c>
      <c r="AP317" s="219">
        <v>0.84182806708345659</v>
      </c>
      <c r="AQ317" s="219">
        <v>0.78269657097141254</v>
      </c>
    </row>
    <row r="318" spans="5:43" ht="15" customHeight="1">
      <c r="E318" s="147" t="str">
        <f>Input!E318</f>
        <v>Metering services (non legacy) (DRS 6) costs</v>
      </c>
      <c r="G318" s="147" t="str">
        <f>Input!G318</f>
        <v>£m 12/13 prices</v>
      </c>
      <c r="AE318" s="219">
        <v>0</v>
      </c>
      <c r="AF318" s="219">
        <v>0</v>
      </c>
      <c r="AG318" s="219">
        <v>0</v>
      </c>
      <c r="AH318" s="219">
        <v>0</v>
      </c>
      <c r="AI318" s="219">
        <v>0</v>
      </c>
      <c r="AJ318" s="219">
        <v>-0.32869231417856204</v>
      </c>
      <c r="AK318" s="219">
        <v>-0.37235603478981083</v>
      </c>
      <c r="AL318" s="219">
        <v>-0.41361259331093658</v>
      </c>
      <c r="AM318" s="219">
        <v>-0.42349633337918552</v>
      </c>
      <c r="AN318" s="219">
        <v>-0.40983987316151699</v>
      </c>
      <c r="AO318" s="219">
        <v>-0.39828968741807413</v>
      </c>
      <c r="AP318" s="219">
        <v>-0.38308766031631974</v>
      </c>
      <c r="AQ318" s="219">
        <v>-0.3561789037871545</v>
      </c>
    </row>
    <row r="319" spans="5:43" ht="15" customHeight="1">
      <c r="E319" s="147"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0.3936029831475143</v>
      </c>
      <c r="AK319" s="165">
        <f t="shared" ref="AK319:AQ319" si="49">SUM(AK317,AK318)</f>
        <v>0.44588948315545407</v>
      </c>
      <c r="AL319" s="165">
        <f t="shared" si="49"/>
        <v>0.49529345096315114</v>
      </c>
      <c r="AM319" s="165">
        <f t="shared" si="49"/>
        <v>0.50712904737872178</v>
      </c>
      <c r="AN319" s="165">
        <f t="shared" si="49"/>
        <v>0.49077568817607981</v>
      </c>
      <c r="AO319" s="165">
        <f t="shared" si="49"/>
        <v>0.47694455380383727</v>
      </c>
      <c r="AP319" s="165">
        <f t="shared" si="49"/>
        <v>0.45874040676713684</v>
      </c>
      <c r="AQ319" s="165">
        <f t="shared" si="49"/>
        <v>0.42651766718425804</v>
      </c>
    </row>
    <row r="320" spans="5:43" ht="15" customHeight="1">
      <c r="AE320" s="378"/>
      <c r="AF320" s="378"/>
      <c r="AG320" s="378"/>
      <c r="AH320" s="378"/>
      <c r="AI320" s="378"/>
      <c r="AJ320" s="378"/>
      <c r="AK320" s="378"/>
      <c r="AL320" s="378"/>
      <c r="AM320" s="378"/>
      <c r="AN320" s="378"/>
      <c r="AO320" s="378"/>
      <c r="AP320" s="378"/>
      <c r="AQ320" s="378"/>
    </row>
    <row r="321" spans="5:43" ht="15" customHeight="1">
      <c r="E321" s="147" t="str">
        <f>Input!E321</f>
        <v>Metering services (legacy)  revenue</v>
      </c>
      <c r="G321" s="147" t="str">
        <f>Input!G321</f>
        <v>£m 12/13 prices</v>
      </c>
      <c r="AE321" s="219">
        <v>0</v>
      </c>
      <c r="AF321" s="219">
        <v>0</v>
      </c>
      <c r="AG321" s="219">
        <v>0</v>
      </c>
      <c r="AH321" s="219">
        <v>0</v>
      </c>
      <c r="AI321" s="219">
        <v>0</v>
      </c>
      <c r="AJ321" s="219">
        <v>1.7886382145264716</v>
      </c>
      <c r="AK321" s="219">
        <v>1.1760294520993659</v>
      </c>
      <c r="AL321" s="219">
        <v>0.56769624154221388</v>
      </c>
      <c r="AM321" s="219">
        <v>0</v>
      </c>
      <c r="AN321" s="219">
        <v>0</v>
      </c>
      <c r="AO321" s="219">
        <v>0</v>
      </c>
      <c r="AP321" s="219">
        <v>0</v>
      </c>
      <c r="AQ321" s="219">
        <v>0</v>
      </c>
    </row>
    <row r="322" spans="5:43" ht="15" customHeight="1">
      <c r="E322" s="147" t="str">
        <f>Input!E322</f>
        <v>Metering services (legacy)  costs</v>
      </c>
      <c r="G322" s="147" t="str">
        <f>Input!G322</f>
        <v>£m 12/13 prices</v>
      </c>
      <c r="AE322" s="219">
        <v>0</v>
      </c>
      <c r="AF322" s="219">
        <v>0</v>
      </c>
      <c r="AG322" s="219">
        <v>0</v>
      </c>
      <c r="AH322" s="219">
        <v>0</v>
      </c>
      <c r="AI322" s="219">
        <v>0</v>
      </c>
      <c r="AJ322" s="219">
        <v>-6.1217378296408935E-2</v>
      </c>
      <c r="AK322" s="219">
        <v>-4.1867414138893368E-2</v>
      </c>
      <c r="AL322" s="219">
        <v>-2.2652498287101391E-2</v>
      </c>
      <c r="AM322" s="219">
        <v>0</v>
      </c>
      <c r="AN322" s="219">
        <v>0</v>
      </c>
      <c r="AO322" s="219">
        <v>0</v>
      </c>
      <c r="AP322" s="219">
        <v>0</v>
      </c>
      <c r="AQ322" s="219">
        <v>0</v>
      </c>
    </row>
    <row r="323" spans="5:43" ht="15" customHeight="1">
      <c r="E323" s="147"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1.7274208362300627</v>
      </c>
      <c r="AK323" s="165">
        <f t="shared" ref="AK323:AQ323" si="51">SUM(AK321,AK322)</f>
        <v>1.1341620379604727</v>
      </c>
      <c r="AL323" s="165">
        <f t="shared" si="51"/>
        <v>0.54504374325511251</v>
      </c>
      <c r="AM323" s="165">
        <f t="shared" si="51"/>
        <v>0</v>
      </c>
      <c r="AN323" s="165">
        <f t="shared" si="51"/>
        <v>0</v>
      </c>
      <c r="AO323" s="165">
        <f t="shared" si="51"/>
        <v>0</v>
      </c>
      <c r="AP323" s="165">
        <f t="shared" si="51"/>
        <v>0</v>
      </c>
      <c r="AQ323" s="165">
        <f t="shared" si="51"/>
        <v>0</v>
      </c>
    </row>
    <row r="324" spans="5:43" ht="15" customHeight="1">
      <c r="AE324" s="378"/>
      <c r="AF324" s="378"/>
      <c r="AG324" s="378"/>
      <c r="AH324" s="378"/>
      <c r="AI324" s="378"/>
      <c r="AJ324" s="378"/>
      <c r="AK324" s="378"/>
      <c r="AL324" s="378"/>
      <c r="AM324" s="378"/>
      <c r="AN324" s="378"/>
      <c r="AO324" s="378"/>
      <c r="AP324" s="378"/>
      <c r="AQ324" s="378"/>
    </row>
    <row r="325" spans="5:43" ht="15" customHeight="1">
      <c r="E325" s="147" t="str">
        <f>Input!E325</f>
        <v>Metering services associated with the SM roll out (DRS 7) revenue</v>
      </c>
      <c r="G325" s="147" t="str">
        <f>Input!G325</f>
        <v>£m 12/13 prices</v>
      </c>
      <c r="AE325" s="219">
        <v>0</v>
      </c>
      <c r="AF325" s="219">
        <v>0</v>
      </c>
      <c r="AG325" s="219">
        <v>0</v>
      </c>
      <c r="AH325" s="219">
        <v>0</v>
      </c>
      <c r="AI325" s="219">
        <v>0</v>
      </c>
      <c r="AJ325" s="219">
        <v>0</v>
      </c>
      <c r="AK325" s="219">
        <v>0</v>
      </c>
      <c r="AL325" s="219">
        <v>0</v>
      </c>
      <c r="AM325" s="219">
        <v>0</v>
      </c>
      <c r="AN325" s="219">
        <v>0</v>
      </c>
      <c r="AO325" s="219">
        <v>0</v>
      </c>
      <c r="AP325" s="219">
        <v>0</v>
      </c>
      <c r="AQ325" s="219">
        <v>0</v>
      </c>
    </row>
    <row r="326" spans="5:43" ht="15" customHeight="1">
      <c r="E326" s="147" t="str">
        <f>Input!E326</f>
        <v>Metering services associated with the SM roll out (DRS 7) costs</v>
      </c>
      <c r="G326" s="147" t="str">
        <f>Input!G326</f>
        <v>£m 12/13 prices</v>
      </c>
      <c r="AE326" s="219">
        <v>0</v>
      </c>
      <c r="AF326" s="219">
        <v>0</v>
      </c>
      <c r="AG326" s="219">
        <v>0</v>
      </c>
      <c r="AH326" s="219">
        <v>0</v>
      </c>
      <c r="AI326" s="219">
        <v>0</v>
      </c>
      <c r="AJ326" s="219">
        <v>0</v>
      </c>
      <c r="AK326" s="219">
        <v>0</v>
      </c>
      <c r="AL326" s="219">
        <v>0</v>
      </c>
      <c r="AM326" s="219">
        <v>0</v>
      </c>
      <c r="AN326" s="219">
        <v>0</v>
      </c>
      <c r="AO326" s="219">
        <v>0</v>
      </c>
      <c r="AP326" s="219">
        <v>0</v>
      </c>
      <c r="AQ326" s="219">
        <v>0</v>
      </c>
    </row>
    <row r="327" spans="5:43" ht="15" customHeight="1">
      <c r="E327" s="147"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AE328" s="378"/>
      <c r="AF328" s="378"/>
      <c r="AG328" s="378"/>
      <c r="AH328" s="378"/>
      <c r="AI328" s="378"/>
    </row>
    <row r="329" spans="5:43" ht="15" customHeight="1">
      <c r="E329" s="147" t="str">
        <f>Input!E329</f>
        <v>De Minimis Activities revenue</v>
      </c>
      <c r="G329" s="147" t="str">
        <f>Input!G329</f>
        <v>£m 12/13 prices</v>
      </c>
      <c r="AE329" s="219">
        <v>0</v>
      </c>
      <c r="AF329" s="219">
        <v>0</v>
      </c>
      <c r="AG329" s="219">
        <v>0</v>
      </c>
      <c r="AH329" s="219">
        <v>0</v>
      </c>
      <c r="AI329" s="219">
        <v>0</v>
      </c>
      <c r="AJ329" s="219">
        <v>14.234066974931972</v>
      </c>
      <c r="AK329" s="219">
        <v>14.234066974931972</v>
      </c>
      <c r="AL329" s="219">
        <v>14.234066974931972</v>
      </c>
      <c r="AM329" s="219">
        <v>14.234066974931972</v>
      </c>
      <c r="AN329" s="219">
        <v>14.234066974931972</v>
      </c>
      <c r="AO329" s="219">
        <v>14.234066974931972</v>
      </c>
      <c r="AP329" s="219">
        <v>14.234066974931972</v>
      </c>
      <c r="AQ329" s="219">
        <v>14.234066974931972</v>
      </c>
    </row>
    <row r="330" spans="5:43" ht="15" customHeight="1">
      <c r="E330" s="147" t="str">
        <f>Input!E330</f>
        <v>De Minimis Activities costs</v>
      </c>
      <c r="G330" s="147" t="str">
        <f>Input!G330</f>
        <v>£m 12/13 prices</v>
      </c>
      <c r="AE330" s="219">
        <v>0</v>
      </c>
      <c r="AF330" s="219">
        <v>0</v>
      </c>
      <c r="AG330" s="219">
        <v>0</v>
      </c>
      <c r="AH330" s="219">
        <v>0</v>
      </c>
      <c r="AI330" s="219">
        <v>0</v>
      </c>
      <c r="AJ330" s="219">
        <v>-13.032003391133204</v>
      </c>
      <c r="AK330" s="219">
        <v>-13.032003391133204</v>
      </c>
      <c r="AL330" s="219">
        <v>-13.032003391133204</v>
      </c>
      <c r="AM330" s="219">
        <v>-13.032003391133204</v>
      </c>
      <c r="AN330" s="219">
        <v>-13.032003391133204</v>
      </c>
      <c r="AO330" s="219">
        <v>-13.032003391133204</v>
      </c>
      <c r="AP330" s="219">
        <v>-13.032003391133204</v>
      </c>
      <c r="AQ330" s="219">
        <v>-13.032003391133204</v>
      </c>
    </row>
    <row r="331" spans="5:43" ht="15" customHeight="1">
      <c r="E331" s="147"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1.2020635837987683</v>
      </c>
      <c r="AK331" s="165">
        <f t="shared" ref="AK331:AQ331" si="55">SUM(AK329,AK330)</f>
        <v>1.2020635837987683</v>
      </c>
      <c r="AL331" s="165">
        <f t="shared" si="55"/>
        <v>1.2020635837987683</v>
      </c>
      <c r="AM331" s="165">
        <f t="shared" si="55"/>
        <v>1.2020635837987683</v>
      </c>
      <c r="AN331" s="165">
        <f t="shared" si="55"/>
        <v>1.2020635837987683</v>
      </c>
      <c r="AO331" s="165">
        <f t="shared" si="55"/>
        <v>1.2020635837987683</v>
      </c>
      <c r="AP331" s="165">
        <f t="shared" si="55"/>
        <v>1.2020635837987683</v>
      </c>
      <c r="AQ331" s="165">
        <f t="shared" si="55"/>
        <v>1.2020635837987683</v>
      </c>
    </row>
    <row r="332" spans="5:43" ht="15" customHeight="1">
      <c r="AE332" s="378"/>
      <c r="AF332" s="378"/>
      <c r="AG332" s="378"/>
      <c r="AH332" s="378"/>
      <c r="AI332" s="378"/>
      <c r="AJ332" s="378"/>
      <c r="AK332" s="378"/>
      <c r="AL332" s="378"/>
      <c r="AM332" s="378"/>
      <c r="AN332" s="378"/>
      <c r="AO332" s="378"/>
      <c r="AP332" s="378"/>
      <c r="AQ332" s="378"/>
    </row>
    <row r="333" spans="5:43" ht="15" customHeight="1">
      <c r="E333" s="147"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147"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147"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AE336" s="378"/>
      <c r="AF336" s="378"/>
      <c r="AG336" s="378"/>
      <c r="AH336" s="378"/>
      <c r="AI336" s="378"/>
      <c r="AJ336" s="378"/>
      <c r="AK336" s="378"/>
      <c r="AL336" s="378"/>
      <c r="AM336" s="378"/>
      <c r="AN336" s="378"/>
      <c r="AO336" s="378"/>
      <c r="AP336" s="378"/>
      <c r="AQ336" s="378"/>
    </row>
    <row r="337" spans="2:43" ht="15" customHeight="1">
      <c r="E337" s="147"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147"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147"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AE340" s="378"/>
      <c r="AF340" s="378"/>
      <c r="AG340" s="378"/>
      <c r="AH340" s="378"/>
      <c r="AI340" s="378"/>
    </row>
    <row r="341" spans="2:43" ht="15" customHeight="1">
      <c r="E341" s="147"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147"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147"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AE344" s="378"/>
      <c r="AF344" s="378"/>
      <c r="AG344" s="378"/>
      <c r="AH344" s="378"/>
      <c r="AI344" s="378"/>
    </row>
    <row r="345" spans="2:43" ht="15" customHeight="1">
      <c r="E345" s="147"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5.0962366169156361</v>
      </c>
      <c r="AK345" s="165">
        <f t="shared" ref="AK345:AQ345" si="63">AK295+AK299+AK303+AK307+AK311+AK315+AK319+AK323+AK327+AK331+AK335+AK339+AK343</f>
        <v>3.0377476819503797</v>
      </c>
      <c r="AL345" s="165">
        <f t="shared" si="63"/>
        <v>2.8797746350824389</v>
      </c>
      <c r="AM345" s="165">
        <f t="shared" si="63"/>
        <v>2.2574026691855105</v>
      </c>
      <c r="AN345" s="165">
        <f t="shared" si="63"/>
        <v>2.0832206765611287</v>
      </c>
      <c r="AO345" s="165">
        <f t="shared" si="63"/>
        <v>2.0590196528077449</v>
      </c>
      <c r="AP345" s="165">
        <f t="shared" si="63"/>
        <v>1.4603037093049522</v>
      </c>
      <c r="AQ345" s="165">
        <f t="shared" si="63"/>
        <v>2.4816254155556665</v>
      </c>
    </row>
    <row r="346" spans="2:43" ht="15" customHeight="1"/>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row r="351" spans="2:43" ht="15" customHeight="1">
      <c r="E351" s="25" t="str">
        <f>Input!E351</f>
        <v>Pre-vesting asset life</v>
      </c>
      <c r="G351" s="147" t="s">
        <v>49</v>
      </c>
      <c r="I351" s="227">
        <v>14</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G353" s="190"/>
    </row>
    <row r="354" spans="3:43" ht="15" customHeight="1">
      <c r="E354" s="147" t="s">
        <v>555</v>
      </c>
      <c r="G354" s="190" t="s">
        <v>657</v>
      </c>
      <c r="I354" s="219">
        <v>21.226107922058169</v>
      </c>
    </row>
    <row r="355" spans="3:43" ht="15" customHeight="1">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20.183087579367161</v>
      </c>
      <c r="L363" s="219">
        <v>62.860303300624423</v>
      </c>
      <c r="M363" s="219">
        <v>65.325413233982246</v>
      </c>
      <c r="N363" s="219">
        <v>74.107367371569495</v>
      </c>
      <c r="O363" s="219">
        <v>87.511402634202625</v>
      </c>
      <c r="P363" s="219">
        <v>64.555066379807926</v>
      </c>
      <c r="Q363" s="219">
        <v>69.177147504853849</v>
      </c>
      <c r="R363" s="219">
        <v>63.476580783963897</v>
      </c>
      <c r="S363" s="219">
        <v>67.683746374230324</v>
      </c>
      <c r="T363" s="219">
        <v>71.924301172227231</v>
      </c>
      <c r="U363" s="219">
        <v>73.838101955443136</v>
      </c>
      <c r="V363" s="219">
        <v>83.164874191229316</v>
      </c>
      <c r="W363" s="219">
        <v>76.799917754355931</v>
      </c>
      <c r="X363" s="219">
        <v>81.017381862154707</v>
      </c>
      <c r="Y363" s="219">
        <v>75.901474621372572</v>
      </c>
      <c r="Z363" s="219">
        <v>89.706087205987544</v>
      </c>
      <c r="AA363" s="219">
        <v>93.806657158389697</v>
      </c>
      <c r="AB363" s="219">
        <v>107.6800515073227</v>
      </c>
      <c r="AC363" s="219">
        <v>106.51251260960659</v>
      </c>
      <c r="AD363" s="219">
        <v>103.43878698170741</v>
      </c>
      <c r="AE363" s="219">
        <v>91.920446396498861</v>
      </c>
      <c r="AF363" s="219">
        <v>92.220302499390286</v>
      </c>
      <c r="AG363" s="219">
        <v>132.61217845319305</v>
      </c>
      <c r="AH363" s="419">
        <v>149.08394071047414</v>
      </c>
      <c r="AI363" s="227">
        <v>131.49375571614473</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-0.16</v>
      </c>
      <c r="AK367" s="227">
        <v>-0.16</v>
      </c>
      <c r="AL367" s="227">
        <v>-0.15</v>
      </c>
      <c r="AM367" s="227">
        <v>-0.14000000000000001</v>
      </c>
      <c r="AN367" s="227">
        <v>-0.13</v>
      </c>
      <c r="AO367" s="227">
        <v>-0.12</v>
      </c>
      <c r="AP367" s="227">
        <v>-0.12</v>
      </c>
      <c r="AQ367" s="227">
        <v>-0.12</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row r="374" spans="2:43" ht="15" customHeight="1">
      <c r="E374" s="147"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147"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row r="383" spans="2:43" ht="15" customHeight="1">
      <c r="C383" s="291" t="s">
        <v>206</v>
      </c>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row r="385" spans="5:45"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19.662156873824316</v>
      </c>
      <c r="AI385" s="155"/>
      <c r="AJ385" s="378"/>
      <c r="AK385" s="155"/>
      <c r="AL385" s="155"/>
      <c r="AM385" s="155"/>
      <c r="AN385" s="155"/>
      <c r="AO385" s="155"/>
      <c r="AP385" s="155"/>
      <c r="AQ385" s="155"/>
      <c r="AR385" s="155"/>
      <c r="AS385" s="155"/>
    </row>
    <row r="386" spans="5:45"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7.0805751331178417</v>
      </c>
      <c r="AI386" s="227">
        <v>3.9540150367926481</v>
      </c>
      <c r="AJ386" s="378"/>
      <c r="AK386" s="155"/>
      <c r="AL386" s="155"/>
      <c r="AM386" s="155"/>
      <c r="AN386" s="155"/>
      <c r="AO386" s="155"/>
      <c r="AP386" s="155"/>
      <c r="AQ386" s="155"/>
      <c r="AR386" s="155"/>
      <c r="AS386" s="155"/>
    </row>
    <row r="387" spans="5:45"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c r="AS387" s="155"/>
    </row>
    <row r="388" spans="5:45"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c r="AS388" s="155"/>
    </row>
    <row r="389" spans="5:45"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224.85392600169703</v>
      </c>
      <c r="AI389" s="155"/>
      <c r="AJ389" s="378"/>
      <c r="AK389" s="155"/>
      <c r="AL389" s="155"/>
      <c r="AM389" s="155"/>
      <c r="AN389" s="155"/>
      <c r="AO389" s="155"/>
      <c r="AP389" s="155"/>
      <c r="AQ389" s="155"/>
      <c r="AR389" s="155"/>
      <c r="AS389" s="155"/>
    </row>
    <row r="390" spans="5:45"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13.821131422543754</v>
      </c>
      <c r="AI390" s="365">
        <v>11.791264020902361</v>
      </c>
      <c r="AJ390" s="378"/>
      <c r="AK390" s="155"/>
      <c r="AL390" s="155"/>
      <c r="AM390" s="155"/>
      <c r="AN390" s="155"/>
      <c r="AO390" s="155"/>
      <c r="AP390" s="155"/>
      <c r="AQ390" s="155"/>
      <c r="AR390" s="155"/>
      <c r="AS390" s="155"/>
    </row>
    <row r="391" spans="5:45"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c r="AS391" s="155"/>
    </row>
    <row r="392" spans="5:45"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5"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475.14075708995563</v>
      </c>
      <c r="AI393" s="155"/>
      <c r="AJ393" s="378"/>
      <c r="AK393" s="155"/>
      <c r="AL393" s="155"/>
      <c r="AM393" s="155"/>
      <c r="AN393" s="155"/>
      <c r="AO393" s="155"/>
      <c r="AP393" s="155"/>
      <c r="AQ393" s="155"/>
      <c r="AR393" s="155"/>
      <c r="AS393" s="155"/>
    </row>
    <row r="394" spans="5:45"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104.33444630030738</v>
      </c>
      <c r="AI394" s="227">
        <v>83.850325455228742</v>
      </c>
      <c r="AJ394" s="378"/>
      <c r="AK394" s="155"/>
      <c r="AL394" s="155"/>
      <c r="AM394" s="155"/>
      <c r="AN394" s="155"/>
      <c r="AO394" s="155"/>
      <c r="AP394" s="155"/>
      <c r="AQ394" s="155"/>
      <c r="AR394" s="155"/>
      <c r="AS394" s="155"/>
    </row>
    <row r="395" spans="5:45"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c r="AS395" s="155"/>
    </row>
    <row r="396" spans="5:45"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378"/>
      <c r="AK396" s="155"/>
      <c r="AL396" s="155"/>
      <c r="AM396" s="155"/>
      <c r="AN396" s="155"/>
      <c r="AO396" s="155"/>
      <c r="AP396" s="155"/>
      <c r="AQ396" s="155"/>
      <c r="AR396" s="155"/>
      <c r="AS396" s="155"/>
    </row>
    <row r="397" spans="5:45"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537.11008127383138</v>
      </c>
      <c r="AI397" s="45"/>
      <c r="AJ397" s="147"/>
      <c r="AK397" s="155"/>
      <c r="AL397" s="155"/>
      <c r="AM397" s="155"/>
      <c r="AN397" s="155"/>
      <c r="AO397" s="155"/>
      <c r="AP397" s="155"/>
      <c r="AQ397" s="155"/>
      <c r="AR397" s="155"/>
      <c r="AS397" s="155"/>
    </row>
    <row r="398" spans="5:45"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118.7594306810537</v>
      </c>
      <c r="AI398" s="373">
        <v>100.51352209265313</v>
      </c>
      <c r="AJ398" s="147"/>
      <c r="AK398" s="155"/>
      <c r="AL398" s="155"/>
      <c r="AM398" s="155"/>
      <c r="AN398" s="155"/>
      <c r="AO398" s="155"/>
      <c r="AP398" s="155"/>
      <c r="AQ398" s="155"/>
      <c r="AR398" s="155"/>
      <c r="AS398" s="155"/>
    </row>
    <row r="399" spans="5:45"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c r="AS399" s="155"/>
    </row>
    <row r="400" spans="5:45"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c r="AS400" s="155"/>
    </row>
    <row r="401" spans="3:64" s="190" customFormat="1" ht="15" customHeight="1">
      <c r="E401" s="155" t="s">
        <v>112</v>
      </c>
      <c r="G401" s="190" t="s">
        <v>25</v>
      </c>
      <c r="AH401" s="227">
        <v>0</v>
      </c>
      <c r="AJ401" s="147"/>
      <c r="BL401" s="115"/>
    </row>
    <row r="402" spans="3:64" ht="15" customHeight="1"/>
    <row r="403" spans="3:64"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64"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64"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64" s="155" customFormat="1"/>
    <row r="407" spans="3:64" s="155" customFormat="1">
      <c r="E407" s="93" t="str">
        <f>Input!E407</f>
        <v>Load Related</v>
      </c>
      <c r="G407" s="155" t="s">
        <v>47</v>
      </c>
      <c r="AJ407" s="289">
        <v>0</v>
      </c>
      <c r="AK407" s="289">
        <v>0</v>
      </c>
      <c r="AL407" s="289">
        <v>0</v>
      </c>
      <c r="AM407" s="289">
        <v>0</v>
      </c>
      <c r="AN407" s="289">
        <v>0</v>
      </c>
      <c r="AO407" s="289">
        <v>0</v>
      </c>
      <c r="AP407" s="289">
        <v>0</v>
      </c>
      <c r="AQ407" s="289">
        <v>0</v>
      </c>
    </row>
    <row r="408" spans="3:64"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64" s="155" customFormat="1">
      <c r="E409" s="93" t="str">
        <f>Input!E409</f>
        <v>Non-Load Related capex - other</v>
      </c>
      <c r="G409" s="155" t="s">
        <v>47</v>
      </c>
      <c r="AJ409" s="289">
        <v>0.91458247917471347</v>
      </c>
      <c r="AK409" s="289">
        <v>0.91458247917471347</v>
      </c>
      <c r="AL409" s="289">
        <v>0.91458247917471347</v>
      </c>
      <c r="AM409" s="289">
        <v>0.91458247917471347</v>
      </c>
      <c r="AN409" s="289">
        <v>0.91458247917471347</v>
      </c>
      <c r="AO409" s="289">
        <v>0.91458247917471347</v>
      </c>
      <c r="AP409" s="289">
        <v>0.91458247917471347</v>
      </c>
      <c r="AQ409" s="289">
        <v>0.91458247917471347</v>
      </c>
    </row>
    <row r="410" spans="3:64" s="155" customFormat="1">
      <c r="E410" s="155" t="str">
        <f>Input!E410</f>
        <v>Faults</v>
      </c>
      <c r="G410" s="155" t="s">
        <v>47</v>
      </c>
      <c r="AJ410" s="289">
        <v>0</v>
      </c>
      <c r="AK410" s="289">
        <v>0</v>
      </c>
      <c r="AL410" s="289">
        <v>0</v>
      </c>
      <c r="AM410" s="289">
        <v>0</v>
      </c>
      <c r="AN410" s="289">
        <v>0</v>
      </c>
      <c r="AO410" s="289">
        <v>0</v>
      </c>
      <c r="AP410" s="289">
        <v>0</v>
      </c>
      <c r="AQ410" s="289">
        <v>0</v>
      </c>
    </row>
    <row r="411" spans="3:64" s="155" customFormat="1">
      <c r="E411" s="161" t="s">
        <v>719</v>
      </c>
      <c r="G411" s="155" t="s">
        <v>47</v>
      </c>
      <c r="AJ411" s="289">
        <v>0</v>
      </c>
      <c r="AK411" s="289">
        <v>0</v>
      </c>
      <c r="AL411" s="289">
        <v>0</v>
      </c>
      <c r="AM411" s="289">
        <v>0</v>
      </c>
      <c r="AN411" s="289">
        <v>0</v>
      </c>
      <c r="AO411" s="289">
        <v>0</v>
      </c>
      <c r="AP411" s="289">
        <v>0</v>
      </c>
      <c r="AQ411" s="289">
        <v>0</v>
      </c>
    </row>
    <row r="412" spans="3:64" s="155" customFormat="1">
      <c r="E412" s="161" t="str">
        <f>Input!E412</f>
        <v>100% ‘revenue pool’ expenditure</v>
      </c>
      <c r="G412" s="155" t="s">
        <v>47</v>
      </c>
      <c r="AJ412" s="289">
        <v>0</v>
      </c>
      <c r="AK412" s="289">
        <v>0</v>
      </c>
      <c r="AL412" s="289">
        <v>0</v>
      </c>
      <c r="AM412" s="289">
        <v>0</v>
      </c>
      <c r="AN412" s="289">
        <v>0</v>
      </c>
      <c r="AO412" s="289">
        <v>0</v>
      </c>
      <c r="AP412" s="289">
        <v>0</v>
      </c>
      <c r="AQ412" s="289">
        <v>0</v>
      </c>
    </row>
    <row r="413" spans="3:64" s="155" customFormat="1">
      <c r="E413" s="155" t="str">
        <f>Input!E413</f>
        <v>Controllable Opex</v>
      </c>
      <c r="G413" s="155" t="s">
        <v>47</v>
      </c>
      <c r="AJ413" s="289">
        <v>1.0603328353945068E-2</v>
      </c>
      <c r="AK413" s="289">
        <v>1.0603328353945068E-2</v>
      </c>
      <c r="AL413" s="289">
        <v>1.0603328353945068E-2</v>
      </c>
      <c r="AM413" s="289">
        <v>1.0603328353945068E-2</v>
      </c>
      <c r="AN413" s="289">
        <v>1.0603328353945068E-2</v>
      </c>
      <c r="AO413" s="289">
        <v>1.0603328353945068E-2</v>
      </c>
      <c r="AP413" s="289">
        <v>1.0603328353945068E-2</v>
      </c>
      <c r="AQ413" s="289">
        <v>1.0603328353945068E-2</v>
      </c>
    </row>
    <row r="414" spans="3:64" s="155" customFormat="1">
      <c r="AJ414" s="230"/>
      <c r="AK414" s="230"/>
      <c r="AL414" s="230"/>
      <c r="AM414" s="230"/>
      <c r="AN414" s="230"/>
      <c r="AO414" s="230"/>
      <c r="AP414" s="230"/>
      <c r="AQ414" s="230"/>
    </row>
    <row r="415" spans="3:64"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196"/>
      <c r="AL415" s="196"/>
      <c r="AM415" s="196"/>
      <c r="AN415" s="196"/>
      <c r="AO415" s="196"/>
      <c r="AP415" s="196"/>
      <c r="AQ415" s="196"/>
      <c r="AR415" s="196"/>
    </row>
    <row r="416" spans="3:64" s="155" customFormat="1">
      <c r="AJ416" s="232"/>
      <c r="AK416" s="232"/>
      <c r="AL416" s="232"/>
      <c r="AM416" s="232"/>
      <c r="AN416" s="232"/>
      <c r="AO416" s="232"/>
      <c r="AP416" s="232"/>
      <c r="AQ416" s="232"/>
    </row>
    <row r="417" spans="4:44" s="155" customFormat="1">
      <c r="E417" s="93" t="str">
        <f>Input!E417</f>
        <v>Load Related</v>
      </c>
      <c r="G417" s="155" t="s">
        <v>47</v>
      </c>
      <c r="AJ417" s="289">
        <v>1</v>
      </c>
      <c r="AK417" s="289">
        <v>1</v>
      </c>
      <c r="AL417" s="289">
        <v>1</v>
      </c>
      <c r="AM417" s="289">
        <v>1</v>
      </c>
      <c r="AN417" s="289">
        <v>1</v>
      </c>
      <c r="AO417" s="289">
        <v>1</v>
      </c>
      <c r="AP417" s="289">
        <v>1</v>
      </c>
      <c r="AQ417" s="289">
        <v>1</v>
      </c>
    </row>
    <row r="418" spans="4:44" s="155" customFormat="1">
      <c r="E418" s="93" t="str">
        <f>Input!E418</f>
        <v>Non-load related capex - asset replacement</v>
      </c>
      <c r="G418" s="155" t="s">
        <v>47</v>
      </c>
      <c r="AJ418" s="289">
        <v>6.7436377406305315E-2</v>
      </c>
      <c r="AK418" s="289">
        <v>6.7436377406305315E-2</v>
      </c>
      <c r="AL418" s="289">
        <v>6.7436377406305315E-2</v>
      </c>
      <c r="AM418" s="289">
        <v>6.7436377406305315E-2</v>
      </c>
      <c r="AN418" s="289">
        <v>6.7436377406305315E-2</v>
      </c>
      <c r="AO418" s="289">
        <v>6.7436377406305315E-2</v>
      </c>
      <c r="AP418" s="289">
        <v>6.7436377406305315E-2</v>
      </c>
      <c r="AQ418" s="289">
        <v>6.7436377406305315E-2</v>
      </c>
    </row>
    <row r="419" spans="4:44" s="155" customFormat="1">
      <c r="E419" s="93" t="str">
        <f>Input!E419</f>
        <v>Non-Load Related capex - other</v>
      </c>
      <c r="G419" s="155" t="s">
        <v>47</v>
      </c>
      <c r="AJ419" s="289">
        <v>3.0304903441661556E-2</v>
      </c>
      <c r="AK419" s="289">
        <v>3.0304903441661556E-2</v>
      </c>
      <c r="AL419" s="289">
        <v>3.0304903441661556E-2</v>
      </c>
      <c r="AM419" s="289">
        <v>3.0304903441661556E-2</v>
      </c>
      <c r="AN419" s="289">
        <v>3.0304903441661556E-2</v>
      </c>
      <c r="AO419" s="289">
        <v>3.0304903441661556E-2</v>
      </c>
      <c r="AP419" s="289">
        <v>3.0304903441661556E-2</v>
      </c>
      <c r="AQ419" s="289">
        <v>3.0304903441661556E-2</v>
      </c>
    </row>
    <row r="420" spans="4:44" s="155" customFormat="1">
      <c r="E420" s="155" t="str">
        <f>Input!E420</f>
        <v>Faults</v>
      </c>
      <c r="G420" s="155" t="s">
        <v>47</v>
      </c>
      <c r="AJ420" s="289">
        <v>0</v>
      </c>
      <c r="AK420" s="289">
        <v>0</v>
      </c>
      <c r="AL420" s="289">
        <v>0</v>
      </c>
      <c r="AM420" s="289">
        <v>0</v>
      </c>
      <c r="AN420" s="289">
        <v>0</v>
      </c>
      <c r="AO420" s="289">
        <v>0</v>
      </c>
      <c r="AP420" s="289">
        <v>0</v>
      </c>
      <c r="AQ420" s="289">
        <v>0</v>
      </c>
    </row>
    <row r="421" spans="4:44" s="155" customFormat="1">
      <c r="E421" s="161" t="s">
        <v>719</v>
      </c>
      <c r="G421" s="155" t="s">
        <v>47</v>
      </c>
      <c r="AJ421" s="289">
        <v>0</v>
      </c>
      <c r="AK421" s="289">
        <v>0</v>
      </c>
      <c r="AL421" s="289">
        <v>0</v>
      </c>
      <c r="AM421" s="289">
        <v>0</v>
      </c>
      <c r="AN421" s="289">
        <v>0</v>
      </c>
      <c r="AO421" s="289">
        <v>0</v>
      </c>
      <c r="AP421" s="289">
        <v>0</v>
      </c>
      <c r="AQ421" s="289">
        <v>0</v>
      </c>
    </row>
    <row r="422" spans="4:44"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4" s="155" customFormat="1">
      <c r="E423" s="155" t="str">
        <f>Input!E423</f>
        <v>Controllable Opex</v>
      </c>
      <c r="G423" s="155" t="s">
        <v>47</v>
      </c>
      <c r="AJ423" s="289">
        <v>6.9779500474621434E-2</v>
      </c>
      <c r="AK423" s="289">
        <v>6.9779500474621434E-2</v>
      </c>
      <c r="AL423" s="289">
        <v>6.9779500474621434E-2</v>
      </c>
      <c r="AM423" s="289">
        <v>6.9779500474621434E-2</v>
      </c>
      <c r="AN423" s="289">
        <v>6.9779500474621434E-2</v>
      </c>
      <c r="AO423" s="289">
        <v>6.9779500474621434E-2</v>
      </c>
      <c r="AP423" s="289">
        <v>6.9779500474621434E-2</v>
      </c>
      <c r="AQ423" s="289">
        <v>6.9779500474621434E-2</v>
      </c>
    </row>
    <row r="424" spans="4:44" s="155" customFormat="1">
      <c r="AJ424" s="230"/>
      <c r="AK424" s="230"/>
      <c r="AL424" s="230"/>
      <c r="AM424" s="230"/>
      <c r="AN424" s="230"/>
      <c r="AO424" s="230"/>
      <c r="AP424" s="230"/>
      <c r="AQ424" s="230"/>
    </row>
    <row r="425" spans="4:44"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196"/>
      <c r="AL425" s="196"/>
      <c r="AM425" s="196"/>
      <c r="AN425" s="196"/>
      <c r="AO425" s="196"/>
      <c r="AP425" s="196"/>
      <c r="AQ425" s="196"/>
      <c r="AR425" s="196"/>
    </row>
    <row r="426" spans="4:44" s="155" customFormat="1">
      <c r="AJ426" s="232"/>
      <c r="AK426" s="232"/>
      <c r="AL426" s="232"/>
      <c r="AM426" s="232"/>
      <c r="AN426" s="232"/>
      <c r="AO426" s="232"/>
      <c r="AP426" s="232"/>
      <c r="AQ426" s="232"/>
    </row>
    <row r="427" spans="4:44" s="155" customFormat="1">
      <c r="E427" s="93" t="str">
        <f>Input!E427</f>
        <v>Load Related</v>
      </c>
      <c r="G427" s="155" t="s">
        <v>47</v>
      </c>
      <c r="AJ427" s="289">
        <v>0</v>
      </c>
      <c r="AK427" s="289">
        <v>0</v>
      </c>
      <c r="AL427" s="289">
        <v>0</v>
      </c>
      <c r="AM427" s="289">
        <v>0</v>
      </c>
      <c r="AN427" s="289">
        <v>0</v>
      </c>
      <c r="AO427" s="289">
        <v>0</v>
      </c>
      <c r="AP427" s="289">
        <v>0</v>
      </c>
      <c r="AQ427" s="289">
        <v>0</v>
      </c>
    </row>
    <row r="428" spans="4:44" s="155" customFormat="1">
      <c r="E428" s="93" t="str">
        <f>Input!E428</f>
        <v>Non-load related capex - asset replacement</v>
      </c>
      <c r="G428" s="155" t="s">
        <v>47</v>
      </c>
      <c r="AJ428" s="289">
        <v>0.90614116237524456</v>
      </c>
      <c r="AK428" s="289">
        <v>0.90614116237524456</v>
      </c>
      <c r="AL428" s="289">
        <v>0.90614116237524456</v>
      </c>
      <c r="AM428" s="289">
        <v>0.90614116237524456</v>
      </c>
      <c r="AN428" s="289">
        <v>0.90614116237524456</v>
      </c>
      <c r="AO428" s="289">
        <v>0.90614116237524456</v>
      </c>
      <c r="AP428" s="289">
        <v>0.90614116237524456</v>
      </c>
      <c r="AQ428" s="289">
        <v>0.90614116237524456</v>
      </c>
    </row>
    <row r="429" spans="4:44" s="155" customFormat="1">
      <c r="E429" s="93" t="str">
        <f>Input!E429</f>
        <v>Non-Load Related capex - other</v>
      </c>
      <c r="G429" s="155" t="s">
        <v>47</v>
      </c>
      <c r="AJ429" s="289">
        <v>5.5112617383624898E-2</v>
      </c>
      <c r="AK429" s="289">
        <v>5.5112617383624898E-2</v>
      </c>
      <c r="AL429" s="289">
        <v>5.5112617383624898E-2</v>
      </c>
      <c r="AM429" s="289">
        <v>5.5112617383624898E-2</v>
      </c>
      <c r="AN429" s="289">
        <v>5.5112617383624898E-2</v>
      </c>
      <c r="AO429" s="289">
        <v>5.5112617383624898E-2</v>
      </c>
      <c r="AP429" s="289">
        <v>5.5112617383624898E-2</v>
      </c>
      <c r="AQ429" s="289">
        <v>5.5112617383624898E-2</v>
      </c>
    </row>
    <row r="430" spans="4:44" s="155" customFormat="1">
      <c r="E430" s="155" t="str">
        <f>Input!E430</f>
        <v>Faults</v>
      </c>
      <c r="G430" s="155" t="s">
        <v>47</v>
      </c>
      <c r="AJ430" s="289">
        <v>0.84000355468028609</v>
      </c>
      <c r="AK430" s="289">
        <v>0.84000355468028609</v>
      </c>
      <c r="AL430" s="289">
        <v>0.84000355468028609</v>
      </c>
      <c r="AM430" s="289">
        <v>0.84000355468028609</v>
      </c>
      <c r="AN430" s="289">
        <v>0.84000355468028609</v>
      </c>
      <c r="AO430" s="289">
        <v>0.84000355468028609</v>
      </c>
      <c r="AP430" s="289">
        <v>0.84000355468028609</v>
      </c>
      <c r="AQ430" s="289">
        <v>0.84000355468028609</v>
      </c>
    </row>
    <row r="431" spans="4:44" s="155" customFormat="1">
      <c r="E431" s="161" t="s">
        <v>719</v>
      </c>
      <c r="G431" s="155" t="s">
        <v>47</v>
      </c>
      <c r="AJ431" s="289">
        <v>9.9336612593950602E-2</v>
      </c>
      <c r="AK431" s="289">
        <v>9.9336612593950602E-2</v>
      </c>
      <c r="AL431" s="289">
        <v>9.9336612593950602E-2</v>
      </c>
      <c r="AM431" s="289">
        <v>9.9336612593950602E-2</v>
      </c>
      <c r="AN431" s="289">
        <v>9.9336612593950602E-2</v>
      </c>
      <c r="AO431" s="289">
        <v>9.9336612593950602E-2</v>
      </c>
      <c r="AP431" s="289">
        <v>9.9336612593950602E-2</v>
      </c>
      <c r="AQ431" s="289">
        <v>9.9336612593950602E-2</v>
      </c>
    </row>
    <row r="432" spans="4:44"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4" s="155" customFormat="1">
      <c r="E433" s="155" t="str">
        <f>Input!E433</f>
        <v>Controllable Opex</v>
      </c>
      <c r="G433" s="155" t="s">
        <v>47</v>
      </c>
      <c r="AJ433" s="289">
        <v>0.40700450604802707</v>
      </c>
      <c r="AK433" s="289">
        <v>0.40700450604802707</v>
      </c>
      <c r="AL433" s="289">
        <v>0.40700450604802707</v>
      </c>
      <c r="AM433" s="289">
        <v>0.40700450604802707</v>
      </c>
      <c r="AN433" s="289">
        <v>0.40700450604802707</v>
      </c>
      <c r="AO433" s="289">
        <v>0.40700450604802707</v>
      </c>
      <c r="AP433" s="289">
        <v>0.40700450604802707</v>
      </c>
      <c r="AQ433" s="289">
        <v>0.40700450604802707</v>
      </c>
    </row>
    <row r="434" spans="4:44" s="155" customFormat="1">
      <c r="AJ434" s="230"/>
      <c r="AK434" s="230"/>
      <c r="AL434" s="230"/>
      <c r="AM434" s="230"/>
      <c r="AN434" s="230"/>
      <c r="AO434" s="230"/>
      <c r="AP434" s="230"/>
      <c r="AQ434" s="230"/>
    </row>
    <row r="435" spans="4:44"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196"/>
      <c r="AL435" s="196"/>
      <c r="AM435" s="196"/>
      <c r="AN435" s="196"/>
      <c r="AO435" s="196"/>
      <c r="AP435" s="196"/>
      <c r="AQ435" s="196"/>
      <c r="AR435" s="196"/>
    </row>
    <row r="436" spans="4:44" s="155" customFormat="1">
      <c r="AJ436" s="232"/>
      <c r="AK436" s="232"/>
      <c r="AL436" s="232"/>
      <c r="AM436" s="232"/>
      <c r="AN436" s="232"/>
      <c r="AO436" s="232"/>
      <c r="AP436" s="232"/>
      <c r="AQ436" s="232"/>
    </row>
    <row r="437" spans="4:44" s="155" customFormat="1">
      <c r="E437" s="93" t="str">
        <f>Input!E437</f>
        <v>Load Related</v>
      </c>
      <c r="G437" s="155" t="s">
        <v>47</v>
      </c>
      <c r="AJ437" s="289">
        <v>0</v>
      </c>
      <c r="AK437" s="289">
        <v>0</v>
      </c>
      <c r="AL437" s="289">
        <v>0</v>
      </c>
      <c r="AM437" s="289">
        <v>0</v>
      </c>
      <c r="AN437" s="289">
        <v>0</v>
      </c>
      <c r="AO437" s="289">
        <v>0</v>
      </c>
      <c r="AP437" s="289">
        <v>0</v>
      </c>
      <c r="AQ437" s="289">
        <v>0</v>
      </c>
    </row>
    <row r="438" spans="4:44"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4"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4" s="155" customFormat="1">
      <c r="E440" s="161" t="str">
        <f>Input!E440</f>
        <v>Faults</v>
      </c>
      <c r="G440" s="155" t="s">
        <v>47</v>
      </c>
      <c r="AJ440" s="289">
        <v>0.15999644531971394</v>
      </c>
      <c r="AK440" s="289">
        <v>0.15999644531971394</v>
      </c>
      <c r="AL440" s="289">
        <v>0.15999644531971394</v>
      </c>
      <c r="AM440" s="289">
        <v>0.15999644531971394</v>
      </c>
      <c r="AN440" s="289">
        <v>0.15999644531971394</v>
      </c>
      <c r="AO440" s="289">
        <v>0.15999644531971394</v>
      </c>
      <c r="AP440" s="289">
        <v>0.15999644531971394</v>
      </c>
      <c r="AQ440" s="289">
        <v>0.15999644531971394</v>
      </c>
    </row>
    <row r="441" spans="4:44" s="155" customFormat="1">
      <c r="E441" s="161" t="s">
        <v>719</v>
      </c>
      <c r="G441" s="155" t="s">
        <v>47</v>
      </c>
      <c r="AJ441" s="289">
        <v>0.90066338740604934</v>
      </c>
      <c r="AK441" s="289">
        <v>0.90066338740604934</v>
      </c>
      <c r="AL441" s="289">
        <v>0.90066338740604934</v>
      </c>
      <c r="AM441" s="289">
        <v>0.90066338740604934</v>
      </c>
      <c r="AN441" s="289">
        <v>0.90066338740604934</v>
      </c>
      <c r="AO441" s="289">
        <v>0.90066338740604934</v>
      </c>
      <c r="AP441" s="289">
        <v>0.90066338740604934</v>
      </c>
      <c r="AQ441" s="289">
        <v>0.90066338740604934</v>
      </c>
    </row>
    <row r="442" spans="4:44" s="155" customFormat="1">
      <c r="E442" s="161" t="str">
        <f>Input!E442</f>
        <v>100% ‘revenue pool’ expenditure</v>
      </c>
      <c r="G442" s="155" t="s">
        <v>47</v>
      </c>
      <c r="AJ442" s="289">
        <v>1</v>
      </c>
      <c r="AK442" s="289">
        <v>1</v>
      </c>
      <c r="AL442" s="289">
        <v>1</v>
      </c>
      <c r="AM442" s="289">
        <v>1</v>
      </c>
      <c r="AN442" s="289">
        <v>1</v>
      </c>
      <c r="AO442" s="289">
        <v>1</v>
      </c>
      <c r="AP442" s="289">
        <v>1</v>
      </c>
      <c r="AQ442" s="289">
        <v>1</v>
      </c>
    </row>
    <row r="443" spans="4:44" s="155" customFormat="1">
      <c r="E443" s="155" t="str">
        <f>Input!E443</f>
        <v>Controllable Opex</v>
      </c>
      <c r="G443" s="155" t="s">
        <v>47</v>
      </c>
      <c r="AJ443" s="289">
        <v>0.50603719472883557</v>
      </c>
      <c r="AK443" s="289">
        <v>0.50603719472883557</v>
      </c>
      <c r="AL443" s="289">
        <v>0.50603719472883557</v>
      </c>
      <c r="AM443" s="289">
        <v>0.50603719472883557</v>
      </c>
      <c r="AN443" s="289">
        <v>0.50603719472883557</v>
      </c>
      <c r="AO443" s="289">
        <v>0.50603719472883557</v>
      </c>
      <c r="AP443" s="289">
        <v>0.50603719472883557</v>
      </c>
      <c r="AQ443" s="289">
        <v>0.50603719472883557</v>
      </c>
    </row>
    <row r="444" spans="4:44" s="155" customFormat="1">
      <c r="AJ444" s="230"/>
      <c r="AK444" s="230"/>
      <c r="AL444" s="230"/>
      <c r="AM444" s="230"/>
      <c r="AN444" s="230"/>
      <c r="AO444" s="230"/>
      <c r="AP444" s="230"/>
      <c r="AQ444" s="230"/>
    </row>
    <row r="445" spans="4:44"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196"/>
      <c r="AL445" s="196"/>
      <c r="AM445" s="196"/>
      <c r="AN445" s="196"/>
      <c r="AO445" s="196"/>
      <c r="AP445" s="196"/>
      <c r="AQ445" s="196"/>
    </row>
    <row r="446" spans="4:44" s="155" customFormat="1">
      <c r="AJ446" s="232"/>
      <c r="AK446" s="232"/>
      <c r="AL446" s="232"/>
      <c r="AM446" s="232"/>
      <c r="AN446" s="232"/>
      <c r="AO446" s="232"/>
      <c r="AP446" s="232"/>
      <c r="AQ446" s="232"/>
    </row>
    <row r="447" spans="4:44" s="155" customFormat="1">
      <c r="E447" s="93" t="str">
        <f>Input!E447</f>
        <v>Load Related</v>
      </c>
      <c r="G447" s="155" t="s">
        <v>47</v>
      </c>
      <c r="AJ447" s="289">
        <v>0</v>
      </c>
      <c r="AK447" s="289">
        <v>0</v>
      </c>
      <c r="AL447" s="289">
        <v>0</v>
      </c>
      <c r="AM447" s="289">
        <v>0</v>
      </c>
      <c r="AN447" s="289">
        <v>0</v>
      </c>
      <c r="AO447" s="289">
        <v>0</v>
      </c>
      <c r="AP447" s="289">
        <v>0</v>
      </c>
      <c r="AQ447" s="289">
        <v>0</v>
      </c>
    </row>
    <row r="448" spans="4:44" s="155" customFormat="1">
      <c r="E448" s="93" t="str">
        <f>Input!E448</f>
        <v>Non-load related capex - asset replacement</v>
      </c>
      <c r="G448" s="155" t="s">
        <v>47</v>
      </c>
      <c r="AJ448" s="289">
        <v>2.6422460218450166E-2</v>
      </c>
      <c r="AK448" s="289">
        <v>2.6422460218450166E-2</v>
      </c>
      <c r="AL448" s="289">
        <v>2.6422460218450166E-2</v>
      </c>
      <c r="AM448" s="289">
        <v>2.6422460218450166E-2</v>
      </c>
      <c r="AN448" s="289">
        <v>2.6422460218450166E-2</v>
      </c>
      <c r="AO448" s="289">
        <v>2.6422460218450166E-2</v>
      </c>
      <c r="AP448" s="289">
        <v>2.6422460218450166E-2</v>
      </c>
      <c r="AQ448" s="289">
        <v>2.6422460218450166E-2</v>
      </c>
    </row>
    <row r="449" spans="4:45" s="155" customFormat="1">
      <c r="E449" s="93" t="str">
        <f>Input!E449</f>
        <v>Non-Load Related capex - other</v>
      </c>
      <c r="G449" s="155" t="s">
        <v>47</v>
      </c>
      <c r="AG449" s="24"/>
      <c r="AJ449" s="289">
        <v>0</v>
      </c>
      <c r="AK449" s="289">
        <v>0</v>
      </c>
      <c r="AL449" s="289">
        <v>0</v>
      </c>
      <c r="AM449" s="289">
        <v>0</v>
      </c>
      <c r="AN449" s="289">
        <v>0</v>
      </c>
      <c r="AO449" s="289">
        <v>0</v>
      </c>
      <c r="AP449" s="289">
        <v>0</v>
      </c>
      <c r="AQ449" s="289">
        <v>0</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161"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6.5754703945708594E-3</v>
      </c>
      <c r="AK453" s="289">
        <v>6.5754703945708594E-3</v>
      </c>
      <c r="AL453" s="289">
        <v>6.5754703945708594E-3</v>
      </c>
      <c r="AM453" s="289">
        <v>6.5754703945708594E-3</v>
      </c>
      <c r="AN453" s="289">
        <v>6.5754703945708594E-3</v>
      </c>
      <c r="AO453" s="289">
        <v>6.5754703945708594E-3</v>
      </c>
      <c r="AP453" s="289">
        <v>6.5754703945708594E-3</v>
      </c>
      <c r="AQ453" s="289">
        <v>6.5754703945708594E-3</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161"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0.82201054329966705</v>
      </c>
      <c r="AK468" s="219">
        <v>0.81446922035064895</v>
      </c>
      <c r="AL468" s="219">
        <v>0.81445500215061495</v>
      </c>
      <c r="AM468" s="219">
        <v>0.81444370649823983</v>
      </c>
      <c r="AN468" s="219">
        <v>0.81443553933739965</v>
      </c>
      <c r="AO468" s="219">
        <v>0.81442248732207645</v>
      </c>
      <c r="AP468" s="219">
        <v>0.81443341213275933</v>
      </c>
      <c r="AQ468" s="219">
        <v>0.81444320611766596</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-2.5698608808987595</v>
      </c>
      <c r="AK472" s="227">
        <v>-4.4725884476256388</v>
      </c>
      <c r="AL472" s="227">
        <v>-6.0462994418770952</v>
      </c>
      <c r="AM472" s="227">
        <v>-7.0807367970898261</v>
      </c>
      <c r="AN472" s="227">
        <v>-7.1374671596989847</v>
      </c>
      <c r="AO472" s="227">
        <v>5.2837173310467458</v>
      </c>
      <c r="AP472" s="227">
        <v>9.7587575172613299</v>
      </c>
      <c r="AQ472" s="227">
        <v>12.35429320336101</v>
      </c>
      <c r="AS472" s="155"/>
    </row>
    <row r="473" spans="2:45" ht="15" customHeight="1">
      <c r="E473" s="155" t="str">
        <f>Input!E473</f>
        <v>Time Value of Money Profile Adjustment</v>
      </c>
      <c r="G473" s="147" t="s">
        <v>657</v>
      </c>
      <c r="AJ473" s="227">
        <v>6.0405497825802852E-2</v>
      </c>
      <c r="AK473" s="227">
        <v>0.22603034436239955</v>
      </c>
      <c r="AL473" s="227">
        <v>0.47359950056869304</v>
      </c>
      <c r="AM473" s="227">
        <v>0.78278039673532951</v>
      </c>
      <c r="AN473" s="227">
        <v>1.1179402775308482</v>
      </c>
      <c r="AO473" s="227">
        <v>1.1627535735499666</v>
      </c>
      <c r="AP473" s="227">
        <v>0.81017578833318005</v>
      </c>
      <c r="AQ473" s="227">
        <v>0.29055674961082967</v>
      </c>
      <c r="AS473" s="155"/>
    </row>
    <row r="474" spans="2:45" ht="15" customHeight="1">
      <c r="E474" s="155" t="str">
        <f>Input!E474</f>
        <v>Time Value of Money Profile Increment</v>
      </c>
      <c r="G474" s="147" t="s">
        <v>657</v>
      </c>
      <c r="AJ474" s="147">
        <v>0</v>
      </c>
      <c r="AK474" s="147">
        <v>0</v>
      </c>
      <c r="AL474" s="147">
        <v>0</v>
      </c>
      <c r="AM474" s="147">
        <v>0</v>
      </c>
      <c r="AN474" s="147">
        <v>0</v>
      </c>
      <c r="AO474" s="147">
        <v>0</v>
      </c>
      <c r="AP474" s="147">
        <v>0</v>
      </c>
      <c r="AQ474" s="14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7">AK53</f>
        <v>3.7574999999999997E-2</v>
      </c>
      <c r="AL479" s="163">
        <f t="shared" si="67"/>
        <v>3.7574999999999997E-2</v>
      </c>
      <c r="AM479" s="163">
        <f t="shared" si="67"/>
        <v>3.7574999999999997E-2</v>
      </c>
      <c r="AN479" s="163">
        <f t="shared" si="67"/>
        <v>3.7574999999999997E-2</v>
      </c>
      <c r="AO479" s="163">
        <f t="shared" si="67"/>
        <v>3.7574999999999997E-2</v>
      </c>
      <c r="AP479" s="163">
        <f t="shared" si="67"/>
        <v>3.7574999999999997E-2</v>
      </c>
      <c r="AQ479" s="163">
        <f t="shared" si="67"/>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-3.2151961583927005</v>
      </c>
      <c r="AL482" s="219">
        <v>-8.8156946704256143</v>
      </c>
      <c r="AM482" s="219">
        <v>-16.392532363288751</v>
      </c>
      <c r="AN482" s="219">
        <v>-25.272431244690239</v>
      </c>
      <c r="AO482" s="219">
        <v>-34.232046363249111</v>
      </c>
      <c r="AP482" s="219">
        <v>-27.657699231736274</v>
      </c>
      <c r="AQ482" s="219">
        <v>-15.465425669280165</v>
      </c>
    </row>
    <row r="483" spans="2:43" ht="15" customHeight="1">
      <c r="E483" s="155" t="str">
        <f>Input!E483</f>
        <v>Profiling Impact on Actual Revenues</v>
      </c>
      <c r="AJ483" s="219">
        <v>-3.2151961583927005</v>
      </c>
      <c r="AK483" s="219">
        <v>-5.6004985120329138</v>
      </c>
      <c r="AL483" s="219">
        <v>-7.5768376928631369</v>
      </c>
      <c r="AM483" s="219">
        <v>-8.8798988814014876</v>
      </c>
      <c r="AN483" s="219">
        <v>-8.9596151185588724</v>
      </c>
      <c r="AO483" s="219">
        <v>6.5743471315128374</v>
      </c>
      <c r="AP483" s="219">
        <v>12.192273562456108</v>
      </c>
      <c r="AQ483" s="219">
        <v>15.465430364514106</v>
      </c>
    </row>
    <row r="484" spans="2:43" ht="15" customHeight="1">
      <c r="E484" s="155" t="str">
        <f>Input!E484</f>
        <v>Closing balance</v>
      </c>
      <c r="AJ484" s="219">
        <v>-3.2151961583927005</v>
      </c>
      <c r="AK484" s="219">
        <v>-8.8156946704256143</v>
      </c>
      <c r="AL484" s="219">
        <v>-16.392532363288751</v>
      </c>
      <c r="AM484" s="219">
        <v>-25.272431244690239</v>
      </c>
      <c r="AN484" s="219">
        <v>-34.232046363249111</v>
      </c>
      <c r="AO484" s="219">
        <v>-27.657699231736274</v>
      </c>
      <c r="AP484" s="219">
        <v>-15.465425669280165</v>
      </c>
      <c r="AQ484" s="219">
        <v>4.6952339403105725E-6</v>
      </c>
    </row>
    <row r="485" spans="2:43" ht="15" customHeight="1">
      <c r="E485" s="155"/>
    </row>
    <row r="486" spans="2:43" ht="15" customHeight="1">
      <c r="E486" s="155" t="str">
        <f>Input!E486</f>
        <v>Time Value of Money Increment</v>
      </c>
      <c r="AJ486" s="147">
        <f>AVERAGE(AJ482,AJ484)*(AJ479-AJ478)</f>
        <v>0</v>
      </c>
      <c r="AK486" s="147">
        <f t="shared" ref="AK486:AQ486" si="68">AVERAGE(AK482,AK484)*(AK479-AK478)</f>
        <v>0</v>
      </c>
      <c r="AL486" s="147">
        <f t="shared" si="68"/>
        <v>0</v>
      </c>
      <c r="AM486" s="147">
        <f t="shared" si="68"/>
        <v>0</v>
      </c>
      <c r="AN486" s="147">
        <f t="shared" si="68"/>
        <v>0</v>
      </c>
      <c r="AO486" s="147">
        <f t="shared" si="68"/>
        <v>0</v>
      </c>
      <c r="AP486" s="147">
        <f t="shared" si="68"/>
        <v>0</v>
      </c>
      <c r="AQ486" s="147">
        <f t="shared" si="68"/>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180.16609587828307</v>
      </c>
      <c r="AK490" s="227">
        <v>173.7987512934387</v>
      </c>
      <c r="AL490" s="227">
        <v>161.11906161460033</v>
      </c>
      <c r="AM490" s="227">
        <v>159.12332633168919</v>
      </c>
      <c r="AN490" s="227">
        <v>155.41926049357281</v>
      </c>
      <c r="AO490" s="227">
        <v>142.04256040817</v>
      </c>
      <c r="AP490" s="227">
        <v>131.18282242243001</v>
      </c>
      <c r="AQ490" s="227">
        <v>127.37031107566546</v>
      </c>
    </row>
    <row r="491" spans="2:43" s="378" customFormat="1" ht="15" customHeight="1">
      <c r="E491" s="155" t="str">
        <f>Input!E491</f>
        <v>DNO Finance Totex Adjustments (DRS8/Disposals)</v>
      </c>
      <c r="G491" s="155" t="str">
        <f>Input!G491</f>
        <v>£m 12/13 prices</v>
      </c>
      <c r="I491" s="227">
        <f>-SUM(NPgN!$AJ$285:$AQ$285)+SUM(NPgN!$AJ$367:$AQ$367)</f>
        <v>-1.1000000000000001</v>
      </c>
    </row>
    <row r="492" spans="2:43" s="378" customFormat="1" ht="15" customHeight="1">
      <c r="E492" s="155" t="str">
        <f>Input!E492</f>
        <v>Group Finance Totex Adjustments (DRS8/Disposals)</v>
      </c>
      <c r="G492" s="155" t="str">
        <f>Input!G492</f>
        <v>£m 12/13 prices</v>
      </c>
      <c r="I492" s="227">
        <f>NPgN!I491+NPgY!I491</f>
        <v>-1.233579875111281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ht="15" hidden="1" customHeight="1">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5:43" ht="15" hidden="1" customHeight="1">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5:43" ht="15" hidden="1" customHeight="1">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5:43" ht="15" hidden="1" customHeight="1">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5:43" ht="15" hidden="1" customHeight="1">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5:43" ht="15" hidden="1" customHeight="1">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5:43" ht="15" hidden="1" customHeight="1">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5:43" ht="15" hidden="1" customHeight="1">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5:43" ht="15" hidden="1" customHeight="1">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5:43" ht="15" hidden="1" customHeight="1">
      <c r="E505" s="389"/>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78"/>
      <c r="AK505" s="378"/>
      <c r="AL505" s="378"/>
      <c r="AM505" s="378"/>
      <c r="AN505" s="378"/>
      <c r="AO505" s="378"/>
      <c r="AP505" s="378"/>
      <c r="AQ505" s="378"/>
    </row>
    <row r="506" spans="5:43" ht="15" hidden="1" customHeight="1">
      <c r="E506" s="389"/>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78"/>
      <c r="AK506" s="378"/>
      <c r="AL506" s="378"/>
      <c r="AM506" s="378"/>
      <c r="AN506" s="378"/>
      <c r="AO506" s="378"/>
      <c r="AP506" s="378"/>
      <c r="AQ506" s="378"/>
    </row>
    <row r="507" spans="5:43" ht="15" hidden="1" customHeight="1">
      <c r="E507" s="389"/>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78"/>
      <c r="AK507" s="378"/>
      <c r="AL507" s="378"/>
      <c r="AM507" s="378"/>
      <c r="AN507" s="378"/>
      <c r="AO507" s="378"/>
      <c r="AP507" s="378"/>
      <c r="AQ507" s="378"/>
    </row>
    <row r="508" spans="5:43" ht="15" hidden="1" customHeight="1">
      <c r="E508" s="389"/>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78"/>
      <c r="AK508" s="378"/>
      <c r="AL508" s="378"/>
      <c r="AM508" s="378"/>
      <c r="AN508" s="378"/>
      <c r="AO508" s="378"/>
      <c r="AP508" s="378"/>
      <c r="AQ508" s="378"/>
    </row>
    <row r="509" spans="5:43" ht="15" hidden="1" customHeight="1">
      <c r="E509" s="389"/>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78"/>
      <c r="AK509" s="378"/>
      <c r="AL509" s="378"/>
      <c r="AM509" s="378"/>
      <c r="AN509" s="378"/>
      <c r="AO509" s="378"/>
      <c r="AP509" s="378"/>
      <c r="AQ509" s="378"/>
    </row>
    <row r="510" spans="5:43" ht="15" hidden="1" customHeight="1">
      <c r="E510" s="389"/>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62"/>
      <c r="AK510" s="362"/>
      <c r="AL510" s="362"/>
      <c r="AM510" s="378"/>
      <c r="AN510" s="378"/>
      <c r="AO510" s="378"/>
      <c r="AP510" s="378"/>
      <c r="AQ510" s="378"/>
    </row>
    <row r="511" spans="5:43" ht="15" hidden="1" customHeight="1">
      <c r="E511" s="389"/>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78"/>
      <c r="AK511" s="378"/>
      <c r="AL511" s="378"/>
      <c r="AM511" s="378"/>
      <c r="AN511" s="378"/>
      <c r="AO511" s="378"/>
      <c r="AP511" s="378"/>
      <c r="AQ511" s="378"/>
    </row>
  </sheetData>
  <conditionalFormatting sqref="AJ458:AQ464">
    <cfRule type="cellIs" dxfId="17" priority="1" operator="lessThan">
      <formula>1</formula>
    </cfRule>
    <cfRule type="cellIs" dxfId="16" priority="2" operator="greaterThan">
      <formula>1</formula>
    </cfRule>
  </conditionalFormatting>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7030A0"/>
    <pageSetUpPr autoPageBreaks="0" fitToPage="1"/>
  </sheetPr>
  <dimension ref="A1:XDH495"/>
  <sheetViews>
    <sheetView zoomScale="70" zoomScaleNormal="70" workbookViewId="0">
      <pane xSplit="10" ySplit="7" topLeftCell="AJ8" activePane="bottomRight" state="frozen"/>
      <selection activeCell="I70" sqref="I70"/>
      <selection pane="topRight" activeCell="I70" sqref="I70"/>
      <selection pane="bottomLeft" activeCell="I70" sqref="I70"/>
      <selection pane="bottomRight" activeCell="AJ25" sqref="AJ25:AQ25"/>
    </sheetView>
  </sheetViews>
  <sheetFormatPr defaultColWidth="0" defaultRowHeight="15" customHeight="1" zeroHeight="1" outlineLevelCol="1"/>
  <cols>
    <col min="1" max="4" width="1.625" style="147" customWidth="1"/>
    <col min="5" max="5" width="67.5" style="147" customWidth="1"/>
    <col min="6" max="6" width="14.2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3" width="0" style="147" hidden="1"/>
    <col min="84" max="16336" width="9" style="147" hidden="1"/>
    <col min="16337"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509</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768</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567</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567</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55"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0.94932555702675214</v>
      </c>
      <c r="AK19" s="216">
        <v>0</v>
      </c>
      <c r="AL19" s="216">
        <v>0.49269684106201472</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10.729906014031508</v>
      </c>
      <c r="AK20" s="216">
        <v>4.1406652941729911E-4</v>
      </c>
      <c r="AL20" s="216">
        <v>4.1526605529399276E-4</v>
      </c>
      <c r="AM20" s="216">
        <v>4.1665125376349679E-4</v>
      </c>
      <c r="AN20" s="216">
        <v>4.1795641702983203E-4</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1.1419276416884185</v>
      </c>
      <c r="AK23" s="216">
        <v>1.9319506520751115</v>
      </c>
      <c r="AL23" s="216">
        <v>2.8413170320556307</v>
      </c>
      <c r="AM23" s="216">
        <v>3.2494844636315414</v>
      </c>
      <c r="AN23" s="216">
        <v>3.2063138896195915</v>
      </c>
      <c r="AO23" s="216">
        <v>2.3574060698073436</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8.0253032071136694</v>
      </c>
      <c r="AK25" s="216">
        <v>10.354564544409516</v>
      </c>
      <c r="AL25" s="216">
        <v>10.712755982138532</v>
      </c>
      <c r="AM25" s="216">
        <v>14.512728650427681</v>
      </c>
      <c r="AN25" s="216">
        <v>19.005496296198938</v>
      </c>
      <c r="AO25" s="216">
        <v>15.483692714709484</v>
      </c>
      <c r="AP25" s="216">
        <v>12.086240883983598</v>
      </c>
      <c r="AQ25" s="216">
        <v>14.325799894200646</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6.878365211101003</v>
      </c>
      <c r="AK34" s="216">
        <v>6.878365211101003</v>
      </c>
      <c r="AL34" s="216">
        <v>6.878365211101003</v>
      </c>
      <c r="AM34" s="216">
        <v>6.878365211101003</v>
      </c>
      <c r="AN34" s="216">
        <v>6.878365211101003</v>
      </c>
      <c r="AO34" s="216">
        <v>6.878365211101003</v>
      </c>
      <c r="AP34" s="216">
        <v>6.878365211101003</v>
      </c>
      <c r="AQ34" s="216">
        <v>6.878365211101003</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t="s">
        <v>54</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 t="shared" ref="AJ49:AQ49" si="0">AJ11</f>
        <v>2.5499999999999998E-2</v>
      </c>
      <c r="AK49" s="352">
        <f t="shared" si="0"/>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t="s">
        <v>54</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t="s">
        <v>54</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291"/>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row r="64" spans="3:43" ht="15" customHeight="1">
      <c r="E64" s="147" t="s">
        <v>193</v>
      </c>
      <c r="G64" s="147" t="s">
        <v>49</v>
      </c>
      <c r="I64" s="286">
        <v>2</v>
      </c>
    </row>
    <row r="65" spans="4:43" ht="15" customHeight="1">
      <c r="AI65" s="145"/>
    </row>
    <row r="66" spans="4:43" ht="15" customHeight="1">
      <c r="E66" s="147" t="str">
        <f>Input!E66</f>
        <v>Capitalised share of totex</v>
      </c>
      <c r="G66" s="147" t="s">
        <v>47</v>
      </c>
      <c r="AI66" s="145"/>
      <c r="AJ66" s="229">
        <v>0.72</v>
      </c>
      <c r="AK66" s="229">
        <v>0.72</v>
      </c>
      <c r="AL66" s="229">
        <v>0.72</v>
      </c>
      <c r="AM66" s="229">
        <v>0.72</v>
      </c>
      <c r="AN66" s="229">
        <v>0.72</v>
      </c>
      <c r="AO66" s="229">
        <v>0.72</v>
      </c>
      <c r="AP66" s="229">
        <v>0.72</v>
      </c>
      <c r="AQ66" s="229">
        <v>0.72</v>
      </c>
    </row>
    <row r="67" spans="4:43" ht="15" customHeight="1">
      <c r="AI67" s="145"/>
      <c r="AJ67" s="145"/>
      <c r="AK67" s="145"/>
      <c r="AL67" s="145"/>
      <c r="AM67" s="145"/>
      <c r="AN67" s="145"/>
      <c r="AO67" s="145"/>
      <c r="AP67" s="145"/>
      <c r="AQ67" s="246"/>
    </row>
    <row r="68" spans="4:43" s="145" customFormat="1" ht="15" customHeight="1">
      <c r="E68" s="147" t="s">
        <v>597</v>
      </c>
      <c r="F68" s="147"/>
      <c r="G68" s="53" t="s">
        <v>47</v>
      </c>
      <c r="H68" s="147"/>
      <c r="I68" s="368">
        <v>-3.6458045853123623E-3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0.55843703457782867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147" t="s">
        <v>673</v>
      </c>
      <c r="G75" s="190" t="s">
        <v>657</v>
      </c>
      <c r="H75" s="428"/>
      <c r="I75" s="227">
        <v>1657.4181725442459</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147" t="s">
        <v>674</v>
      </c>
      <c r="G76" s="190" t="s">
        <v>657</v>
      </c>
      <c r="I76" s="227">
        <v>1804.8188578901684</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147" t="s">
        <v>675</v>
      </c>
      <c r="G78" s="190" t="s">
        <v>657</v>
      </c>
      <c r="I78" s="227">
        <f>I75 +  NPgN!I75</f>
        <v>2887.6403620620954</v>
      </c>
      <c r="J78" s="88"/>
      <c r="K78" s="88"/>
      <c r="L78" s="88"/>
      <c r="M78" s="88"/>
      <c r="N78" s="88"/>
      <c r="O78" s="88"/>
      <c r="P78" s="88"/>
      <c r="Q78" s="88"/>
      <c r="R78" s="88"/>
      <c r="S78" s="88"/>
      <c r="T78" s="88"/>
      <c r="U78" s="88"/>
      <c r="V78" s="88"/>
      <c r="W78" s="88"/>
      <c r="X78" s="88"/>
      <c r="Y78" s="88"/>
      <c r="Z78" s="88"/>
      <c r="AJ78" s="89"/>
    </row>
    <row r="79" spans="4:43" s="19" customFormat="1" ht="15" customHeight="1">
      <c r="E79" s="147" t="s">
        <v>676</v>
      </c>
      <c r="G79" s="190" t="s">
        <v>657</v>
      </c>
      <c r="I79" s="227">
        <f>I76 +  NPgN!I76</f>
        <v>3173.191875695019</v>
      </c>
      <c r="J79" s="88"/>
      <c r="K79" s="88"/>
      <c r="L79" s="88"/>
      <c r="M79" s="88"/>
      <c r="N79" s="88"/>
      <c r="O79" s="88"/>
      <c r="P79" s="88"/>
      <c r="Q79" s="88"/>
      <c r="R79" s="88"/>
      <c r="S79" s="88"/>
      <c r="T79" s="88"/>
      <c r="U79" s="88"/>
      <c r="V79" s="88"/>
      <c r="W79" s="88"/>
      <c r="X79" s="88"/>
      <c r="Y79" s="88"/>
      <c r="Z79" s="88"/>
      <c r="AJ79" s="89"/>
    </row>
    <row r="80" spans="4:43" s="19" customFormat="1" ht="15" customHeight="1">
      <c r="E80" s="147"/>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291"/>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G97" s="391"/>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F98" s="392"/>
      <c r="AG98" s="391"/>
      <c r="AJ98" s="227">
        <v>88.262229089147866</v>
      </c>
      <c r="AK98" s="227">
        <v>84.852913233659137</v>
      </c>
      <c r="AL98" s="227">
        <v>80.511232822043254</v>
      </c>
      <c r="AM98" s="227">
        <v>77.978438052264295</v>
      </c>
      <c r="AN98" s="227">
        <v>64.514530443460004</v>
      </c>
      <c r="AO98" s="227">
        <v>62.239295933104785</v>
      </c>
      <c r="AP98" s="227">
        <v>52.076566530206904</v>
      </c>
      <c r="AQ98" s="227">
        <v>57.874727503272254</v>
      </c>
    </row>
    <row r="99" spans="4:43" s="269" customFormat="1" ht="15" customHeight="1">
      <c r="E99" s="161" t="s">
        <v>797</v>
      </c>
      <c r="G99" s="269" t="s">
        <v>657</v>
      </c>
      <c r="I99" s="356"/>
      <c r="AF99" s="392"/>
      <c r="AG99" s="391"/>
      <c r="AJ99" s="227">
        <v>16.143932942107622</v>
      </c>
      <c r="AK99" s="227">
        <v>15.219378490407076</v>
      </c>
      <c r="AL99" s="227">
        <v>14.293282275335125</v>
      </c>
      <c r="AM99" s="227">
        <v>14.602296406391794</v>
      </c>
      <c r="AN99" s="227">
        <v>13.617514136458821</v>
      </c>
      <c r="AO99" s="227">
        <v>12.375120951927045</v>
      </c>
      <c r="AP99" s="227">
        <v>15.270553998199993</v>
      </c>
      <c r="AQ99" s="227">
        <v>13.225664260020977</v>
      </c>
    </row>
    <row r="100" spans="4:43" s="269" customFormat="1" ht="15" customHeight="1">
      <c r="E100" s="161" t="str">
        <f>Input!E100</f>
        <v>Non-variant allowed faults</v>
      </c>
      <c r="G100" s="269" t="s">
        <v>657</v>
      </c>
      <c r="I100" s="356"/>
      <c r="AE100" s="394"/>
      <c r="AF100" s="392"/>
      <c r="AG100" s="391"/>
      <c r="AJ100" s="227">
        <v>37.111968289415692</v>
      </c>
      <c r="AK100" s="227">
        <v>37.027599353741167</v>
      </c>
      <c r="AL100" s="227">
        <v>36.29949393277878</v>
      </c>
      <c r="AM100" s="227">
        <v>35.940623958668411</v>
      </c>
      <c r="AN100" s="227">
        <v>35.470855715923015</v>
      </c>
      <c r="AO100" s="227">
        <v>35.410930912636573</v>
      </c>
      <c r="AP100" s="227">
        <v>35.33681982567046</v>
      </c>
      <c r="AQ100" s="227">
        <v>35.211358681686704</v>
      </c>
    </row>
    <row r="101" spans="4:43" s="269" customFormat="1" ht="15" customHeight="1">
      <c r="E101" s="155" t="s">
        <v>726</v>
      </c>
      <c r="G101" s="269" t="s">
        <v>657</v>
      </c>
      <c r="I101" s="356"/>
      <c r="AF101" s="392"/>
      <c r="AG101" s="391"/>
      <c r="AJ101" s="227">
        <v>5.079303368884899</v>
      </c>
      <c r="AK101" s="227">
        <v>4.961686958178392</v>
      </c>
      <c r="AL101" s="227">
        <v>4.9207864448388419</v>
      </c>
      <c r="AM101" s="227">
        <v>4.8957588830750938</v>
      </c>
      <c r="AN101" s="227">
        <v>4.9719991540415265</v>
      </c>
      <c r="AO101" s="227">
        <v>5.0609490333566853</v>
      </c>
      <c r="AP101" s="227">
        <v>5.0395040193677634</v>
      </c>
      <c r="AQ101" s="227">
        <v>4.993517252128818</v>
      </c>
    </row>
    <row r="102" spans="4:43" s="269" customFormat="1" ht="15" customHeight="1">
      <c r="E102" s="161" t="str">
        <f>Input!E102</f>
        <v>Non-variant allowed 100% ‘revenue pool’ expenditure</v>
      </c>
      <c r="G102" s="269" t="s">
        <v>657</v>
      </c>
      <c r="I102" s="356"/>
      <c r="AF102" s="392"/>
      <c r="AG102" s="391"/>
      <c r="AJ102" s="227">
        <v>8.6278832912591596</v>
      </c>
      <c r="AK102" s="227">
        <v>8.3683574133248033</v>
      </c>
      <c r="AL102" s="227">
        <v>8.0260463721664497</v>
      </c>
      <c r="AM102" s="227">
        <v>7.8637469291917217</v>
      </c>
      <c r="AN102" s="227">
        <v>7.2831062396884194</v>
      </c>
      <c r="AO102" s="227">
        <v>7.0770001327490366</v>
      </c>
      <c r="AP102" s="227">
        <v>6.7809520838386588</v>
      </c>
      <c r="AQ102" s="227">
        <v>6.7208844464849609</v>
      </c>
    </row>
    <row r="103" spans="4:43" s="269" customFormat="1" ht="15" customHeight="1">
      <c r="E103" s="161" t="s">
        <v>796</v>
      </c>
      <c r="G103" s="269" t="s">
        <v>657</v>
      </c>
      <c r="I103" s="356"/>
      <c r="AG103" s="391"/>
      <c r="AJ103" s="227">
        <v>64.653710882689367</v>
      </c>
      <c r="AK103" s="227">
        <v>63.926369601915816</v>
      </c>
      <c r="AL103" s="227">
        <v>64.015270642589144</v>
      </c>
      <c r="AM103" s="227">
        <v>64.778501277065772</v>
      </c>
      <c r="AN103" s="227">
        <v>63.949155574517079</v>
      </c>
      <c r="AO103" s="227">
        <v>62.821384211276218</v>
      </c>
      <c r="AP103" s="227">
        <v>62.133400466074953</v>
      </c>
      <c r="AQ103" s="227">
        <v>60.929802854259087</v>
      </c>
    </row>
    <row r="104" spans="4:43" s="269" customFormat="1" ht="15" customHeight="1">
      <c r="E104" s="161"/>
      <c r="I104" s="356"/>
      <c r="AJ104" s="391"/>
      <c r="AK104" s="391"/>
      <c r="AL104" s="391"/>
      <c r="AM104" s="391"/>
      <c r="AN104" s="391"/>
      <c r="AO104" s="391"/>
      <c r="AP104" s="391"/>
      <c r="AQ104" s="391"/>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147" t="str">
        <f>Input!E107</f>
        <v xml:space="preserve">Allowed Expenditure - Enhanced Physical Site Security                                                                                                   </v>
      </c>
      <c r="G107" s="269" t="s">
        <v>657</v>
      </c>
      <c r="I107" s="356"/>
      <c r="AG107" s="391"/>
      <c r="AH107" s="391"/>
      <c r="AJ107" s="213">
        <f>AJ19</f>
        <v>0.94932555702675214</v>
      </c>
      <c r="AK107" s="213">
        <f t="shared" ref="AK107:AQ107" si="4">AK19</f>
        <v>0</v>
      </c>
      <c r="AL107" s="213">
        <f t="shared" si="4"/>
        <v>0.49269684106201472</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F108" s="392"/>
      <c r="AG108" s="391"/>
      <c r="AH108" s="391"/>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G109" s="391"/>
      <c r="AH109" s="391"/>
      <c r="AJ109" s="229">
        <v>1</v>
      </c>
      <c r="AK109" s="229">
        <v>0.9479632581280506</v>
      </c>
      <c r="AL109" s="229">
        <v>1</v>
      </c>
      <c r="AM109" s="229">
        <v>0.95036245933356178</v>
      </c>
      <c r="AN109" s="229">
        <v>0.95543686055282873</v>
      </c>
      <c r="AO109" s="229">
        <v>0.95552057015273151</v>
      </c>
      <c r="AP109" s="229">
        <v>0.95004870420954257</v>
      </c>
      <c r="AQ109" s="229">
        <v>0.951018252912748</v>
      </c>
    </row>
    <row r="110" spans="4:43" s="269" customFormat="1" ht="15" customHeight="1">
      <c r="E110" s="357" t="str">
        <f>Input!E110</f>
        <v>Allocation to non-load related capex - other</v>
      </c>
      <c r="G110" s="269" t="s">
        <v>47</v>
      </c>
      <c r="I110" s="147"/>
      <c r="AG110" s="391"/>
      <c r="AH110" s="391"/>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G111" s="391"/>
      <c r="AH111" s="391"/>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G112" s="391"/>
      <c r="AH112" s="391"/>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G113" s="391"/>
      <c r="AH113" s="391"/>
      <c r="AJ113" s="229">
        <v>0</v>
      </c>
      <c r="AK113" s="229">
        <v>5.2036741871949399E-2</v>
      </c>
      <c r="AL113" s="229">
        <v>0</v>
      </c>
      <c r="AM113" s="229">
        <v>4.9637540666438218E-2</v>
      </c>
      <c r="AN113" s="229">
        <v>4.4563139447171274E-2</v>
      </c>
      <c r="AO113" s="229">
        <v>4.4479429847268492E-2</v>
      </c>
      <c r="AP113" s="229">
        <v>4.9951295790457428E-2</v>
      </c>
      <c r="AQ113" s="229">
        <v>4.8981747087252003E-2</v>
      </c>
    </row>
    <row r="114" spans="5:43" s="269" customFormat="1" ht="15" customHeight="1">
      <c r="E114" s="357" t="str">
        <f>Input!E114</f>
        <v>Allocation to controllable opex</v>
      </c>
      <c r="G114" s="269" t="s">
        <v>47</v>
      </c>
      <c r="I114" s="147"/>
      <c r="AG114" s="391"/>
      <c r="AH114" s="391"/>
      <c r="AJ114" s="229">
        <v>0</v>
      </c>
      <c r="AK114" s="229">
        <v>0</v>
      </c>
      <c r="AL114" s="229">
        <v>0</v>
      </c>
      <c r="AM114" s="229">
        <v>0</v>
      </c>
      <c r="AN114" s="229">
        <v>0</v>
      </c>
      <c r="AO114" s="229">
        <v>0</v>
      </c>
      <c r="AP114" s="229">
        <v>0</v>
      </c>
      <c r="AQ114" s="229">
        <v>0</v>
      </c>
    </row>
    <row r="115" spans="5:43" ht="15" customHeight="1">
      <c r="AG115" s="391"/>
      <c r="AH115" s="391"/>
      <c r="AJ115" s="378"/>
      <c r="AK115" s="378"/>
      <c r="AL115" s="378"/>
      <c r="AM115" s="378"/>
      <c r="AN115" s="378"/>
      <c r="AO115" s="378"/>
      <c r="AP115" s="378"/>
      <c r="AQ115" s="378"/>
    </row>
    <row r="116" spans="5:43" s="269" customFormat="1" ht="15" customHeight="1">
      <c r="E116" s="147" t="str">
        <f>Input!E116</f>
        <v>Allowed Expenditure - High Value Projects</v>
      </c>
      <c r="G116" s="269" t="s">
        <v>657</v>
      </c>
      <c r="I116" s="356"/>
      <c r="AG116" s="391"/>
      <c r="AH116" s="391"/>
      <c r="AJ116" s="213">
        <f t="shared" ref="AJ116:AQ116" si="5">AJ20</f>
        <v>10.729906014031508</v>
      </c>
      <c r="AK116" s="213">
        <f t="shared" si="5"/>
        <v>4.1406652941729911E-4</v>
      </c>
      <c r="AL116" s="213">
        <f t="shared" si="5"/>
        <v>4.1526605529399276E-4</v>
      </c>
      <c r="AM116" s="213">
        <f t="shared" si="5"/>
        <v>4.1665125376349679E-4</v>
      </c>
      <c r="AN116" s="213">
        <f t="shared" si="5"/>
        <v>4.1795641702983203E-4</v>
      </c>
      <c r="AO116" s="213">
        <f t="shared" si="5"/>
        <v>0</v>
      </c>
      <c r="AP116" s="213">
        <f t="shared" si="5"/>
        <v>0</v>
      </c>
      <c r="AQ116" s="213">
        <f t="shared" si="5"/>
        <v>0</v>
      </c>
    </row>
    <row r="117" spans="5:43" s="269" customFormat="1" ht="15" customHeight="1">
      <c r="E117" s="357" t="str">
        <f>Input!E117</f>
        <v>Allocation to load related capex</v>
      </c>
      <c r="G117" s="269" t="s">
        <v>47</v>
      </c>
      <c r="I117" s="147"/>
      <c r="AG117" s="391"/>
      <c r="AH117" s="391"/>
      <c r="AJ117" s="229">
        <v>0.99897974782728538</v>
      </c>
      <c r="AK117" s="229">
        <v>1</v>
      </c>
      <c r="AL117" s="229">
        <v>1</v>
      </c>
      <c r="AM117" s="229">
        <v>1</v>
      </c>
      <c r="AN117" s="229">
        <v>1</v>
      </c>
      <c r="AO117" s="229">
        <v>1</v>
      </c>
      <c r="AP117" s="229">
        <v>1</v>
      </c>
      <c r="AQ117" s="229">
        <v>1</v>
      </c>
    </row>
    <row r="118" spans="5:43" s="269" customFormat="1" ht="15" customHeight="1">
      <c r="E118" s="357" t="str">
        <f>Input!E118</f>
        <v>Allocation to non-load related capex - asset replacement</v>
      </c>
      <c r="G118" s="269" t="s">
        <v>47</v>
      </c>
      <c r="I118" s="147"/>
      <c r="AG118" s="391"/>
      <c r="AH118" s="391"/>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G119" s="391"/>
      <c r="AH119" s="391"/>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G120" s="391"/>
      <c r="AH120" s="391"/>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G121" s="391"/>
      <c r="AH121" s="391"/>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G122" s="391"/>
      <c r="AH122" s="391"/>
      <c r="AJ122" s="229">
        <v>1.0202521727145873E-3</v>
      </c>
      <c r="AK122" s="229">
        <v>0</v>
      </c>
      <c r="AL122" s="229">
        <v>0</v>
      </c>
      <c r="AM122" s="229">
        <v>0</v>
      </c>
      <c r="AN122" s="229">
        <v>0</v>
      </c>
      <c r="AO122" s="229">
        <v>0</v>
      </c>
      <c r="AP122" s="229">
        <v>0</v>
      </c>
      <c r="AQ122" s="229">
        <v>0</v>
      </c>
    </row>
    <row r="123" spans="5:43" s="269" customFormat="1" ht="15" customHeight="1">
      <c r="E123" s="357" t="str">
        <f>Input!E123</f>
        <v>Allocation to controllable opex</v>
      </c>
      <c r="G123" s="269" t="s">
        <v>47</v>
      </c>
      <c r="I123" s="147"/>
      <c r="AG123" s="391"/>
      <c r="AH123" s="391"/>
      <c r="AJ123" s="229">
        <v>0</v>
      </c>
      <c r="AK123" s="229">
        <v>0</v>
      </c>
      <c r="AL123" s="229">
        <v>0</v>
      </c>
      <c r="AM123" s="229">
        <v>0</v>
      </c>
      <c r="AN123" s="229">
        <v>0</v>
      </c>
      <c r="AO123" s="229">
        <v>0</v>
      </c>
      <c r="AP123" s="229">
        <v>0</v>
      </c>
      <c r="AQ123" s="229">
        <v>0</v>
      </c>
    </row>
    <row r="124" spans="5:43" ht="15" customHeight="1">
      <c r="AG124" s="391"/>
      <c r="AH124" s="391"/>
      <c r="AJ124" s="378"/>
      <c r="AK124" s="378"/>
      <c r="AL124" s="378"/>
      <c r="AM124" s="378"/>
      <c r="AN124" s="378"/>
      <c r="AO124" s="378"/>
      <c r="AP124" s="378"/>
      <c r="AQ124" s="378"/>
    </row>
    <row r="125" spans="5:43" s="269" customFormat="1" ht="15" customHeight="1">
      <c r="E125" s="147" t="str">
        <f>Input!E125</f>
        <v xml:space="preserve">Allowed Expenditure - Visual Amenity Projects (TIM neutral)                                                                                                      </v>
      </c>
      <c r="G125" s="269" t="s">
        <v>657</v>
      </c>
      <c r="I125" s="356"/>
      <c r="AG125" s="391"/>
      <c r="AH125" s="391"/>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G126" s="391"/>
      <c r="AH126" s="391"/>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G127" s="391"/>
      <c r="AH127" s="391"/>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G128" s="391"/>
      <c r="AH128" s="391"/>
      <c r="AJ128" s="229">
        <v>0.99347232860669654</v>
      </c>
      <c r="AK128" s="229">
        <v>0.99380507983411914</v>
      </c>
      <c r="AL128" s="229">
        <v>0.99384903664557833</v>
      </c>
      <c r="AM128" s="229">
        <v>0.99412535772961441</v>
      </c>
      <c r="AN128" s="229">
        <v>0.9941427745660667</v>
      </c>
      <c r="AO128" s="229">
        <v>0.99407767682366144</v>
      </c>
      <c r="AP128" s="229">
        <v>0.99428585356169097</v>
      </c>
      <c r="AQ128" s="229">
        <v>0.99467383953762101</v>
      </c>
    </row>
    <row r="129" spans="5:43" s="269" customFormat="1" ht="15" customHeight="1">
      <c r="E129" s="357" t="str">
        <f>Input!E129</f>
        <v>Allocation to faults</v>
      </c>
      <c r="G129" s="269" t="s">
        <v>47</v>
      </c>
      <c r="I129" s="147"/>
      <c r="AG129" s="391"/>
      <c r="AH129" s="391"/>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G130" s="391"/>
      <c r="AH130" s="391"/>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G131" s="391"/>
      <c r="AH131" s="391"/>
      <c r="AJ131" s="229">
        <v>6.5276713933035404E-3</v>
      </c>
      <c r="AK131" s="229">
        <v>6.1949201658808503E-3</v>
      </c>
      <c r="AL131" s="229">
        <v>6.1509633544217217E-3</v>
      </c>
      <c r="AM131" s="229">
        <v>5.8746422703856013E-3</v>
      </c>
      <c r="AN131" s="229">
        <v>5.857225433933317E-3</v>
      </c>
      <c r="AO131" s="229">
        <v>5.9223231763386244E-3</v>
      </c>
      <c r="AP131" s="229">
        <v>5.7141464383090087E-3</v>
      </c>
      <c r="AQ131" s="229">
        <v>5.3261604623790577E-3</v>
      </c>
    </row>
    <row r="132" spans="5:43" s="269" customFormat="1" ht="15" customHeight="1">
      <c r="E132" s="357" t="str">
        <f>Input!E132</f>
        <v>Allocation to controllable opex</v>
      </c>
      <c r="G132" s="269" t="s">
        <v>47</v>
      </c>
      <c r="I132" s="147"/>
      <c r="AG132" s="391"/>
      <c r="AH132" s="391"/>
      <c r="AJ132" s="229">
        <v>0</v>
      </c>
      <c r="AK132" s="229">
        <v>0</v>
      </c>
      <c r="AL132" s="229">
        <v>0</v>
      </c>
      <c r="AM132" s="229">
        <v>0</v>
      </c>
      <c r="AN132" s="229">
        <v>0</v>
      </c>
      <c r="AO132" s="229">
        <v>0</v>
      </c>
      <c r="AP132" s="229">
        <v>0</v>
      </c>
      <c r="AQ132" s="229">
        <v>0</v>
      </c>
    </row>
    <row r="133" spans="5:43" ht="15" customHeight="1">
      <c r="AG133" s="391"/>
      <c r="AH133" s="391"/>
      <c r="AJ133" s="378"/>
      <c r="AK133" s="378"/>
      <c r="AL133" s="378"/>
      <c r="AM133" s="378"/>
      <c r="AN133" s="378"/>
      <c r="AO133" s="378"/>
      <c r="AP133" s="378"/>
      <c r="AQ133" s="378"/>
    </row>
    <row r="134" spans="5:43" s="269" customFormat="1" ht="15" customHeight="1">
      <c r="E134" s="147" t="str">
        <f>Input!E134</f>
        <v>Allowed Expenditure - Worst Served Customer Project (TIM neutral)</v>
      </c>
      <c r="G134" s="269" t="s">
        <v>657</v>
      </c>
      <c r="I134" s="356"/>
      <c r="AG134" s="391"/>
      <c r="AH134" s="391"/>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G135" s="391"/>
      <c r="AH135" s="391"/>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G136" s="391"/>
      <c r="AH136" s="391"/>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G137" s="391"/>
      <c r="AH137" s="391"/>
      <c r="AJ137" s="229">
        <v>0.99034636331514414</v>
      </c>
      <c r="AK137" s="229">
        <v>0.9876673732866732</v>
      </c>
      <c r="AL137" s="229">
        <v>0.99101825893354467</v>
      </c>
      <c r="AM137" s="229">
        <v>0.99132432981962548</v>
      </c>
      <c r="AN137" s="229">
        <v>0.99052355032576467</v>
      </c>
      <c r="AO137" s="229">
        <v>0.98915312449401227</v>
      </c>
      <c r="AP137" s="229">
        <v>0.99234187776983374</v>
      </c>
      <c r="AQ137" s="229">
        <v>0.99183993109614255</v>
      </c>
    </row>
    <row r="138" spans="5:43" s="269" customFormat="1" ht="15" customHeight="1">
      <c r="E138" s="357" t="str">
        <f>Input!E138</f>
        <v>Allocation to faults</v>
      </c>
      <c r="G138" s="269" t="s">
        <v>47</v>
      </c>
      <c r="I138" s="147"/>
      <c r="AG138" s="391"/>
      <c r="AH138" s="391"/>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G139" s="391"/>
      <c r="AH139" s="391"/>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G140" s="391"/>
      <c r="AH140" s="391"/>
      <c r="AJ140" s="229">
        <v>9.6536366848558597E-3</v>
      </c>
      <c r="AK140" s="229">
        <v>1.23326267133268E-2</v>
      </c>
      <c r="AL140" s="229">
        <v>8.9817410664553288E-3</v>
      </c>
      <c r="AM140" s="229">
        <v>8.6756701803745173E-3</v>
      </c>
      <c r="AN140" s="229">
        <v>9.4764496742353321E-3</v>
      </c>
      <c r="AO140" s="229">
        <v>1.084687550598773E-2</v>
      </c>
      <c r="AP140" s="229">
        <v>7.6581222301662644E-3</v>
      </c>
      <c r="AQ140" s="229">
        <v>8.1600689038574536E-3</v>
      </c>
    </row>
    <row r="141" spans="5:43" s="269" customFormat="1" ht="15" customHeight="1">
      <c r="E141" s="357" t="str">
        <f>Input!E141</f>
        <v>Allocation to controllable opex</v>
      </c>
      <c r="G141" s="269" t="s">
        <v>47</v>
      </c>
      <c r="I141" s="147"/>
      <c r="AG141" s="391"/>
      <c r="AH141" s="391"/>
      <c r="AJ141" s="229">
        <v>0</v>
      </c>
      <c r="AK141" s="229">
        <v>0</v>
      </c>
      <c r="AL141" s="229">
        <v>0</v>
      </c>
      <c r="AM141" s="229">
        <v>0</v>
      </c>
      <c r="AN141" s="229">
        <v>0</v>
      </c>
      <c r="AO141" s="229">
        <v>0</v>
      </c>
      <c r="AP141" s="229">
        <v>0</v>
      </c>
      <c r="AQ141" s="229">
        <v>0</v>
      </c>
    </row>
    <row r="142" spans="5:43" ht="15" customHeight="1">
      <c r="AG142" s="391"/>
      <c r="AH142" s="391"/>
      <c r="AJ142" s="378"/>
      <c r="AK142" s="378"/>
      <c r="AL142" s="378"/>
      <c r="AM142" s="378"/>
      <c r="AN142" s="378"/>
      <c r="AO142" s="378"/>
      <c r="AP142" s="378"/>
      <c r="AQ142" s="378"/>
    </row>
    <row r="143" spans="5:43" s="269" customFormat="1" ht="15" customHeight="1">
      <c r="E143" s="147" t="str">
        <f>Input!E143</f>
        <v xml:space="preserve">Allowed Expenditure - Smart Meter Roll-out costs                               </v>
      </c>
      <c r="G143" s="269" t="s">
        <v>657</v>
      </c>
      <c r="I143" s="356"/>
      <c r="AG143" s="391"/>
      <c r="AH143" s="391"/>
      <c r="AJ143" s="213">
        <f t="shared" ref="AJ143:AQ143" si="8">AJ23</f>
        <v>1.1419276416884185</v>
      </c>
      <c r="AK143" s="213">
        <f t="shared" si="8"/>
        <v>1.9319506520751115</v>
      </c>
      <c r="AL143" s="213">
        <f t="shared" si="8"/>
        <v>2.8413170320556307</v>
      </c>
      <c r="AM143" s="213">
        <f t="shared" si="8"/>
        <v>3.2494844636315414</v>
      </c>
      <c r="AN143" s="213">
        <f t="shared" si="8"/>
        <v>3.2063138896195915</v>
      </c>
      <c r="AO143" s="213">
        <f t="shared" si="8"/>
        <v>2.3574060698073436</v>
      </c>
      <c r="AP143" s="213">
        <f t="shared" si="8"/>
        <v>0</v>
      </c>
      <c r="AQ143" s="213">
        <f t="shared" si="8"/>
        <v>0</v>
      </c>
    </row>
    <row r="144" spans="5:43" s="269" customFormat="1" ht="15" customHeight="1">
      <c r="E144" s="357" t="str">
        <f>Input!E144</f>
        <v>Allocation to load related capex</v>
      </c>
      <c r="G144" s="269" t="s">
        <v>47</v>
      </c>
      <c r="I144" s="147"/>
      <c r="AG144" s="391"/>
      <c r="AH144" s="391"/>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G145" s="391"/>
      <c r="AH145" s="391"/>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G146" s="391"/>
      <c r="AH146" s="391"/>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G147" s="391"/>
      <c r="AH147" s="391"/>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G148" s="391"/>
      <c r="AH148" s="391"/>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G149" s="391"/>
      <c r="AH149" s="391"/>
      <c r="AJ149" s="229">
        <v>3.3668535033403238E-3</v>
      </c>
      <c r="AK149" s="229">
        <v>5.7950556915142993E-3</v>
      </c>
      <c r="AL149" s="229">
        <v>7.3367212770325914E-3</v>
      </c>
      <c r="AM149" s="229">
        <v>7.4150953682615229E-3</v>
      </c>
      <c r="AN149" s="229">
        <v>7.2425229079020569E-3</v>
      </c>
      <c r="AO149" s="229">
        <v>6.0762172889602213E-3</v>
      </c>
      <c r="AP149" s="229">
        <v>0</v>
      </c>
      <c r="AQ149" s="229">
        <v>0</v>
      </c>
    </row>
    <row r="150" spans="5:43" s="269" customFormat="1" ht="15" customHeight="1">
      <c r="E150" s="357" t="str">
        <f>Input!E150</f>
        <v>Allocation to controllable opex</v>
      </c>
      <c r="G150" s="269" t="s">
        <v>47</v>
      </c>
      <c r="I150" s="147"/>
      <c r="AG150" s="391"/>
      <c r="AH150" s="391"/>
      <c r="AJ150" s="229">
        <v>0.99663314649665979</v>
      </c>
      <c r="AK150" s="229">
        <v>0.99420494430848583</v>
      </c>
      <c r="AL150" s="229">
        <v>0.99266327872296745</v>
      </c>
      <c r="AM150" s="229">
        <v>0.99258490463173854</v>
      </c>
      <c r="AN150" s="229">
        <v>0.99275747709209794</v>
      </c>
      <c r="AO150" s="229">
        <v>0.99392378271103976</v>
      </c>
      <c r="AP150" s="229">
        <v>0</v>
      </c>
      <c r="AQ150" s="229">
        <v>0</v>
      </c>
    </row>
    <row r="151" spans="5:43" ht="15" customHeight="1">
      <c r="AG151" s="391"/>
      <c r="AH151" s="391"/>
      <c r="AJ151" s="378"/>
      <c r="AK151" s="378"/>
      <c r="AL151" s="378"/>
      <c r="AM151" s="378"/>
      <c r="AN151" s="378"/>
      <c r="AO151" s="378"/>
      <c r="AP151" s="378"/>
      <c r="AQ151" s="378"/>
    </row>
    <row r="152" spans="5:43" s="269" customFormat="1" ht="15" customHeight="1">
      <c r="E152" s="147" t="str">
        <f>Input!E152</f>
        <v>Allowed Expenditure - Specified Street Works</v>
      </c>
      <c r="G152" s="269" t="s">
        <v>657</v>
      </c>
      <c r="I152" s="356"/>
      <c r="AG152" s="391"/>
      <c r="AH152" s="391"/>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G153" s="391"/>
      <c r="AH153" s="391"/>
      <c r="AJ153" s="229">
        <v>3.0389702825067009E-2</v>
      </c>
      <c r="AK153" s="229">
        <v>2.8752536495376822E-2</v>
      </c>
      <c r="AL153" s="229">
        <v>2.7245421670135463E-2</v>
      </c>
      <c r="AM153" s="229">
        <v>2.5830592780436076E-2</v>
      </c>
      <c r="AN153" s="229">
        <v>2.448366787808462E-2</v>
      </c>
      <c r="AO153" s="229">
        <v>2.3203415802896199E-2</v>
      </c>
      <c r="AP153" s="229">
        <v>2.1994830732316735E-2</v>
      </c>
      <c r="AQ153" s="229">
        <v>2.0852997350688875E-2</v>
      </c>
    </row>
    <row r="154" spans="5:43" s="269" customFormat="1" ht="15" customHeight="1">
      <c r="E154" s="357" t="str">
        <f>Input!E154</f>
        <v>Allocation to non-load related capex - asset replacement</v>
      </c>
      <c r="G154" s="269" t="s">
        <v>47</v>
      </c>
      <c r="I154" s="147"/>
      <c r="AG154" s="391"/>
      <c r="AH154" s="391"/>
      <c r="AJ154" s="229">
        <v>0.36542430719742452</v>
      </c>
      <c r="AK154" s="229">
        <v>0.36306474940430916</v>
      </c>
      <c r="AL154" s="229">
        <v>0.36079498353361039</v>
      </c>
      <c r="AM154" s="229">
        <v>0.35861726710084729</v>
      </c>
      <c r="AN154" s="229">
        <v>0.35642389907711469</v>
      </c>
      <c r="AO154" s="229">
        <v>0.35440032265436028</v>
      </c>
      <c r="AP154" s="229">
        <v>0.35242716814456992</v>
      </c>
      <c r="AQ154" s="229">
        <v>0.35085348672249683</v>
      </c>
    </row>
    <row r="155" spans="5:43" s="269" customFormat="1" ht="15" customHeight="1">
      <c r="E155" s="357" t="str">
        <f>Input!E155</f>
        <v>Allocation to non-load related capex - other</v>
      </c>
      <c r="G155" s="269" t="s">
        <v>47</v>
      </c>
      <c r="I155" s="147"/>
      <c r="AG155" s="391"/>
      <c r="AH155" s="391"/>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G156" s="391"/>
      <c r="AH156" s="391"/>
      <c r="AJ156" s="229">
        <v>0.6041859899775085</v>
      </c>
      <c r="AK156" s="229">
        <v>0.60818271410031399</v>
      </c>
      <c r="AL156" s="229">
        <v>0.61195959479625428</v>
      </c>
      <c r="AM156" s="229">
        <v>0.61555214011871662</v>
      </c>
      <c r="AN156" s="229">
        <v>0.61909243304480066</v>
      </c>
      <c r="AO156" s="229">
        <v>0.62239626154274363</v>
      </c>
      <c r="AP156" s="229">
        <v>0.62557800112311324</v>
      </c>
      <c r="AQ156" s="229">
        <v>0.62829351592681426</v>
      </c>
    </row>
    <row r="157" spans="5:43" s="269" customFormat="1" ht="15" customHeight="1">
      <c r="E157" s="357" t="s">
        <v>721</v>
      </c>
      <c r="G157" s="269" t="s">
        <v>47</v>
      </c>
      <c r="I157" s="378"/>
      <c r="AG157" s="391"/>
      <c r="AH157" s="391"/>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G158" s="391"/>
      <c r="AH158" s="391"/>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G159" s="391"/>
      <c r="AH159" s="391"/>
      <c r="AJ159" s="229">
        <v>0</v>
      </c>
      <c r="AK159" s="229">
        <v>0</v>
      </c>
      <c r="AL159" s="229">
        <v>0</v>
      </c>
      <c r="AM159" s="229">
        <v>0</v>
      </c>
      <c r="AN159" s="229">
        <v>0</v>
      </c>
      <c r="AO159" s="229">
        <v>0</v>
      </c>
      <c r="AP159" s="229">
        <v>0</v>
      </c>
      <c r="AQ159" s="229">
        <v>0</v>
      </c>
    </row>
    <row r="160" spans="5:43" ht="15" customHeight="1">
      <c r="AG160" s="391"/>
      <c r="AH160" s="391"/>
      <c r="AJ160" s="378"/>
      <c r="AK160" s="378"/>
      <c r="AL160" s="378"/>
      <c r="AM160" s="378"/>
      <c r="AN160" s="378"/>
      <c r="AO160" s="378"/>
      <c r="AP160" s="378"/>
      <c r="AQ160" s="378"/>
    </row>
    <row r="161" spans="5:43" s="269" customFormat="1" ht="15" customHeight="1">
      <c r="E161" s="147" t="str">
        <f>Input!E161</f>
        <v>Allowed Expenditure - Load Related</v>
      </c>
      <c r="G161" s="269" t="s">
        <v>657</v>
      </c>
      <c r="I161" s="356"/>
      <c r="AG161" s="391"/>
      <c r="AH161" s="391"/>
      <c r="AJ161" s="213">
        <f>AJ25</f>
        <v>8.0253032071136694</v>
      </c>
      <c r="AK161" s="213">
        <f t="shared" ref="AK161:AQ161" si="10">AK25</f>
        <v>10.354564544409516</v>
      </c>
      <c r="AL161" s="213">
        <f t="shared" si="10"/>
        <v>10.712755982138532</v>
      </c>
      <c r="AM161" s="213">
        <f t="shared" si="10"/>
        <v>14.512728650427681</v>
      </c>
      <c r="AN161" s="213">
        <f t="shared" si="10"/>
        <v>19.005496296198938</v>
      </c>
      <c r="AO161" s="213">
        <f t="shared" si="10"/>
        <v>15.483692714709484</v>
      </c>
      <c r="AP161" s="213">
        <f t="shared" si="10"/>
        <v>12.086240883983598</v>
      </c>
      <c r="AQ161" s="213">
        <f t="shared" si="10"/>
        <v>14.325799894200646</v>
      </c>
    </row>
    <row r="162" spans="5:43" s="269" customFormat="1" ht="15" customHeight="1">
      <c r="E162" s="357" t="str">
        <f>Input!E162</f>
        <v>Allocation to load related capex</v>
      </c>
      <c r="G162" s="269" t="s">
        <v>47</v>
      </c>
      <c r="I162" s="147"/>
      <c r="AG162" s="391"/>
      <c r="AH162" s="391"/>
      <c r="AJ162" s="229">
        <v>0.98888523291232988</v>
      </c>
      <c r="AK162" s="229">
        <v>0.99112229432576016</v>
      </c>
      <c r="AL162" s="229">
        <v>0.99466457897516569</v>
      </c>
      <c r="AM162" s="229">
        <v>0.99275701123921867</v>
      </c>
      <c r="AN162" s="229">
        <v>0.99166681518985267</v>
      </c>
      <c r="AO162" s="229">
        <v>0.99325136982871742</v>
      </c>
      <c r="AP162" s="229">
        <v>0.99316493937914507</v>
      </c>
      <c r="AQ162" s="229">
        <v>0.99467321442448342</v>
      </c>
    </row>
    <row r="163" spans="5:43" s="269" customFormat="1" ht="15" customHeight="1">
      <c r="E163" s="357" t="str">
        <f>Input!E163</f>
        <v>Allocation to non-load related capex - asset replacement</v>
      </c>
      <c r="G163" s="269" t="s">
        <v>47</v>
      </c>
      <c r="I163" s="147"/>
      <c r="AG163" s="391"/>
      <c r="AH163" s="391"/>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G164" s="391"/>
      <c r="AH164" s="391"/>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G165" s="391"/>
      <c r="AH165" s="391"/>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G166" s="391"/>
      <c r="AH166" s="391"/>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G167" s="391"/>
      <c r="AH167" s="391"/>
      <c r="AJ167" s="229">
        <v>1.1114767087670119E-2</v>
      </c>
      <c r="AK167" s="229">
        <v>8.8777056742398441E-3</v>
      </c>
      <c r="AL167" s="229">
        <v>5.3354210248343081E-3</v>
      </c>
      <c r="AM167" s="229">
        <v>7.2429887607813326E-3</v>
      </c>
      <c r="AN167" s="229">
        <v>8.3331848101473316E-3</v>
      </c>
      <c r="AO167" s="229">
        <v>6.7486301712825769E-3</v>
      </c>
      <c r="AP167" s="229">
        <v>6.8350606208549269E-3</v>
      </c>
      <c r="AQ167" s="229">
        <v>5.3267855755165794E-3</v>
      </c>
    </row>
    <row r="168" spans="5:43" s="269" customFormat="1" ht="15" customHeight="1">
      <c r="E168" s="357" t="str">
        <f>Input!E168</f>
        <v>Allocation to controllable opex</v>
      </c>
      <c r="G168" s="269" t="s">
        <v>47</v>
      </c>
      <c r="I168" s="147"/>
      <c r="AG168" s="391"/>
      <c r="AH168" s="391"/>
      <c r="AJ168" s="229">
        <v>0</v>
      </c>
      <c r="AK168" s="229">
        <v>0</v>
      </c>
      <c r="AL168" s="229">
        <v>0</v>
      </c>
      <c r="AM168" s="229">
        <v>0</v>
      </c>
      <c r="AN168" s="229">
        <v>0</v>
      </c>
      <c r="AO168" s="229">
        <v>0</v>
      </c>
      <c r="AP168" s="229">
        <v>0</v>
      </c>
      <c r="AQ168" s="229">
        <v>0</v>
      </c>
    </row>
    <row r="169" spans="5:43" ht="15" customHeight="1">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0.98664785865970239</v>
      </c>
      <c r="AK172" s="229">
        <v>0.98773280569139721</v>
      </c>
      <c r="AL172" s="229">
        <v>0.98896286639888842</v>
      </c>
      <c r="AM172" s="229">
        <v>0.98936725467100484</v>
      </c>
      <c r="AN172" s="229">
        <v>0.98952527873107832</v>
      </c>
      <c r="AO172" s="229">
        <v>0.98998572083949865</v>
      </c>
      <c r="AP172" s="229">
        <v>0.99059873077494054</v>
      </c>
      <c r="AQ172" s="229">
        <v>0.99183119102168937</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1.3352141340297607E-2</v>
      </c>
      <c r="AK176" s="229">
        <v>1.2267194308602791E-2</v>
      </c>
      <c r="AL176" s="229">
        <v>1.1037133601111582E-2</v>
      </c>
      <c r="AM176" s="229">
        <v>1.0632745328995163E-2</v>
      </c>
      <c r="AN176" s="229">
        <v>1.0474721268921683E-2</v>
      </c>
      <c r="AO176" s="229">
        <v>1.0014279160501349E-2</v>
      </c>
      <c r="AP176" s="229">
        <v>9.4012692250594609E-3</v>
      </c>
      <c r="AQ176" s="229">
        <v>8.1688089783106266E-3</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147"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AJ187" s="378"/>
      <c r="AK187" s="378"/>
      <c r="AL187" s="378"/>
      <c r="AM187" s="378"/>
      <c r="AN187" s="378"/>
      <c r="AO187" s="378"/>
      <c r="AP187" s="378"/>
      <c r="AQ187" s="378"/>
    </row>
    <row r="188" spans="5:43" ht="15" customHeight="1">
      <c r="E188" s="147"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147"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4"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c r="AR225" s="378"/>
    </row>
    <row r="226" spans="5:44" ht="15" customHeight="1">
      <c r="E226" s="357" t="str">
        <f>Input!E226</f>
        <v>Allocation to non-load related capex - asset replacement</v>
      </c>
      <c r="F226" s="269"/>
      <c r="G226" s="269" t="s">
        <v>47</v>
      </c>
      <c r="AJ226" s="229">
        <v>0.98664785865970239</v>
      </c>
      <c r="AK226" s="229">
        <v>0.98773280569139721</v>
      </c>
      <c r="AL226" s="229">
        <v>0.98896286639888842</v>
      </c>
      <c r="AM226" s="229">
        <v>0.98936725467100484</v>
      </c>
      <c r="AN226" s="229">
        <v>0.98952527873107832</v>
      </c>
      <c r="AO226" s="229">
        <v>0.98998572083949865</v>
      </c>
      <c r="AP226" s="229">
        <v>0.99059873077494054</v>
      </c>
      <c r="AQ226" s="229">
        <v>0.99183119102168937</v>
      </c>
    </row>
    <row r="227" spans="5:44"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4"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4" s="378" customFormat="1" ht="15" customHeight="1">
      <c r="E229" s="357" t="s">
        <v>721</v>
      </c>
      <c r="F229" s="269"/>
      <c r="G229" s="269" t="s">
        <v>47</v>
      </c>
      <c r="AJ229" s="229">
        <v>0</v>
      </c>
      <c r="AK229" s="229">
        <v>0</v>
      </c>
      <c r="AL229" s="229">
        <v>0</v>
      </c>
      <c r="AM229" s="229">
        <v>0</v>
      </c>
      <c r="AN229" s="229">
        <v>0</v>
      </c>
      <c r="AO229" s="229">
        <v>0</v>
      </c>
      <c r="AP229" s="229">
        <v>0</v>
      </c>
      <c r="AQ229" s="229">
        <v>0</v>
      </c>
    </row>
    <row r="230" spans="5:44" ht="15" customHeight="1">
      <c r="E230" s="357" t="str">
        <f>Input!E230</f>
        <v>Allocation to 100% ‘revenue pool’ expenditure</v>
      </c>
      <c r="F230" s="269"/>
      <c r="G230" s="269" t="s">
        <v>47</v>
      </c>
      <c r="AJ230" s="229">
        <v>1.3352141340297607E-2</v>
      </c>
      <c r="AK230" s="229">
        <v>1.2267194308602791E-2</v>
      </c>
      <c r="AL230" s="229">
        <v>1.1037133601111582E-2</v>
      </c>
      <c r="AM230" s="229">
        <v>1.0632745328995163E-2</v>
      </c>
      <c r="AN230" s="229">
        <v>1.0474721268921683E-2</v>
      </c>
      <c r="AO230" s="229">
        <v>1.0014279160501349E-2</v>
      </c>
      <c r="AP230" s="229">
        <v>9.4012692250594609E-3</v>
      </c>
      <c r="AQ230" s="229">
        <v>8.1688089783106266E-3</v>
      </c>
    </row>
    <row r="231" spans="5:44"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4" ht="15" customHeight="1">
      <c r="AJ232" s="378"/>
      <c r="AK232" s="378"/>
      <c r="AL232" s="378"/>
      <c r="AM232" s="378"/>
      <c r="AN232" s="378"/>
      <c r="AO232" s="378"/>
      <c r="AP232" s="378"/>
      <c r="AQ232" s="378"/>
    </row>
    <row r="233" spans="5:44" s="269" customFormat="1" ht="15" customHeight="1">
      <c r="E233" s="147"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4"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4"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4"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4" s="269" customFormat="1" ht="15" customHeight="1">
      <c r="E237" s="357" t="str">
        <f>Input!E237</f>
        <v>Allocation to faults</v>
      </c>
      <c r="G237" s="269" t="s">
        <v>47</v>
      </c>
      <c r="I237" s="356"/>
      <c r="AJ237" s="229"/>
      <c r="AK237" s="229"/>
      <c r="AL237" s="229"/>
      <c r="AM237" s="229"/>
      <c r="AN237" s="229"/>
      <c r="AO237" s="229"/>
      <c r="AP237" s="229"/>
      <c r="AQ237" s="229"/>
    </row>
    <row r="238" spans="5:44" s="269" customFormat="1" ht="15" customHeight="1">
      <c r="E238" s="357" t="s">
        <v>721</v>
      </c>
      <c r="G238" s="269" t="s">
        <v>47</v>
      </c>
      <c r="I238" s="356"/>
      <c r="AJ238" s="229"/>
      <c r="AK238" s="229"/>
      <c r="AL238" s="229"/>
      <c r="AM238" s="229"/>
      <c r="AN238" s="229"/>
      <c r="AO238" s="229"/>
      <c r="AP238" s="229"/>
      <c r="AQ238" s="229"/>
    </row>
    <row r="239" spans="5:44"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4"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G242" s="392"/>
      <c r="AJ242" s="150">
        <f>(AJ$107*AJ108)+(AJ$116*AJ117)+(AJ$125*AJ126)+(AJ$134*AJ135)+(AJ$143*AJ144)+(AJ$152*AJ153)+(AJ$161*AJ162)+(AJ$170*AJ171)+(AJ$179*AJ180)+(AJ$197*AJ198)+(AJ$188*AJ189)+(AJ206*AJ207)+(AJ215*AJ216)+(AJ$224*AJ225)+(AJ$233*AJ234)</f>
        <v>18.655062635266336</v>
      </c>
      <c r="AK242" s="150">
        <f t="shared" ref="AK242:AQ242" si="19">(AK$107*AK108)+(AK$116*AK117)+(AK$125*AK126)+(AK$134*AK135)+(AK$143*AK144)+(AK$152*AK153)+(AK$161*AK162)+(AK$170*AK171)+(AK$179*AK180)+(AK$197*AK198)+(AK$188*AK189)+(AK206*AK207)+(AK215*AK216)+(AK$224*AK225)+(AK$233*AK234)</f>
        <v>10.263053834528748</v>
      </c>
      <c r="AL242" s="150">
        <f t="shared" si="19"/>
        <v>10.656014184692804</v>
      </c>
      <c r="AM242" s="150">
        <f t="shared" si="19"/>
        <v>14.408029771178127</v>
      </c>
      <c r="AN242" s="150">
        <f t="shared" si="19"/>
        <v>18.847537939571172</v>
      </c>
      <c r="AO242" s="150">
        <f t="shared" si="19"/>
        <v>15.379198998892127</v>
      </c>
      <c r="AP242" s="150">
        <f t="shared" si="19"/>
        <v>12.003630694863315</v>
      </c>
      <c r="AQ242" s="150">
        <f t="shared" si="19"/>
        <v>14.249489429966481</v>
      </c>
    </row>
    <row r="243" spans="4:44" s="269" customFormat="1" ht="15" customHeight="1">
      <c r="E243" s="161" t="str">
        <f>Input!E243</f>
        <v>Variant allowed non-load related capex - asset replacement</v>
      </c>
      <c r="G243" s="269" t="s">
        <v>657</v>
      </c>
      <c r="I243" s="356"/>
      <c r="AE243" s="147"/>
      <c r="AG243" s="392"/>
      <c r="AJ243" s="150">
        <f>(AJ$107*AJ109)+(AJ$116*AJ118)+(AJ$125*AJ127)+(AJ$134*AJ136)+(AJ$143*AJ145)+(AJ$152*AJ154)+(AJ$161*AJ163)+(AJ$170*AJ172)+(AJ$179*AJ181)+(AJ$197*AJ199)+(AJ206*AJ208)+(AJ215*AJ217)+(AJ$188*AJ190)+(AJ$224*AJ226)+(AJ$233*AJ235)</f>
        <v>0.94932555702675214</v>
      </c>
      <c r="AK243" s="150">
        <f t="shared" ref="AK243:AQ243" si="20">(AK$107*AK109)+(AK$116*AK118)+(AK$125*AK127)+(AK$134*AK136)+(AK$143*AK145)+(AK$152*AK154)+(AK$161*AK163)+(AK$170*AK172)+(AK$179*AK181)+(AK$197*AK199)+(AK206*AK208)+(AK215*AK217)+(AK$188*AK190)+(AK$224*AK226)+(AK$233*AK235)</f>
        <v>0</v>
      </c>
      <c r="AL243" s="150">
        <f t="shared" si="20"/>
        <v>0.49269684106201472</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G244" s="392"/>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G245" s="392"/>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161" t="s">
        <v>722</v>
      </c>
      <c r="G246" s="269" t="s">
        <v>657</v>
      </c>
      <c r="I246" s="356"/>
      <c r="AG246" s="392"/>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G247" s="392"/>
      <c r="AH247" s="393"/>
      <c r="AJ247" s="150">
        <f>(AJ$107*AJ113)+(AJ$116*AJ122)+(AJ$125*AJ131)+(AJ$134*AJ140)+(AJ$143*AJ149)+(AJ$152*AJ158)+(AJ$161*AJ167)+(AJ$170*AJ176)+(AJ$179*AJ185)+(AJ$197*AJ203)+(AJ$188*AJ194)+(AJ206*AJ212)+(AJ215*AJ221)+(AJ$224*AJ230)+(AJ$233*AJ239)</f>
        <v>0.10399128895981924</v>
      </c>
      <c r="AK247" s="150">
        <f t="shared" ref="AK247:AQ247" si="24">(AK$107*AK113)+(AK$116*AK122)+(AK$125*AK131)+(AK$134*AK140)+(AK$143*AK149)+(AK$152*AK158)+(AK$161*AK167)+(AK$170*AK176)+(AK$179*AK185)+(AK$197*AK203)+(AK$188*AK194)+(AK206*AK212)+(AK215*AK221)+(AK$224*AK230)+(AK$233*AK239)</f>
        <v>0.1031205380322197</v>
      </c>
      <c r="AL247" s="150">
        <f t="shared" si="24"/>
        <v>7.8003014624899072E-2</v>
      </c>
      <c r="AM247" s="150">
        <f t="shared" si="24"/>
        <v>0.12921076769882894</v>
      </c>
      <c r="AN247" s="150">
        <f t="shared" si="24"/>
        <v>0.18159811484029079</v>
      </c>
      <c r="AO247" s="150">
        <f t="shared" si="24"/>
        <v>0.1188178273358198</v>
      </c>
      <c r="AP247" s="150">
        <f t="shared" si="24"/>
        <v>8.2610189120283131E-2</v>
      </c>
      <c r="AQ247" s="150">
        <f t="shared" si="24"/>
        <v>7.6310464234164946E-2</v>
      </c>
    </row>
    <row r="248" spans="4:44" s="269" customFormat="1" ht="15" customHeight="1">
      <c r="E248" s="161" t="str">
        <f>Input!E248</f>
        <v>Variant allowed controllable opex</v>
      </c>
      <c r="G248" s="269" t="s">
        <v>657</v>
      </c>
      <c r="I248" s="356"/>
      <c r="AG248" s="392"/>
      <c r="AJ248" s="150">
        <f>(AJ$107*AJ114)+(AJ$116*AJ123)+(AJ$125*AJ132)+(AJ$134*AJ141)+(AJ$143*AJ150)+(AJ$152*AJ159)+(AJ$161*AJ168)+(AJ$170*AJ177)+(AJ$179*AJ186)+(AJ$197*AJ204)+(AJ$188*AJ195)+(AJ206*AJ213)+(AJ215*AJ222)+(AJ$224*AJ231)+(AJ$233*AJ240)</f>
        <v>1.1380829386074389</v>
      </c>
      <c r="AK248" s="150">
        <f t="shared" ref="AK248:AQ248" si="25">(AK$107*AK114)+(AK$116*AK123)+(AK$125*AK132)+(AK$134*AK141)+(AK$143*AK150)+(AK$152*AK159)+(AK$161*AK168)+(AK$170*AK177)+(AK$179*AK186)+(AK$197*AK204)+(AK$188*AK195)+(AK206*AK213)+(AK215*AK222)+(AK$224*AK231)+(AK$233*AK240)</f>
        <v>1.9207548904530791</v>
      </c>
      <c r="AL248" s="150">
        <f t="shared" si="25"/>
        <v>2.8204710809317532</v>
      </c>
      <c r="AM248" s="150">
        <f t="shared" si="25"/>
        <v>3.2253892264360298</v>
      </c>
      <c r="AN248" s="150">
        <f t="shared" si="25"/>
        <v>3.1830920878240971</v>
      </c>
      <c r="AO248" s="150">
        <f t="shared" si="25"/>
        <v>2.3430819582888804</v>
      </c>
      <c r="AP248" s="150">
        <f t="shared" si="25"/>
        <v>0</v>
      </c>
      <c r="AQ248" s="150">
        <f t="shared" si="25"/>
        <v>0</v>
      </c>
    </row>
    <row r="249" spans="4:44" s="269" customFormat="1" ht="15" customHeight="1">
      <c r="E249" s="147"/>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161"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26.575556659429882</v>
      </c>
      <c r="AK262" s="227">
        <v>26.565608048450784</v>
      </c>
      <c r="AL262" s="227">
        <v>31.471937218508668</v>
      </c>
      <c r="AM262" s="227">
        <v>32.823559003123734</v>
      </c>
      <c r="AN262" s="227">
        <v>32.100194304756776</v>
      </c>
      <c r="AO262" s="227">
        <v>32.137654023308805</v>
      </c>
      <c r="AP262" s="227">
        <v>30.825933614628482</v>
      </c>
      <c r="AQ262" s="227">
        <v>30.806085421122642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11.480801074389522</v>
      </c>
      <c r="AK263" s="227">
        <v>11.536804982069471</v>
      </c>
      <c r="AL263" s="227">
        <v>11.593082079542981</v>
      </c>
      <c r="AM263" s="227">
        <v>11.649633699443189</v>
      </c>
      <c r="AN263" s="227">
        <v>11.70646118090389</v>
      </c>
      <c r="AO263" s="227">
        <v>11.763565869591226</v>
      </c>
      <c r="AP263" s="227">
        <v>11.820949117735577</v>
      </c>
      <c r="AQ263" s="227">
        <v>11.878612284163555</v>
      </c>
    </row>
    <row r="264" spans="2:44" ht="15" customHeight="1">
      <c r="E264" s="19" t="s">
        <v>105</v>
      </c>
      <c r="G264" s="19" t="s">
        <v>657</v>
      </c>
      <c r="AJ264" s="165">
        <f>SUM(AJ262:AJ263)</f>
        <v>38.056357733819404</v>
      </c>
      <c r="AK264" s="165">
        <f t="shared" ref="AK264:AQ264" si="31">SUM(AK262:AK263)</f>
        <v>38.102413030520253</v>
      </c>
      <c r="AL264" s="165">
        <f t="shared" si="31"/>
        <v>43.065019298051652</v>
      </c>
      <c r="AM264" s="165">
        <f t="shared" si="31"/>
        <v>44.473192702566919</v>
      </c>
      <c r="AN264" s="165">
        <f t="shared" si="31"/>
        <v>43.80665548566067</v>
      </c>
      <c r="AO264" s="165">
        <f t="shared" si="31"/>
        <v>43.901219892900031</v>
      </c>
      <c r="AP264" s="165">
        <f t="shared" si="31"/>
        <v>42.646882732364062</v>
      </c>
      <c r="AQ264" s="165">
        <f t="shared" si="31"/>
        <v>42.684697705286197</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6.878365211101003</v>
      </c>
      <c r="AK268" s="213">
        <f t="shared" si="33"/>
        <v>6.878365211101003</v>
      </c>
      <c r="AL268" s="213">
        <f t="shared" si="33"/>
        <v>6.878365211101003</v>
      </c>
      <c r="AM268" s="213">
        <f t="shared" si="33"/>
        <v>6.878365211101003</v>
      </c>
      <c r="AN268" s="213">
        <f t="shared" si="33"/>
        <v>6.878365211101003</v>
      </c>
      <c r="AO268" s="213">
        <f t="shared" si="33"/>
        <v>6.878365211101003</v>
      </c>
      <c r="AP268" s="213">
        <f t="shared" si="33"/>
        <v>6.878365211101003</v>
      </c>
      <c r="AQ268" s="213">
        <f t="shared" si="33"/>
        <v>6.878365211101003</v>
      </c>
      <c r="AR268" s="155"/>
    </row>
    <row r="269" spans="2:44" ht="15" customHeight="1"/>
    <row r="270" spans="2:44" ht="15" customHeight="1">
      <c r="E270" s="147" t="str">
        <f>Input!E270</f>
        <v>Other legacy adjustments' Revenue adjustment from previous controls</v>
      </c>
      <c r="G270" s="19" t="s">
        <v>657</v>
      </c>
      <c r="H270" s="378"/>
      <c r="I270" s="219">
        <v>12.897429022669643</v>
      </c>
      <c r="AJ270" s="422">
        <f>($I$270/8)</f>
        <v>1.6121786278337054</v>
      </c>
      <c r="AK270" s="423">
        <f>(($I$270/8)*(1+$AK$53))</f>
        <v>1.6727562397745568</v>
      </c>
      <c r="AL270" s="423">
        <f>($I$270/8)*(1+$AK$53)*(1+$AL$53)</f>
        <v>1.7356100554840856</v>
      </c>
      <c r="AM270" s="423">
        <f>($I$270/8)*(1+$AK$53)*(1+$AL$53)*(1+$AM$53)</f>
        <v>1.8008256033189001</v>
      </c>
      <c r="AN270" s="423">
        <f>($I$270/8)*(1+$AK$53)*(1+$AL$53)*(1+$AM$53)*(1+$AN$53)</f>
        <v>1.8684916253636077</v>
      </c>
      <c r="AO270" s="423">
        <f>($I$270/8)*(1+$AK$53)*(1+$AL$53)*(1+$AM$53)*(1+$AN$53)*(1+$AO$53)</f>
        <v>1.9387001981866452</v>
      </c>
      <c r="AP270" s="423">
        <f>($I$270/8)*(1+$AK$53)*(1+$AL$53)*(1+$AM$53)*(1+$AN$53)*(1+$AO$53)*(1+$AP$53)</f>
        <v>2.0115468581335083</v>
      </c>
      <c r="AQ270" s="424">
        <f>($I$270/8)*(1+$AK$53)*(1+$AL$53)*(1+$AM$53)*(1+$AN$53)*(1+$AO$53)*(1+$AP$53)*(1+$AQ$53)</f>
        <v>2.0871307313278749</v>
      </c>
    </row>
    <row r="271" spans="2:44" ht="15" customHeight="1">
      <c r="E271" s="147"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1.6121786278337054</v>
      </c>
      <c r="AK272" s="165">
        <f t="shared" ref="AK272:AQ272" si="34">AK270+AK271</f>
        <v>1.6727562397745568</v>
      </c>
      <c r="AL272" s="165">
        <f t="shared" si="34"/>
        <v>1.7356100554840856</v>
      </c>
      <c r="AM272" s="165">
        <f t="shared" si="34"/>
        <v>1.8008256033189001</v>
      </c>
      <c r="AN272" s="165">
        <f t="shared" si="34"/>
        <v>1.8684916253636077</v>
      </c>
      <c r="AO272" s="165">
        <f t="shared" si="34"/>
        <v>1.9387001981866452</v>
      </c>
      <c r="AP272" s="165">
        <f t="shared" si="34"/>
        <v>2.0115468581335083</v>
      </c>
      <c r="AQ272" s="165">
        <f t="shared" si="34"/>
        <v>2.0871307313278749</v>
      </c>
    </row>
    <row r="273" spans="5:43" ht="15" customHeight="1">
      <c r="AJ273" s="378"/>
      <c r="AK273" s="378"/>
      <c r="AL273" s="378"/>
      <c r="AM273" s="378"/>
      <c r="AN273" s="378"/>
      <c r="AO273" s="378"/>
      <c r="AP273" s="378"/>
      <c r="AQ273" s="378"/>
    </row>
    <row r="274" spans="5:43" ht="15" customHeight="1">
      <c r="E274" s="147" t="str">
        <f>Input!E274</f>
        <v>RAV Rolling Incentive legacy adjustments' price control allowed revenue</v>
      </c>
      <c r="G274" s="378" t="str">
        <f>Input!G274</f>
        <v>£m 12/13 prices</v>
      </c>
      <c r="I274" s="219">
        <v>-2.3877528645938004</v>
      </c>
      <c r="AJ274" s="422">
        <f>($I$274/8)</f>
        <v>-0.29846910807422505</v>
      </c>
      <c r="AK274" s="423">
        <f>($I$274/8)*(1+$AK$53)</f>
        <v>-0.30968408481011406</v>
      </c>
      <c r="AL274" s="423">
        <f>($I$274/8)*(1+$AK$53)*(1+$AL$53)</f>
        <v>-0.32132046429685407</v>
      </c>
      <c r="AM274" s="423">
        <f>($I$274/8)*(1+$AK$53)*(1+$AL$53)*(1+$AM$53)</f>
        <v>-0.33339408074280835</v>
      </c>
      <c r="AN274" s="423">
        <f>($I$274/8)*(1+$AK$53)*(1+$AL$53)*(1+$AM$53)*(1+$AN$53)</f>
        <v>-0.34592136332671936</v>
      </c>
      <c r="AO274" s="423">
        <f>($I$274/8)*(1+$AK$53)*(1+$AL$53)*(1+$AM$53)*(1+$AN$53)*(1+$AO$53)</f>
        <v>-0.35891935855372081</v>
      </c>
      <c r="AP274" s="423">
        <f>($I$274/8)*(1+$AK$53)*(1+$AL$53)*(1+$AM$53)*(1+$AN$53)*(1+$AO$53)*(1+$AP$53)</f>
        <v>-0.37240575345137683</v>
      </c>
      <c r="AQ274" s="424">
        <f>($I$274/8)*(1+$AK$53)*(1+$AL$53)*(1+$AM$53)*(1+$AN$53)*(1+$AO$53)*(1+$AP$53)*(1+$AQ$53)</f>
        <v>-0.38639889963731228</v>
      </c>
    </row>
    <row r="275" spans="5:43" ht="15" customHeight="1">
      <c r="E275" s="147"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147" t="str">
        <f>Input!E276</f>
        <v>RAV Rolling Incentive legacy adjustments' price control allowed revenue</v>
      </c>
      <c r="F276" s="19"/>
      <c r="G276" s="378" t="str">
        <f>Input!G276</f>
        <v>£m 12/13 prices</v>
      </c>
      <c r="AJ276" s="165">
        <f>AJ274+AJ275</f>
        <v>-0.29846910807422505</v>
      </c>
      <c r="AK276" s="165">
        <f t="shared" ref="AK276:AQ276" si="35">AK274+AK275</f>
        <v>-0.30968408481011406</v>
      </c>
      <c r="AL276" s="165">
        <f t="shared" si="35"/>
        <v>-0.32132046429685407</v>
      </c>
      <c r="AM276" s="165">
        <f t="shared" si="35"/>
        <v>-0.33339408074280835</v>
      </c>
      <c r="AN276" s="165">
        <f t="shared" si="35"/>
        <v>-0.34592136332671936</v>
      </c>
      <c r="AO276" s="165">
        <f t="shared" si="35"/>
        <v>-0.35891935855372081</v>
      </c>
      <c r="AP276" s="165">
        <f t="shared" si="35"/>
        <v>-0.37240575345137683</v>
      </c>
      <c r="AQ276" s="165">
        <f t="shared" si="35"/>
        <v>-0.38639889963731228</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v>-1.1000000000000001</v>
      </c>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147" t="str">
        <f>Input!E280</f>
        <v>Legacy Losses Incentive</v>
      </c>
      <c r="G280" s="19" t="s">
        <v>657</v>
      </c>
      <c r="AJ280" s="227">
        <v>-10.357690365140309</v>
      </c>
      <c r="AK280" s="227">
        <v>-10.357690365140309</v>
      </c>
      <c r="AL280" s="227">
        <v>-6.8190388210312705</v>
      </c>
      <c r="AM280" s="227">
        <v>0</v>
      </c>
      <c r="AN280" s="227">
        <v>0</v>
      </c>
      <c r="AO280" s="227">
        <v>0</v>
      </c>
      <c r="AP280" s="227">
        <v>0</v>
      </c>
      <c r="AQ280" s="227">
        <v>0</v>
      </c>
    </row>
    <row r="281" spans="5:43" s="378" customFormat="1" ht="15" customHeight="1">
      <c r="E281" s="378" t="str">
        <f>Input!E281</f>
        <v>Adjustment for Rebate</v>
      </c>
      <c r="G281" s="19" t="s">
        <v>657</v>
      </c>
      <c r="AJ281" s="227">
        <f>(13.3199366076/((AH59/AG59)))*(1+1.5%+0.5%)</f>
        <v>13.205406519025397</v>
      </c>
      <c r="AK281" s="227"/>
      <c r="AL281" s="227"/>
      <c r="AM281" s="227"/>
      <c r="AN281" s="227"/>
      <c r="AO281" s="227"/>
      <c r="AP281" s="227"/>
      <c r="AQ281" s="227"/>
    </row>
    <row r="282" spans="5:43" ht="15" customHeight="1">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8.4000000000000019E-2</v>
      </c>
      <c r="AK287" s="219">
        <v>8.4000000000000019E-2</v>
      </c>
      <c r="AL287" s="219">
        <v>8.4000000000000019E-2</v>
      </c>
      <c r="AM287" s="219">
        <v>8.4000000000000019E-2</v>
      </c>
      <c r="AN287" s="219">
        <v>8.4000000000000019E-2</v>
      </c>
      <c r="AO287" s="219">
        <v>8.4000000000000019E-2</v>
      </c>
      <c r="AP287" s="219">
        <v>8.4000000000000019E-2</v>
      </c>
      <c r="AQ287" s="219">
        <v>8.4000000000000019E-2</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8.4000000000000019E-2</v>
      </c>
      <c r="AK289" s="165">
        <f t="shared" ref="AK289:AQ289" si="37">SUM(AK287,AK288)</f>
        <v>8.4000000000000019E-2</v>
      </c>
      <c r="AL289" s="165">
        <f t="shared" si="37"/>
        <v>8.4000000000000019E-2</v>
      </c>
      <c r="AM289" s="165">
        <f t="shared" si="37"/>
        <v>8.4000000000000019E-2</v>
      </c>
      <c r="AN289" s="165">
        <f t="shared" si="37"/>
        <v>8.4000000000000019E-2</v>
      </c>
      <c r="AO289" s="165">
        <f t="shared" si="37"/>
        <v>8.4000000000000019E-2</v>
      </c>
      <c r="AP289" s="165">
        <f t="shared" si="37"/>
        <v>8.4000000000000019E-2</v>
      </c>
      <c r="AQ289" s="165">
        <f t="shared" si="37"/>
        <v>8.4000000000000019E-2</v>
      </c>
    </row>
    <row r="290" spans="4:43" ht="15" customHeight="1">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AE292" s="378"/>
      <c r="AF292" s="378"/>
      <c r="AG292" s="378"/>
      <c r="AH292" s="378"/>
      <c r="AI292" s="378"/>
      <c r="AJ292" s="378"/>
      <c r="AK292" s="378"/>
      <c r="AL292" s="378"/>
      <c r="AM292" s="378"/>
      <c r="AN292" s="378"/>
      <c r="AO292" s="378"/>
      <c r="AP292" s="378"/>
      <c r="AQ292" s="378"/>
    </row>
    <row r="293" spans="4:43" ht="15" customHeight="1">
      <c r="E293" s="147" t="str">
        <f>Input!E293</f>
        <v>Connections Sole Use funded &amp; DG (DRS 1) revenue/customer contributions</v>
      </c>
      <c r="G293" s="147" t="str">
        <f>Input!G293</f>
        <v>£m 12/13 prices</v>
      </c>
      <c r="AE293" s="219">
        <v>0</v>
      </c>
      <c r="AF293" s="219">
        <v>0</v>
      </c>
      <c r="AG293" s="219">
        <v>0</v>
      </c>
      <c r="AH293" s="219">
        <v>0</v>
      </c>
      <c r="AI293" s="219">
        <v>0</v>
      </c>
      <c r="AJ293" s="219">
        <v>29.95334205564383</v>
      </c>
      <c r="AK293" s="219">
        <v>28.389357666446507</v>
      </c>
      <c r="AL293" s="219">
        <v>27.37674087452098</v>
      </c>
      <c r="AM293" s="219">
        <v>25.674673344480698</v>
      </c>
      <c r="AN293" s="219">
        <v>25.3149513928267</v>
      </c>
      <c r="AO293" s="219">
        <v>25.249692783494165</v>
      </c>
      <c r="AP293" s="219">
        <v>25.99149826249764</v>
      </c>
      <c r="AQ293" s="219">
        <v>25.364429150278792</v>
      </c>
    </row>
    <row r="294" spans="4:43" ht="15" customHeight="1">
      <c r="E294" s="147" t="str">
        <f>Input!E294</f>
        <v>Connections Sole Use funded &amp; DG (DRS 1) costs</v>
      </c>
      <c r="G294" s="147" t="str">
        <f>Input!G294</f>
        <v>£m 12/13 prices</v>
      </c>
      <c r="AE294" s="219">
        <v>0</v>
      </c>
      <c r="AF294" s="219">
        <v>0</v>
      </c>
      <c r="AG294" s="219">
        <v>0</v>
      </c>
      <c r="AH294" s="219">
        <v>0</v>
      </c>
      <c r="AI294" s="219">
        <v>0</v>
      </c>
      <c r="AJ294" s="219">
        <v>-29.716792388324691</v>
      </c>
      <c r="AK294" s="219">
        <v>-28.005406658812767</v>
      </c>
      <c r="AL294" s="219">
        <v>-27.249479785775812</v>
      </c>
      <c r="AM294" s="219">
        <v>-25.40646950880668</v>
      </c>
      <c r="AN294" s="219">
        <v>-25.322507132370966</v>
      </c>
      <c r="AO294" s="219">
        <v>-25.30580168901632</v>
      </c>
      <c r="AP294" s="219">
        <v>-25.900138454951062</v>
      </c>
      <c r="AQ294" s="219">
        <v>-25.260871595491928</v>
      </c>
    </row>
    <row r="295" spans="4:43" ht="15" customHeight="1">
      <c r="E295" s="147" t="str">
        <f>Input!E295</f>
        <v>Connections Sole Use funded &amp; DG (DRS 1) net position</v>
      </c>
      <c r="G295" s="147" t="str">
        <f>Input!G295</f>
        <v>£m 12/13 prices</v>
      </c>
      <c r="AE295" s="165">
        <f t="shared" ref="AE295:AF295" si="38">SUM(AE293,AE294)</f>
        <v>0</v>
      </c>
      <c r="AF295" s="165">
        <f t="shared" si="38"/>
        <v>0</v>
      </c>
      <c r="AG295" s="165">
        <f t="shared" ref="AG295:AJ295" si="39">SUM(AG293,AG294)</f>
        <v>0</v>
      </c>
      <c r="AH295" s="165">
        <f t="shared" si="39"/>
        <v>0</v>
      </c>
      <c r="AI295" s="165">
        <f t="shared" si="39"/>
        <v>0</v>
      </c>
      <c r="AJ295" s="165">
        <f t="shared" si="39"/>
        <v>0.23654966731913873</v>
      </c>
      <c r="AK295" s="165">
        <f t="shared" ref="AK295:AQ295" si="40">SUM(AK293,AK294)</f>
        <v>0.38395100763374046</v>
      </c>
      <c r="AL295" s="165">
        <f t="shared" si="40"/>
        <v>0.12726108874516839</v>
      </c>
      <c r="AM295" s="165">
        <f t="shared" si="40"/>
        <v>0.26820383567401862</v>
      </c>
      <c r="AN295" s="165">
        <f t="shared" si="40"/>
        <v>-7.5557395442658049E-3</v>
      </c>
      <c r="AO295" s="165">
        <f t="shared" si="40"/>
        <v>-5.6108905522155084E-2</v>
      </c>
      <c r="AP295" s="165">
        <f t="shared" si="40"/>
        <v>9.1359807546577798E-2</v>
      </c>
      <c r="AQ295" s="165">
        <f t="shared" si="40"/>
        <v>0.1035575547868639</v>
      </c>
    </row>
    <row r="296" spans="4:43" ht="15" customHeight="1">
      <c r="AE296" s="378"/>
      <c r="AF296" s="378"/>
      <c r="AG296" s="378"/>
      <c r="AH296" s="378"/>
      <c r="AI296" s="378"/>
      <c r="AJ296" s="378"/>
      <c r="AK296" s="378"/>
      <c r="AL296" s="378"/>
      <c r="AM296" s="378"/>
      <c r="AN296" s="378"/>
      <c r="AO296" s="378"/>
      <c r="AP296" s="378"/>
      <c r="AQ296" s="378"/>
    </row>
    <row r="297" spans="4:43" ht="15" customHeight="1">
      <c r="E297" s="147" t="str">
        <f>Input!E297</f>
        <v>Connection projects UMC (DRS 1) revenue/customer contributions</v>
      </c>
      <c r="G297" s="147" t="str">
        <f>Input!G297</f>
        <v>£m 12/13 prices</v>
      </c>
      <c r="AE297" s="219">
        <v>0</v>
      </c>
      <c r="AF297" s="219">
        <v>0</v>
      </c>
      <c r="AG297" s="219">
        <v>0</v>
      </c>
      <c r="AH297" s="219">
        <v>0</v>
      </c>
      <c r="AI297" s="219">
        <v>0</v>
      </c>
      <c r="AJ297" s="219">
        <v>6.0039127109796553</v>
      </c>
      <c r="AK297" s="219">
        <v>5.8223299447460564</v>
      </c>
      <c r="AL297" s="219">
        <v>5.7087738586941743</v>
      </c>
      <c r="AM297" s="219">
        <v>5.7183488697067162</v>
      </c>
      <c r="AN297" s="219">
        <v>5.7114013204057121</v>
      </c>
      <c r="AO297" s="219">
        <v>5.6971574893150478</v>
      </c>
      <c r="AP297" s="219">
        <v>5.786227734135533</v>
      </c>
      <c r="AQ297" s="219">
        <v>5.7377151219429026</v>
      </c>
    </row>
    <row r="298" spans="4:43" ht="15" customHeight="1">
      <c r="E298" s="147" t="str">
        <f>Input!E298</f>
        <v>Connection projects UMC (DRS 1) costs</v>
      </c>
      <c r="G298" s="147" t="str">
        <f>Input!G298</f>
        <v>£m 12/13 prices</v>
      </c>
      <c r="AE298" s="219">
        <v>0</v>
      </c>
      <c r="AF298" s="219">
        <v>0</v>
      </c>
      <c r="AG298" s="219">
        <v>0</v>
      </c>
      <c r="AH298" s="219">
        <v>0</v>
      </c>
      <c r="AI298" s="219">
        <v>0</v>
      </c>
      <c r="AJ298" s="219">
        <v>-5.8578989775839156</v>
      </c>
      <c r="AK298" s="219">
        <v>-5.7669593393448455</v>
      </c>
      <c r="AL298" s="219">
        <v>-5.7253687548528429</v>
      </c>
      <c r="AM298" s="219">
        <v>-5.678731652355153</v>
      </c>
      <c r="AN298" s="219">
        <v>-5.6537210126965531</v>
      </c>
      <c r="AO298" s="219">
        <v>-5.6462074916884681</v>
      </c>
      <c r="AP298" s="219">
        <v>-5.7766578251466321</v>
      </c>
      <c r="AQ298" s="219">
        <v>-5.6345739587627719</v>
      </c>
    </row>
    <row r="299" spans="4:43" ht="15" customHeight="1">
      <c r="E299" s="147" t="str">
        <f>Input!E299</f>
        <v>Connection projects UMC (DRS 1) net position</v>
      </c>
      <c r="G299" s="147" t="str">
        <f>Input!G299</f>
        <v>£m 12/13 prices</v>
      </c>
      <c r="AE299" s="165">
        <f t="shared" ref="AE299:AF299" si="41">SUM(AE297,AE298)</f>
        <v>0</v>
      </c>
      <c r="AF299" s="165">
        <f t="shared" si="41"/>
        <v>0</v>
      </c>
      <c r="AG299" s="165">
        <f t="shared" ref="AG299:AJ299" si="42">SUM(AG297,AG298)</f>
        <v>0</v>
      </c>
      <c r="AH299" s="165">
        <f t="shared" si="42"/>
        <v>0</v>
      </c>
      <c r="AI299" s="165">
        <f t="shared" si="42"/>
        <v>0</v>
      </c>
      <c r="AJ299" s="165">
        <f t="shared" si="42"/>
        <v>0.14601373339573964</v>
      </c>
      <c r="AK299" s="165">
        <f t="shared" ref="AK299:AQ299" si="43">SUM(AK297,AK298)</f>
        <v>5.5370605401210859E-2</v>
      </c>
      <c r="AL299" s="165">
        <f t="shared" si="43"/>
        <v>-1.6594896158668604E-2</v>
      </c>
      <c r="AM299" s="165">
        <f t="shared" si="43"/>
        <v>3.9617217351563205E-2</v>
      </c>
      <c r="AN299" s="165">
        <f t="shared" si="43"/>
        <v>5.7680307709158996E-2</v>
      </c>
      <c r="AO299" s="165">
        <f t="shared" si="43"/>
        <v>5.0949997626579702E-2</v>
      </c>
      <c r="AP299" s="165">
        <f t="shared" si="43"/>
        <v>9.569908988900977E-3</v>
      </c>
      <c r="AQ299" s="165">
        <f t="shared" si="43"/>
        <v>0.10314116318013067</v>
      </c>
    </row>
    <row r="300" spans="4:43" ht="15" customHeight="1">
      <c r="AE300" s="378"/>
      <c r="AF300" s="378"/>
      <c r="AG300" s="378"/>
      <c r="AH300" s="378"/>
      <c r="AI300" s="378"/>
      <c r="AJ300" s="378"/>
      <c r="AK300" s="378"/>
      <c r="AL300" s="378"/>
      <c r="AM300" s="378"/>
      <c r="AN300" s="378"/>
      <c r="AO300" s="378"/>
      <c r="AP300" s="378"/>
      <c r="AQ300" s="378"/>
    </row>
    <row r="301" spans="4:43" ht="15" customHeight="1">
      <c r="E301" s="147" t="str">
        <f>Input!E301</f>
        <v>Diversionary works under obligation (DRS 2) revenue</v>
      </c>
      <c r="G301" s="147" t="str">
        <f>Input!G301</f>
        <v>£m 12/13 prices</v>
      </c>
      <c r="AE301" s="219">
        <v>0</v>
      </c>
      <c r="AF301" s="219">
        <v>0</v>
      </c>
      <c r="AG301" s="219">
        <v>0</v>
      </c>
      <c r="AH301" s="219">
        <v>0</v>
      </c>
      <c r="AI301" s="219">
        <v>0</v>
      </c>
      <c r="AJ301" s="219">
        <v>1.1830166814278056</v>
      </c>
      <c r="AK301" s="219">
        <v>1.3557273446756699</v>
      </c>
      <c r="AL301" s="219">
        <v>1.5335699172458099</v>
      </c>
      <c r="AM301" s="219">
        <v>1.6607733936568687</v>
      </c>
      <c r="AN301" s="219">
        <v>1.6036191685474419</v>
      </c>
      <c r="AO301" s="219">
        <v>1.4902209966729589</v>
      </c>
      <c r="AP301" s="219">
        <v>1.4709845374748496</v>
      </c>
      <c r="AQ301" s="219">
        <v>1.420343045290883</v>
      </c>
    </row>
    <row r="302" spans="4:43" ht="15" customHeight="1">
      <c r="E302" s="147" t="str">
        <f>Input!E302</f>
        <v>Diversionary works under obligation (DRS 2) costs</v>
      </c>
      <c r="G302" s="147" t="str">
        <f>Input!G302</f>
        <v>£m 12/13 prices</v>
      </c>
      <c r="AE302" s="219">
        <v>0</v>
      </c>
      <c r="AF302" s="219">
        <v>0</v>
      </c>
      <c r="AG302" s="219">
        <v>0</v>
      </c>
      <c r="AH302" s="219">
        <v>0</v>
      </c>
      <c r="AI302" s="219">
        <v>0</v>
      </c>
      <c r="AJ302" s="219">
        <v>-1.2119128942916215</v>
      </c>
      <c r="AK302" s="219">
        <v>-1.3888421659221148</v>
      </c>
      <c r="AL302" s="219">
        <v>-1.571028698230027</v>
      </c>
      <c r="AM302" s="219">
        <v>-1.7013392303479882</v>
      </c>
      <c r="AN302" s="219">
        <v>-1.6427889635083337</v>
      </c>
      <c r="AO302" s="219">
        <v>-1.5266209425148189</v>
      </c>
      <c r="AP302" s="219">
        <v>-1.5069146160456381</v>
      </c>
      <c r="AQ302" s="219">
        <v>-1.4550361613058072</v>
      </c>
    </row>
    <row r="303" spans="4:43" ht="15" customHeight="1">
      <c r="E303" s="147" t="str">
        <f>Input!E303</f>
        <v>Diversionary works under obligation (DRS 2) net position</v>
      </c>
      <c r="G303" s="147" t="str">
        <f>Input!G303</f>
        <v>£m 12/13 prices</v>
      </c>
      <c r="AE303" s="165">
        <f t="shared" ref="AE303:AI303" si="44">SUM(AE301,AE302)</f>
        <v>0</v>
      </c>
      <c r="AF303" s="165">
        <f t="shared" si="44"/>
        <v>0</v>
      </c>
      <c r="AG303" s="165">
        <f t="shared" si="44"/>
        <v>0</v>
      </c>
      <c r="AH303" s="165">
        <f t="shared" si="44"/>
        <v>0</v>
      </c>
      <c r="AI303" s="165">
        <f t="shared" si="44"/>
        <v>0</v>
      </c>
      <c r="AJ303" s="165">
        <f>SUM(AJ301,AJ302)</f>
        <v>-2.889621286381594E-2</v>
      </c>
      <c r="AK303" s="165">
        <f t="shared" ref="AK303:AQ303" si="45">SUM(AK301,AK302)</f>
        <v>-3.3114821246444937E-2</v>
      </c>
      <c r="AL303" s="165">
        <f t="shared" si="45"/>
        <v>-3.7458780984217066E-2</v>
      </c>
      <c r="AM303" s="165">
        <f t="shared" si="45"/>
        <v>-4.0565836691119461E-2</v>
      </c>
      <c r="AN303" s="165">
        <f t="shared" si="45"/>
        <v>-3.9169794960891791E-2</v>
      </c>
      <c r="AO303" s="165">
        <f t="shared" si="45"/>
        <v>-3.6399945841860015E-2</v>
      </c>
      <c r="AP303" s="165">
        <f t="shared" si="45"/>
        <v>-3.5930078570788559E-2</v>
      </c>
      <c r="AQ303" s="165">
        <f t="shared" si="45"/>
        <v>-3.4693116014924197E-2</v>
      </c>
    </row>
    <row r="304" spans="4:43" ht="15" customHeight="1">
      <c r="AE304" s="378"/>
      <c r="AF304" s="378"/>
      <c r="AG304" s="378"/>
      <c r="AH304" s="378"/>
      <c r="AI304" s="378"/>
      <c r="AJ304" s="378"/>
      <c r="AK304" s="378"/>
      <c r="AL304" s="378"/>
      <c r="AM304" s="378"/>
      <c r="AN304" s="378"/>
      <c r="AO304" s="378"/>
      <c r="AP304" s="378"/>
      <c r="AQ304" s="378"/>
    </row>
    <row r="305" spans="5:43" ht="15" customHeight="1">
      <c r="E305" s="147" t="str">
        <f>Input!E305</f>
        <v>Work required by any alteration premises (DRS 3) revenue</v>
      </c>
      <c r="G305" s="147" t="str">
        <f>Input!G305</f>
        <v>£m 12/13 prices</v>
      </c>
      <c r="AE305" s="219">
        <v>0</v>
      </c>
      <c r="AF305" s="219">
        <v>0</v>
      </c>
      <c r="AG305" s="219">
        <v>0</v>
      </c>
      <c r="AH305" s="219">
        <v>0</v>
      </c>
      <c r="AI305" s="219">
        <v>0</v>
      </c>
      <c r="AJ305" s="219">
        <v>0.30966068282104625</v>
      </c>
      <c r="AK305" s="219">
        <v>0.35486858457883153</v>
      </c>
      <c r="AL305" s="219">
        <v>0.40141978991792687</v>
      </c>
      <c r="AM305" s="219">
        <v>0.43471595216233316</v>
      </c>
      <c r="AN305" s="219">
        <v>0.41975554065559739</v>
      </c>
      <c r="AO305" s="219">
        <v>0.39007298766663207</v>
      </c>
      <c r="AP305" s="219">
        <v>0.38503774582781336</v>
      </c>
      <c r="AQ305" s="219">
        <v>0.37178207556132375</v>
      </c>
    </row>
    <row r="306" spans="5:43" ht="15" customHeight="1">
      <c r="E306" s="147" t="str">
        <f>Input!E306</f>
        <v>Work required by any alteration premises (DRS 3) costs</v>
      </c>
      <c r="G306" s="147" t="str">
        <f>Input!G306</f>
        <v>£m 12/13 prices</v>
      </c>
      <c r="AE306" s="219">
        <v>0</v>
      </c>
      <c r="AF306" s="219">
        <v>0</v>
      </c>
      <c r="AG306" s="219">
        <v>0</v>
      </c>
      <c r="AH306" s="219">
        <v>0</v>
      </c>
      <c r="AI306" s="219">
        <v>0</v>
      </c>
      <c r="AJ306" s="219">
        <v>-0.30888968276187795</v>
      </c>
      <c r="AK306" s="219">
        <v>-0.35398502487982597</v>
      </c>
      <c r="AL306" s="219">
        <v>-0.40042032599193378</v>
      </c>
      <c r="AM306" s="219">
        <v>-0.43363358671062274</v>
      </c>
      <c r="AN306" s="219">
        <v>-0.41871042396938019</v>
      </c>
      <c r="AO306" s="219">
        <v>-0.38910177526139195</v>
      </c>
      <c r="AP306" s="219">
        <v>-0.38407907027975607</v>
      </c>
      <c r="AQ306" s="219">
        <v>-0.37085640427608302</v>
      </c>
    </row>
    <row r="307" spans="5:43" ht="15" customHeight="1">
      <c r="E307" s="147" t="str">
        <f>Input!E307</f>
        <v>Work required by any alteration premises (DRS 3) net position</v>
      </c>
      <c r="G307" s="147" t="str">
        <f>Input!G307</f>
        <v>£m 12/13 prices</v>
      </c>
      <c r="AE307" s="165">
        <f t="shared" ref="AE307:AI307" si="46">SUM(AE305,AE306)</f>
        <v>0</v>
      </c>
      <c r="AF307" s="165">
        <f t="shared" si="46"/>
        <v>0</v>
      </c>
      <c r="AG307" s="165">
        <f t="shared" si="46"/>
        <v>0</v>
      </c>
      <c r="AH307" s="165">
        <f t="shared" si="46"/>
        <v>0</v>
      </c>
      <c r="AI307" s="165">
        <f t="shared" si="46"/>
        <v>0</v>
      </c>
      <c r="AJ307" s="165">
        <f>SUM(AJ305,AJ306)</f>
        <v>7.7100005916830305E-4</v>
      </c>
      <c r="AK307" s="165">
        <f t="shared" ref="AK307:AQ307" si="47">SUM(AK305,AK306)</f>
        <v>8.8355969900555387E-4</v>
      </c>
      <c r="AL307" s="165">
        <f t="shared" si="47"/>
        <v>9.9946392599309375E-4</v>
      </c>
      <c r="AM307" s="165">
        <f t="shared" si="47"/>
        <v>1.0823654517104209E-3</v>
      </c>
      <c r="AN307" s="165">
        <f t="shared" si="47"/>
        <v>1.0451166862172068E-3</v>
      </c>
      <c r="AO307" s="165">
        <f t="shared" si="47"/>
        <v>9.7121240524011831E-4</v>
      </c>
      <c r="AP307" s="165">
        <f t="shared" si="47"/>
        <v>9.5867554805728616E-4</v>
      </c>
      <c r="AQ307" s="165">
        <f t="shared" si="47"/>
        <v>9.2567128524073672E-4</v>
      </c>
    </row>
    <row r="308" spans="5:43" ht="15" customHeight="1">
      <c r="AE308" s="378"/>
      <c r="AF308" s="378"/>
      <c r="AG308" s="378"/>
      <c r="AH308" s="378"/>
      <c r="AI308" s="378"/>
      <c r="AJ308" s="378"/>
      <c r="AK308" s="378"/>
      <c r="AL308" s="378"/>
      <c r="AM308" s="378"/>
      <c r="AN308" s="378"/>
      <c r="AO308" s="378"/>
      <c r="AP308" s="378"/>
      <c r="AQ308" s="378"/>
    </row>
    <row r="309" spans="5:43" ht="15" customHeight="1">
      <c r="E309" s="147"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147"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147" t="str">
        <f>Input!E311</f>
        <v>Top up standby and enhanced system security (DRS 4) net position</v>
      </c>
      <c r="G311" s="147" t="str">
        <f>Input!G311</f>
        <v>£m 12/13 prices</v>
      </c>
      <c r="AE311" s="165">
        <f t="shared" ref="AE311:AI311" si="48">SUM(AE309,AE310)</f>
        <v>0</v>
      </c>
      <c r="AF311" s="165">
        <f t="shared" si="48"/>
        <v>0</v>
      </c>
      <c r="AG311" s="165">
        <f t="shared" si="48"/>
        <v>0</v>
      </c>
      <c r="AH311" s="165">
        <f t="shared" si="48"/>
        <v>0</v>
      </c>
      <c r="AI311" s="165">
        <f t="shared" si="48"/>
        <v>0</v>
      </c>
      <c r="AJ311" s="165">
        <f>SUM(AJ309,AJ310)</f>
        <v>0</v>
      </c>
      <c r="AK311" s="165">
        <f t="shared" ref="AK311:AQ311" si="49">SUM(AK309,AK310)</f>
        <v>0</v>
      </c>
      <c r="AL311" s="165">
        <f t="shared" si="49"/>
        <v>0</v>
      </c>
      <c r="AM311" s="165">
        <f t="shared" si="49"/>
        <v>0</v>
      </c>
      <c r="AN311" s="165">
        <f t="shared" si="49"/>
        <v>0</v>
      </c>
      <c r="AO311" s="165">
        <f t="shared" si="49"/>
        <v>0</v>
      </c>
      <c r="AP311" s="165">
        <f t="shared" si="49"/>
        <v>0</v>
      </c>
      <c r="AQ311" s="165">
        <f t="shared" si="49"/>
        <v>0</v>
      </c>
    </row>
    <row r="312" spans="5:43" ht="15" customHeight="1">
      <c r="AE312" s="378"/>
      <c r="AF312" s="378"/>
      <c r="AG312" s="378"/>
      <c r="AH312" s="378"/>
      <c r="AI312" s="378"/>
      <c r="AJ312" s="378"/>
      <c r="AK312" s="378"/>
      <c r="AL312" s="378"/>
      <c r="AM312" s="378"/>
      <c r="AN312" s="378"/>
      <c r="AO312" s="378"/>
      <c r="AP312" s="378"/>
      <c r="AQ312" s="378"/>
    </row>
    <row r="313" spans="5:43" ht="15" customHeight="1">
      <c r="E313" s="147" t="str">
        <f>Input!E313</f>
        <v>Revenue protection services (DRS 5) revenue</v>
      </c>
      <c r="G313" s="147" t="str">
        <f>Input!G313</f>
        <v>£m 12/13 prices</v>
      </c>
      <c r="AE313" s="219">
        <v>0</v>
      </c>
      <c r="AF313" s="219">
        <v>0</v>
      </c>
      <c r="AG313" s="219">
        <v>0</v>
      </c>
      <c r="AH313" s="219">
        <v>0</v>
      </c>
      <c r="AI313" s="219">
        <v>0</v>
      </c>
      <c r="AJ313" s="219">
        <v>7.0416195949141641E-2</v>
      </c>
      <c r="AK313" s="219">
        <v>8.0696378888818976E-2</v>
      </c>
      <c r="AL313" s="219">
        <v>9.1282026272154412E-2</v>
      </c>
      <c r="AM313" s="219">
        <v>9.885350439329342E-2</v>
      </c>
      <c r="AN313" s="219">
        <v>9.5451537897124156E-2</v>
      </c>
      <c r="AO313" s="219">
        <v>8.8701787013349048E-2</v>
      </c>
      <c r="AP313" s="219">
        <v>8.7556783479986439E-2</v>
      </c>
      <c r="AQ313" s="219">
        <v>8.4542471600225572E-2</v>
      </c>
    </row>
    <row r="314" spans="5:43" ht="15" customHeight="1">
      <c r="E314" s="147" t="str">
        <f>Input!E314</f>
        <v>Revenue protection services (DRS 5) costs</v>
      </c>
      <c r="G314" s="147" t="str">
        <f>Input!G314</f>
        <v>£m 12/13 prices</v>
      </c>
      <c r="AE314" s="219">
        <v>0</v>
      </c>
      <c r="AF314" s="219">
        <v>0</v>
      </c>
      <c r="AG314" s="219">
        <v>0</v>
      </c>
      <c r="AH314" s="219">
        <v>0</v>
      </c>
      <c r="AI314" s="219">
        <v>0</v>
      </c>
      <c r="AJ314" s="219">
        <v>-9.3965300915500233E-2</v>
      </c>
      <c r="AK314" s="219">
        <v>-0.10768345865425194</v>
      </c>
      <c r="AL314" s="219">
        <v>-0.12180923651477289</v>
      </c>
      <c r="AM314" s="219">
        <v>-0.131912824339111</v>
      </c>
      <c r="AN314" s="219">
        <v>-0.12737314705026859</v>
      </c>
      <c r="AO314" s="219">
        <v>-0.11836609456256142</v>
      </c>
      <c r="AP314" s="219">
        <v>-0.1168381704804449</v>
      </c>
      <c r="AQ314" s="219">
        <v>-0.11281579013147705</v>
      </c>
    </row>
    <row r="315" spans="5:43" ht="15" customHeight="1">
      <c r="E315" s="147" t="str">
        <f>Input!E315</f>
        <v>Revenue protection services (DRS 5) net position</v>
      </c>
      <c r="G315" s="147" t="str">
        <f>Input!G315</f>
        <v>£m 12/13 prices</v>
      </c>
      <c r="AE315" s="165">
        <f t="shared" ref="AE315:AI315" si="50">SUM(AE313,AE314)</f>
        <v>0</v>
      </c>
      <c r="AF315" s="165">
        <f t="shared" si="50"/>
        <v>0</v>
      </c>
      <c r="AG315" s="165">
        <f t="shared" si="50"/>
        <v>0</v>
      </c>
      <c r="AH315" s="165">
        <f t="shared" si="50"/>
        <v>0</v>
      </c>
      <c r="AI315" s="165">
        <f t="shared" si="50"/>
        <v>0</v>
      </c>
      <c r="AJ315" s="165">
        <f>SUM(AJ313,AJ314)</f>
        <v>-2.3549104966358592E-2</v>
      </c>
      <c r="AK315" s="165">
        <f t="shared" ref="AK315:AQ315" si="51">SUM(AK313,AK314)</f>
        <v>-2.6987079765432964E-2</v>
      </c>
      <c r="AL315" s="165">
        <f t="shared" si="51"/>
        <v>-3.052721024261848E-2</v>
      </c>
      <c r="AM315" s="165">
        <f t="shared" si="51"/>
        <v>-3.3059319945817581E-2</v>
      </c>
      <c r="AN315" s="165">
        <f t="shared" si="51"/>
        <v>-3.1921609153144431E-2</v>
      </c>
      <c r="AO315" s="165">
        <f t="shared" si="51"/>
        <v>-2.9664307549212371E-2</v>
      </c>
      <c r="AP315" s="165">
        <f t="shared" si="51"/>
        <v>-2.9281387000458459E-2</v>
      </c>
      <c r="AQ315" s="165">
        <f t="shared" si="51"/>
        <v>-2.8273318531251479E-2</v>
      </c>
    </row>
    <row r="316" spans="5:43" ht="15" customHeight="1">
      <c r="AE316" s="378"/>
      <c r="AF316" s="378"/>
      <c r="AG316" s="378"/>
      <c r="AH316" s="378"/>
      <c r="AI316" s="378"/>
      <c r="AJ316" s="378"/>
      <c r="AK316" s="378"/>
      <c r="AL316" s="378"/>
      <c r="AM316" s="378"/>
      <c r="AN316" s="378"/>
      <c r="AO316" s="378"/>
      <c r="AP316" s="378"/>
      <c r="AQ316" s="378"/>
    </row>
    <row r="317" spans="5:43" ht="15" customHeight="1">
      <c r="E317" s="147" t="str">
        <f>Input!E317</f>
        <v>Metering services (non legacy) (DRS 6) revenue</v>
      </c>
      <c r="G317" s="147" t="str">
        <f>Input!G317</f>
        <v>£m 12/13 prices</v>
      </c>
      <c r="AE317" s="219">
        <v>0</v>
      </c>
      <c r="AF317" s="219">
        <v>0</v>
      </c>
      <c r="AG317" s="219">
        <v>0</v>
      </c>
      <c r="AH317" s="219">
        <v>0</v>
      </c>
      <c r="AI317" s="219">
        <v>0</v>
      </c>
      <c r="AJ317" s="219">
        <v>0.85285161713758995</v>
      </c>
      <c r="AK317" s="219">
        <v>0.97736090830842259</v>
      </c>
      <c r="AL317" s="219">
        <v>1.10556985750878</v>
      </c>
      <c r="AM317" s="219">
        <v>1.1972724448567125</v>
      </c>
      <c r="AN317" s="219">
        <v>1.1560692445332899</v>
      </c>
      <c r="AO317" s="219">
        <v>1.0743190750032408</v>
      </c>
      <c r="AP317" s="219">
        <v>1.0604512694239412</v>
      </c>
      <c r="AQ317" s="219">
        <v>1.0239431802470158</v>
      </c>
    </row>
    <row r="318" spans="5:43" ht="15" customHeight="1">
      <c r="E318" s="147" t="str">
        <f>Input!E318</f>
        <v>Metering services (non legacy) (DRS 6) costs</v>
      </c>
      <c r="G318" s="147" t="str">
        <f>Input!G318</f>
        <v>£m 12/13 prices</v>
      </c>
      <c r="AE318" s="219">
        <v>0</v>
      </c>
      <c r="AF318" s="219">
        <v>0</v>
      </c>
      <c r="AG318" s="219">
        <v>0</v>
      </c>
      <c r="AH318" s="219">
        <v>0</v>
      </c>
      <c r="AI318" s="219">
        <v>0</v>
      </c>
      <c r="AJ318" s="219">
        <v>-0.22886956369850522</v>
      </c>
      <c r="AK318" s="219">
        <v>-0.26228262943474723</v>
      </c>
      <c r="AL318" s="219">
        <v>-0.29668852804136941</v>
      </c>
      <c r="AM318" s="219">
        <v>-0.32129765199048826</v>
      </c>
      <c r="AN318" s="219">
        <v>-0.31024044310267002</v>
      </c>
      <c r="AO318" s="219">
        <v>-0.28830213020432838</v>
      </c>
      <c r="AP318" s="219">
        <v>-0.28458059348139575</v>
      </c>
      <c r="AQ318" s="219">
        <v>-0.27478335528252507</v>
      </c>
    </row>
    <row r="319" spans="5:43" ht="15" customHeight="1">
      <c r="E319" s="147" t="str">
        <f>Input!E319</f>
        <v>Metering services (non legacy) (DRS 6) net position</v>
      </c>
      <c r="G319" s="147" t="str">
        <f>Input!G319</f>
        <v>£m 12/13 prices</v>
      </c>
      <c r="AE319" s="165">
        <f t="shared" ref="AE319:AI319" si="52">SUM(AE317,AE318)</f>
        <v>0</v>
      </c>
      <c r="AF319" s="165">
        <f t="shared" si="52"/>
        <v>0</v>
      </c>
      <c r="AG319" s="165">
        <f t="shared" si="52"/>
        <v>0</v>
      </c>
      <c r="AH319" s="165">
        <f t="shared" si="52"/>
        <v>0</v>
      </c>
      <c r="AI319" s="165">
        <f t="shared" si="52"/>
        <v>0</v>
      </c>
      <c r="AJ319" s="165">
        <f>SUM(AJ317,AJ318)</f>
        <v>0.62398205343908475</v>
      </c>
      <c r="AK319" s="165">
        <f t="shared" ref="AK319:AQ319" si="53">SUM(AK317,AK318)</f>
        <v>0.71507827887367537</v>
      </c>
      <c r="AL319" s="165">
        <f t="shared" si="53"/>
        <v>0.80888132946741065</v>
      </c>
      <c r="AM319" s="165">
        <f t="shared" si="53"/>
        <v>0.87597479286622426</v>
      </c>
      <c r="AN319" s="165">
        <f t="shared" si="53"/>
        <v>0.84582880143061989</v>
      </c>
      <c r="AO319" s="165">
        <f t="shared" si="53"/>
        <v>0.78601694479891238</v>
      </c>
      <c r="AP319" s="165">
        <f t="shared" si="53"/>
        <v>0.77587067594254544</v>
      </c>
      <c r="AQ319" s="165">
        <f t="shared" si="53"/>
        <v>0.74915982496449074</v>
      </c>
    </row>
    <row r="320" spans="5:43" ht="15" customHeight="1">
      <c r="AE320" s="378"/>
      <c r="AF320" s="378"/>
      <c r="AG320" s="378"/>
      <c r="AH320" s="378"/>
      <c r="AI320" s="378"/>
      <c r="AJ320" s="378"/>
      <c r="AK320" s="378"/>
      <c r="AL320" s="378"/>
      <c r="AM320" s="378"/>
      <c r="AN320" s="378"/>
      <c r="AO320" s="378"/>
      <c r="AP320" s="378"/>
      <c r="AQ320" s="378"/>
    </row>
    <row r="321" spans="5:43" ht="15" customHeight="1">
      <c r="E321" s="147" t="str">
        <f>Input!E321</f>
        <v>Metering services (legacy)  revenue</v>
      </c>
      <c r="G321" s="147" t="str">
        <f>Input!G321</f>
        <v>£m 12/13 prices</v>
      </c>
      <c r="AE321" s="219">
        <v>0</v>
      </c>
      <c r="AF321" s="219">
        <v>0</v>
      </c>
      <c r="AG321" s="219">
        <v>0</v>
      </c>
      <c r="AH321" s="219">
        <v>0</v>
      </c>
      <c r="AI321" s="219">
        <v>0</v>
      </c>
      <c r="AJ321" s="219">
        <v>1.8605488382645274</v>
      </c>
      <c r="AK321" s="219">
        <v>1.2233113695891369</v>
      </c>
      <c r="AL321" s="219">
        <v>0.59051980322977238</v>
      </c>
      <c r="AM321" s="219">
        <v>0</v>
      </c>
      <c r="AN321" s="219">
        <v>0</v>
      </c>
      <c r="AO321" s="219">
        <v>0</v>
      </c>
      <c r="AP321" s="219">
        <v>0</v>
      </c>
      <c r="AQ321" s="219">
        <v>0</v>
      </c>
    </row>
    <row r="322" spans="5:43" ht="15" customHeight="1">
      <c r="E322" s="147" t="str">
        <f>Input!E322</f>
        <v>Metering services (legacy)  costs</v>
      </c>
      <c r="G322" s="147" t="str">
        <f>Input!G322</f>
        <v>£m 12/13 prices</v>
      </c>
      <c r="AE322" s="219">
        <v>0</v>
      </c>
      <c r="AF322" s="219">
        <v>0</v>
      </c>
      <c r="AG322" s="219">
        <v>0</v>
      </c>
      <c r="AH322" s="219">
        <v>0</v>
      </c>
      <c r="AI322" s="219">
        <v>0</v>
      </c>
      <c r="AJ322" s="219">
        <v>-8.5258208999988344E-2</v>
      </c>
      <c r="AK322" s="219">
        <v>-5.7834110587947379E-2</v>
      </c>
      <c r="AL322" s="219">
        <v>-3.0601345656184137E-2</v>
      </c>
      <c r="AM322" s="219">
        <v>0</v>
      </c>
      <c r="AN322" s="219">
        <v>0</v>
      </c>
      <c r="AO322" s="219">
        <v>0</v>
      </c>
      <c r="AP322" s="219">
        <v>0</v>
      </c>
      <c r="AQ322" s="219">
        <v>0</v>
      </c>
    </row>
    <row r="323" spans="5:43" ht="15" customHeight="1">
      <c r="E323" s="147" t="str">
        <f>Input!E323</f>
        <v>Metering services (legacy)  net position</v>
      </c>
      <c r="G323" s="147" t="str">
        <f>Input!G323</f>
        <v>£m 12/13 prices</v>
      </c>
      <c r="AE323" s="165">
        <f t="shared" ref="AE323:AI323" si="54">SUM(AE321,AE322)</f>
        <v>0</v>
      </c>
      <c r="AF323" s="165">
        <f t="shared" si="54"/>
        <v>0</v>
      </c>
      <c r="AG323" s="165">
        <f t="shared" si="54"/>
        <v>0</v>
      </c>
      <c r="AH323" s="165">
        <f t="shared" si="54"/>
        <v>0</v>
      </c>
      <c r="AI323" s="165">
        <f t="shared" si="54"/>
        <v>0</v>
      </c>
      <c r="AJ323" s="165">
        <f>SUM(AJ321,AJ322)</f>
        <v>1.7752906292645392</v>
      </c>
      <c r="AK323" s="165">
        <f t="shared" ref="AK323:AQ323" si="55">SUM(AK321,AK322)</f>
        <v>1.1654772590011895</v>
      </c>
      <c r="AL323" s="165">
        <f t="shared" si="55"/>
        <v>0.55991845757358827</v>
      </c>
      <c r="AM323" s="165">
        <f t="shared" si="55"/>
        <v>0</v>
      </c>
      <c r="AN323" s="165">
        <f t="shared" si="55"/>
        <v>0</v>
      </c>
      <c r="AO323" s="165">
        <f t="shared" si="55"/>
        <v>0</v>
      </c>
      <c r="AP323" s="165">
        <f t="shared" si="55"/>
        <v>0</v>
      </c>
      <c r="AQ323" s="165">
        <f t="shared" si="55"/>
        <v>0</v>
      </c>
    </row>
    <row r="324" spans="5:43" ht="15" customHeight="1">
      <c r="AE324" s="378"/>
      <c r="AF324" s="378"/>
      <c r="AG324" s="378"/>
      <c r="AH324" s="378"/>
      <c r="AI324" s="378"/>
      <c r="AJ324" s="378"/>
      <c r="AK324" s="378"/>
      <c r="AL324" s="378"/>
      <c r="AM324" s="378"/>
      <c r="AN324" s="378"/>
      <c r="AO324" s="378"/>
      <c r="AP324" s="378"/>
      <c r="AQ324" s="378"/>
    </row>
    <row r="325" spans="5:43" ht="15" customHeight="1">
      <c r="E325" s="147" t="str">
        <f>Input!E325</f>
        <v>Metering services associated with the SM roll out (DRS 7) revenue</v>
      </c>
      <c r="G325" s="147" t="str">
        <f>Input!G325</f>
        <v>£m 12/13 prices</v>
      </c>
      <c r="AE325" s="219">
        <v>0</v>
      </c>
      <c r="AF325" s="219">
        <v>0</v>
      </c>
      <c r="AG325" s="219">
        <v>0</v>
      </c>
      <c r="AH325" s="219">
        <v>0</v>
      </c>
      <c r="AI325" s="219">
        <v>0</v>
      </c>
      <c r="AJ325" s="219">
        <v>0</v>
      </c>
      <c r="AK325" s="219">
        <v>0</v>
      </c>
      <c r="AL325" s="219">
        <v>0</v>
      </c>
      <c r="AM325" s="219">
        <v>0</v>
      </c>
      <c r="AN325" s="219">
        <v>0</v>
      </c>
      <c r="AO325" s="219">
        <v>0</v>
      </c>
      <c r="AP325" s="219">
        <v>0</v>
      </c>
      <c r="AQ325" s="219">
        <v>0</v>
      </c>
    </row>
    <row r="326" spans="5:43" ht="15" customHeight="1">
      <c r="E326" s="147" t="str">
        <f>Input!E326</f>
        <v>Metering services associated with the SM roll out (DRS 7) costs</v>
      </c>
      <c r="G326" s="147" t="str">
        <f>Input!G326</f>
        <v>£m 12/13 prices</v>
      </c>
      <c r="AE326" s="219">
        <v>0</v>
      </c>
      <c r="AF326" s="219">
        <v>0</v>
      </c>
      <c r="AG326" s="219">
        <v>0</v>
      </c>
      <c r="AH326" s="219">
        <v>0</v>
      </c>
      <c r="AI326" s="219">
        <v>0</v>
      </c>
      <c r="AJ326" s="219">
        <v>0</v>
      </c>
      <c r="AK326" s="219">
        <v>0</v>
      </c>
      <c r="AL326" s="219">
        <v>0</v>
      </c>
      <c r="AM326" s="219">
        <v>0</v>
      </c>
      <c r="AN326" s="219">
        <v>0</v>
      </c>
      <c r="AO326" s="219">
        <v>0</v>
      </c>
      <c r="AP326" s="219">
        <v>0</v>
      </c>
      <c r="AQ326" s="219">
        <v>0</v>
      </c>
    </row>
    <row r="327" spans="5:43" ht="15" customHeight="1">
      <c r="E327" s="147" t="str">
        <f>Input!E327</f>
        <v>Metering services associated with the SM roll out (DRS 7) net position</v>
      </c>
      <c r="G327" s="147" t="str">
        <f>Input!G327</f>
        <v>£m 12/13 prices</v>
      </c>
      <c r="AE327" s="165">
        <f t="shared" ref="AE327:AI327" si="56">SUM(AE325,AE326)</f>
        <v>0</v>
      </c>
      <c r="AF327" s="165">
        <f t="shared" si="56"/>
        <v>0</v>
      </c>
      <c r="AG327" s="165">
        <f t="shared" si="56"/>
        <v>0</v>
      </c>
      <c r="AH327" s="165">
        <f t="shared" si="56"/>
        <v>0</v>
      </c>
      <c r="AI327" s="165">
        <f t="shared" si="56"/>
        <v>0</v>
      </c>
      <c r="AJ327" s="165">
        <f>SUM(AJ325,AJ326)</f>
        <v>0</v>
      </c>
      <c r="AK327" s="165">
        <f t="shared" ref="AK327:AQ327" si="57">SUM(AK325,AK326)</f>
        <v>0</v>
      </c>
      <c r="AL327" s="165">
        <f t="shared" si="57"/>
        <v>0</v>
      </c>
      <c r="AM327" s="165">
        <f t="shared" si="57"/>
        <v>0</v>
      </c>
      <c r="AN327" s="165">
        <f t="shared" si="57"/>
        <v>0</v>
      </c>
      <c r="AO327" s="165">
        <f t="shared" si="57"/>
        <v>0</v>
      </c>
      <c r="AP327" s="165">
        <f t="shared" si="57"/>
        <v>0</v>
      </c>
      <c r="AQ327" s="165">
        <f t="shared" si="57"/>
        <v>0</v>
      </c>
    </row>
    <row r="328" spans="5:43" ht="15" customHeight="1">
      <c r="AE328" s="378"/>
      <c r="AF328" s="378"/>
      <c r="AG328" s="378"/>
      <c r="AH328" s="378"/>
      <c r="AI328" s="378"/>
      <c r="AJ328" s="378"/>
      <c r="AK328" s="378"/>
      <c r="AL328" s="378"/>
      <c r="AM328" s="378"/>
      <c r="AN328" s="378"/>
      <c r="AO328" s="378"/>
      <c r="AP328" s="378"/>
      <c r="AQ328" s="378"/>
    </row>
    <row r="329" spans="5:43" ht="15" customHeight="1">
      <c r="E329" s="147" t="str">
        <f>Input!E329</f>
        <v>De Minimis Activities revenue</v>
      </c>
      <c r="G329" s="147" t="str">
        <f>Input!G329</f>
        <v>£m 12/13 prices</v>
      </c>
      <c r="AE329" s="219">
        <v>0</v>
      </c>
      <c r="AF329" s="219">
        <v>0</v>
      </c>
      <c r="AG329" s="219">
        <v>0</v>
      </c>
      <c r="AH329" s="219">
        <v>0</v>
      </c>
      <c r="AI329" s="219">
        <v>0</v>
      </c>
      <c r="AJ329" s="219">
        <v>8.9340213458333331</v>
      </c>
      <c r="AK329" s="219">
        <v>8.9340213458333331</v>
      </c>
      <c r="AL329" s="219">
        <v>8.9340213458333331</v>
      </c>
      <c r="AM329" s="219">
        <v>8.9340213458333331</v>
      </c>
      <c r="AN329" s="219">
        <v>8.9340213458333331</v>
      </c>
      <c r="AO329" s="219">
        <v>8.9340213458333331</v>
      </c>
      <c r="AP329" s="219">
        <v>8.9340213458333331</v>
      </c>
      <c r="AQ329" s="219">
        <v>8.9340213458333331</v>
      </c>
    </row>
    <row r="330" spans="5:43" ht="15" customHeight="1">
      <c r="E330" s="147" t="str">
        <f>Input!E330</f>
        <v>De Minimis Activities costs</v>
      </c>
      <c r="G330" s="147" t="str">
        <f>Input!G330</f>
        <v>£m 12/13 prices</v>
      </c>
      <c r="AE330" s="219">
        <v>0</v>
      </c>
      <c r="AF330" s="219">
        <v>0</v>
      </c>
      <c r="AG330" s="219">
        <v>0</v>
      </c>
      <c r="AH330" s="219">
        <v>0</v>
      </c>
      <c r="AI330" s="219">
        <v>0</v>
      </c>
      <c r="AJ330" s="219">
        <v>-7.9512924108229228</v>
      </c>
      <c r="AK330" s="219">
        <v>-7.9512924108229228</v>
      </c>
      <c r="AL330" s="219">
        <v>-7.9512924108229228</v>
      </c>
      <c r="AM330" s="219">
        <v>-7.9512924108229228</v>
      </c>
      <c r="AN330" s="219">
        <v>-7.9512924108229228</v>
      </c>
      <c r="AO330" s="219">
        <v>-7.9512924108229228</v>
      </c>
      <c r="AP330" s="219">
        <v>-7.9512924108229228</v>
      </c>
      <c r="AQ330" s="219">
        <v>-7.9512924108229228</v>
      </c>
    </row>
    <row r="331" spans="5:43" ht="15" customHeight="1">
      <c r="E331" s="147" t="str">
        <f>Input!E331</f>
        <v>De Minimis Activities net position</v>
      </c>
      <c r="G331" s="147" t="str">
        <f>Input!G331</f>
        <v>£m 12/13 prices</v>
      </c>
      <c r="AE331" s="165">
        <f t="shared" ref="AE331:AI331" si="58">SUM(AE329,AE330)</f>
        <v>0</v>
      </c>
      <c r="AF331" s="165">
        <f t="shared" si="58"/>
        <v>0</v>
      </c>
      <c r="AG331" s="165">
        <f t="shared" si="58"/>
        <v>0</v>
      </c>
      <c r="AH331" s="165">
        <f t="shared" si="58"/>
        <v>0</v>
      </c>
      <c r="AI331" s="165">
        <f t="shared" si="58"/>
        <v>0</v>
      </c>
      <c r="AJ331" s="165">
        <f>SUM(AJ329,AJ330)</f>
        <v>0.98272893501041025</v>
      </c>
      <c r="AK331" s="165">
        <f t="shared" ref="AK331:AQ331" si="59">SUM(AK329,AK330)</f>
        <v>0.98272893501041025</v>
      </c>
      <c r="AL331" s="165">
        <f t="shared" si="59"/>
        <v>0.98272893501041025</v>
      </c>
      <c r="AM331" s="165">
        <f t="shared" si="59"/>
        <v>0.98272893501041025</v>
      </c>
      <c r="AN331" s="165">
        <f t="shared" si="59"/>
        <v>0.98272893501041025</v>
      </c>
      <c r="AO331" s="165">
        <f t="shared" si="59"/>
        <v>0.98272893501041025</v>
      </c>
      <c r="AP331" s="165">
        <f t="shared" si="59"/>
        <v>0.98272893501041025</v>
      </c>
      <c r="AQ331" s="165">
        <f t="shared" si="59"/>
        <v>0.98272893501041025</v>
      </c>
    </row>
    <row r="332" spans="5:43" ht="15" customHeight="1">
      <c r="AE332" s="378"/>
      <c r="AF332" s="378"/>
      <c r="AG332" s="378"/>
      <c r="AH332" s="378"/>
      <c r="AI332" s="378"/>
      <c r="AJ332" s="378"/>
      <c r="AK332" s="378"/>
      <c r="AL332" s="378"/>
      <c r="AM332" s="378"/>
      <c r="AN332" s="378"/>
      <c r="AO332" s="378"/>
      <c r="AP332" s="378"/>
      <c r="AQ332" s="378"/>
    </row>
    <row r="333" spans="5:43" ht="15" customHeight="1">
      <c r="E333" s="147"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147"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147" t="str">
        <f>Input!E335</f>
        <v>Out of Area Networks net position</v>
      </c>
      <c r="G335" s="147" t="str">
        <f>Input!G335</f>
        <v>£m 12/13 prices</v>
      </c>
      <c r="AE335" s="165">
        <f t="shared" ref="AE335:AI335" si="60">SUM(AE333,AE334)</f>
        <v>0</v>
      </c>
      <c r="AF335" s="165">
        <f t="shared" si="60"/>
        <v>0</v>
      </c>
      <c r="AG335" s="165">
        <f t="shared" si="60"/>
        <v>0</v>
      </c>
      <c r="AH335" s="165">
        <f t="shared" si="60"/>
        <v>0</v>
      </c>
      <c r="AI335" s="165">
        <f t="shared" si="60"/>
        <v>0</v>
      </c>
      <c r="AJ335" s="165">
        <f>SUM(AJ333,AJ334)</f>
        <v>0</v>
      </c>
      <c r="AK335" s="165">
        <f t="shared" ref="AK335:AQ335" si="61">SUM(AK333,AK334)</f>
        <v>0</v>
      </c>
      <c r="AL335" s="165">
        <f t="shared" si="61"/>
        <v>0</v>
      </c>
      <c r="AM335" s="165">
        <f t="shared" si="61"/>
        <v>0</v>
      </c>
      <c r="AN335" s="165">
        <f t="shared" si="61"/>
        <v>0</v>
      </c>
      <c r="AO335" s="165">
        <f t="shared" si="61"/>
        <v>0</v>
      </c>
      <c r="AP335" s="165">
        <f t="shared" si="61"/>
        <v>0</v>
      </c>
      <c r="AQ335" s="165">
        <f t="shared" si="61"/>
        <v>0</v>
      </c>
    </row>
    <row r="336" spans="5:43" ht="15" customHeight="1">
      <c r="AE336" s="378"/>
      <c r="AF336" s="378"/>
      <c r="AG336" s="378"/>
      <c r="AH336" s="378"/>
      <c r="AI336" s="378"/>
      <c r="AJ336" s="378"/>
      <c r="AK336" s="378"/>
      <c r="AL336" s="378"/>
      <c r="AM336" s="378"/>
      <c r="AN336" s="378"/>
      <c r="AO336" s="378"/>
      <c r="AP336" s="378"/>
      <c r="AQ336" s="378"/>
    </row>
    <row r="337" spans="2:43" ht="15" customHeight="1">
      <c r="E337" s="147"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147"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147" t="str">
        <f>Input!E339</f>
        <v>Other consented activities net position</v>
      </c>
      <c r="G339" s="147" t="str">
        <f>Input!G339</f>
        <v>£m 12/13 prices</v>
      </c>
      <c r="AE339" s="165">
        <f t="shared" ref="AE339:AI339" si="62">SUM(AE337,AE338)</f>
        <v>0</v>
      </c>
      <c r="AF339" s="165">
        <f t="shared" si="62"/>
        <v>0</v>
      </c>
      <c r="AG339" s="165">
        <f t="shared" si="62"/>
        <v>0</v>
      </c>
      <c r="AH339" s="165">
        <f t="shared" si="62"/>
        <v>0</v>
      </c>
      <c r="AI339" s="165">
        <f t="shared" si="62"/>
        <v>0</v>
      </c>
      <c r="AJ339" s="165">
        <f>SUM(AJ337,AJ338)</f>
        <v>0</v>
      </c>
      <c r="AK339" s="165">
        <f t="shared" ref="AK339:AQ339" si="63">SUM(AK337,AK338)</f>
        <v>0</v>
      </c>
      <c r="AL339" s="165">
        <f t="shared" si="63"/>
        <v>0</v>
      </c>
      <c r="AM339" s="165">
        <f t="shared" si="63"/>
        <v>0</v>
      </c>
      <c r="AN339" s="165">
        <f t="shared" si="63"/>
        <v>0</v>
      </c>
      <c r="AO339" s="165">
        <f t="shared" si="63"/>
        <v>0</v>
      </c>
      <c r="AP339" s="165">
        <f t="shared" si="63"/>
        <v>0</v>
      </c>
      <c r="AQ339" s="165">
        <f t="shared" si="63"/>
        <v>0</v>
      </c>
    </row>
    <row r="340" spans="2:43" ht="15" customHeight="1">
      <c r="AE340" s="378"/>
      <c r="AF340" s="378"/>
      <c r="AG340" s="378"/>
      <c r="AH340" s="378"/>
      <c r="AI340" s="378"/>
      <c r="AJ340" s="378"/>
      <c r="AK340" s="378"/>
      <c r="AL340" s="378"/>
      <c r="AM340" s="378"/>
      <c r="AN340" s="378"/>
      <c r="AO340" s="378"/>
      <c r="AP340" s="378"/>
      <c r="AQ340" s="378"/>
    </row>
    <row r="341" spans="2:43" ht="15" customHeight="1">
      <c r="E341" s="147"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147"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147" t="str">
        <f>Input!E343</f>
        <v>Spare net position</v>
      </c>
      <c r="G343" s="147" t="str">
        <f>Input!G343</f>
        <v>£m 12/13 prices</v>
      </c>
      <c r="AE343" s="165">
        <f t="shared" ref="AE343:AI343" si="64">SUM(AE341,AE342)</f>
        <v>0</v>
      </c>
      <c r="AF343" s="165">
        <f t="shared" si="64"/>
        <v>0</v>
      </c>
      <c r="AG343" s="165">
        <f t="shared" si="64"/>
        <v>0</v>
      </c>
      <c r="AH343" s="165">
        <f t="shared" si="64"/>
        <v>0</v>
      </c>
      <c r="AI343" s="165">
        <f t="shared" si="64"/>
        <v>0</v>
      </c>
      <c r="AJ343" s="165">
        <f>SUM(AJ341,AJ342)</f>
        <v>0</v>
      </c>
      <c r="AK343" s="165">
        <f t="shared" ref="AK343:AQ343" si="65">SUM(AK341,AK342)</f>
        <v>0</v>
      </c>
      <c r="AL343" s="165">
        <f t="shared" si="65"/>
        <v>0</v>
      </c>
      <c r="AM343" s="165">
        <f t="shared" si="65"/>
        <v>0</v>
      </c>
      <c r="AN343" s="165">
        <f t="shared" si="65"/>
        <v>0</v>
      </c>
      <c r="AO343" s="165">
        <f t="shared" si="65"/>
        <v>0</v>
      </c>
      <c r="AP343" s="165">
        <f t="shared" si="65"/>
        <v>0</v>
      </c>
      <c r="AQ343" s="165">
        <f t="shared" si="65"/>
        <v>0</v>
      </c>
    </row>
    <row r="344" spans="2:43" ht="15" customHeight="1">
      <c r="AE344" s="378"/>
      <c r="AF344" s="378"/>
      <c r="AG344" s="378"/>
      <c r="AH344" s="378"/>
      <c r="AI344" s="378"/>
    </row>
    <row r="345" spans="2:43" ht="15" customHeight="1">
      <c r="E345" s="147" t="str">
        <f>Input!E345</f>
        <v>Overall net income of Directly Remunerated Services</v>
      </c>
      <c r="G345" s="147" t="str">
        <f>Input!G345</f>
        <v>£m 12/13 prices</v>
      </c>
      <c r="AE345" s="165">
        <f t="shared" ref="AE345:AI345" si="66">AE295+AE299+AE303+AE307+AE311+AE315+AE319+AE323+AE327+AE331+AE335+AE339+AE343</f>
        <v>0</v>
      </c>
      <c r="AF345" s="165">
        <f t="shared" si="66"/>
        <v>0</v>
      </c>
      <c r="AG345" s="165">
        <f t="shared" si="66"/>
        <v>0</v>
      </c>
      <c r="AH345" s="165">
        <f t="shared" si="66"/>
        <v>0</v>
      </c>
      <c r="AI345" s="165">
        <f t="shared" si="66"/>
        <v>0</v>
      </c>
      <c r="AJ345" s="165">
        <f>AJ295+AJ299+AJ303+AJ307+AJ311+AJ315+AJ319+AJ323+AJ327+AJ331+AJ335+AJ339+AJ343</f>
        <v>3.7128907006579066</v>
      </c>
      <c r="AK345" s="165">
        <f t="shared" ref="AK345:AQ345" si="67">AK295+AK299+AK303+AK307+AK311+AK315+AK319+AK323+AK327+AK331+AK335+AK339+AK343</f>
        <v>3.2433877446073538</v>
      </c>
      <c r="AL345" s="165">
        <f t="shared" si="67"/>
        <v>2.3952083873370666</v>
      </c>
      <c r="AM345" s="165">
        <f t="shared" si="67"/>
        <v>2.0939819897169896</v>
      </c>
      <c r="AN345" s="165">
        <f t="shared" si="67"/>
        <v>1.8086360171781042</v>
      </c>
      <c r="AO345" s="165">
        <f t="shared" si="67"/>
        <v>1.698493930927915</v>
      </c>
      <c r="AP345" s="165">
        <f t="shared" si="67"/>
        <v>1.7952765374652446</v>
      </c>
      <c r="AQ345" s="165">
        <f t="shared" si="67"/>
        <v>1.8765467146809607</v>
      </c>
    </row>
    <row r="346" spans="2:43" ht="15" customHeight="1"/>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G353" s="190"/>
    </row>
    <row r="354" spans="3:43" ht="15" customHeight="1">
      <c r="E354" s="147" t="s">
        <v>555</v>
      </c>
      <c r="G354" s="190" t="s">
        <v>657</v>
      </c>
      <c r="I354" s="219">
        <v>21.363939791681926</v>
      </c>
    </row>
    <row r="355" spans="3:43" ht="15" customHeight="1">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20.491226321036887</v>
      </c>
      <c r="L363" s="219">
        <v>63.476580783963897</v>
      </c>
      <c r="M363" s="219">
        <v>71.025979954872213</v>
      </c>
      <c r="N363" s="219">
        <v>86.89512515086318</v>
      </c>
      <c r="O363" s="219">
        <v>83.813737734165898</v>
      </c>
      <c r="P363" s="219">
        <v>95.060801805110984</v>
      </c>
      <c r="Q363" s="219">
        <v>107.23228210106519</v>
      </c>
      <c r="R363" s="219">
        <v>137.73801752636825</v>
      </c>
      <c r="S363" s="219">
        <v>119.50023096379503</v>
      </c>
      <c r="T363" s="219">
        <v>98.411954911360624</v>
      </c>
      <c r="U363" s="219">
        <v>68.778102942253426</v>
      </c>
      <c r="V363" s="219">
        <v>54.167924762135456</v>
      </c>
      <c r="W363" s="219">
        <v>92.319786273990672</v>
      </c>
      <c r="X363" s="219">
        <v>102.9499461916463</v>
      </c>
      <c r="Y363" s="219">
        <v>122.57950499734855</v>
      </c>
      <c r="Z363" s="219">
        <v>124.29614625575392</v>
      </c>
      <c r="AA363" s="219">
        <v>101.62387858825551</v>
      </c>
      <c r="AB363" s="219">
        <v>116.24284427424486</v>
      </c>
      <c r="AC363" s="219">
        <v>128.38460076045629</v>
      </c>
      <c r="AD363" s="219">
        <v>138.25507846959525</v>
      </c>
      <c r="AE363" s="219">
        <v>131.15259706806393</v>
      </c>
      <c r="AF363" s="219">
        <v>138.37506750662558</v>
      </c>
      <c r="AG363" s="219">
        <v>178.12069889450828</v>
      </c>
      <c r="AH363" s="419">
        <v>180.0796754792193</v>
      </c>
      <c r="AI363" s="227">
        <v>202.70177912207339</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8">AH36</f>
        <v>0</v>
      </c>
      <c r="AI364" s="213">
        <f t="shared" si="68"/>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-6.3127795175081575E-2</v>
      </c>
      <c r="AK367" s="227">
        <v>-1.7243254292028665E-2</v>
      </c>
      <c r="AL367" s="227">
        <v>-1.1234970215352746E-2</v>
      </c>
      <c r="AM367" s="227">
        <v>-1.5106663642437193E-2</v>
      </c>
      <c r="AN367" s="227">
        <v>-8.8619433971262457E-3</v>
      </c>
      <c r="AO367" s="227">
        <v>-2.5043097935269071E-3</v>
      </c>
      <c r="AP367" s="227">
        <v>-6.037157898668169E-3</v>
      </c>
      <c r="AQ367" s="227">
        <v>-9.4637806970593319E-3</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row r="374" spans="2:43" ht="15" customHeight="1">
      <c r="E374" s="147" t="str">
        <f>E38</f>
        <v>Tax liability revenue allowance adjustments - gearing / debt interest costs</v>
      </c>
      <c r="G374" s="190" t="s">
        <v>25</v>
      </c>
      <c r="AJ374" s="213">
        <f t="shared" ref="AJ374:AQ375" si="69">AJ38</f>
        <v>0</v>
      </c>
      <c r="AK374" s="213">
        <f t="shared" si="69"/>
        <v>0</v>
      </c>
      <c r="AL374" s="213">
        <f t="shared" si="69"/>
        <v>0</v>
      </c>
      <c r="AM374" s="213">
        <f t="shared" si="69"/>
        <v>0</v>
      </c>
      <c r="AN374" s="213">
        <f t="shared" si="69"/>
        <v>0</v>
      </c>
      <c r="AO374" s="213">
        <f t="shared" si="69"/>
        <v>0</v>
      </c>
      <c r="AP374" s="213">
        <f t="shared" si="69"/>
        <v>0</v>
      </c>
      <c r="AQ374" s="213">
        <f t="shared" si="69"/>
        <v>0</v>
      </c>
    </row>
    <row r="375" spans="2:43" ht="15" customHeight="1">
      <c r="E375" s="147" t="str">
        <f>E39</f>
        <v xml:space="preserve">Tax liability revenue allowance adjustments - tax trigger events                                                       </v>
      </c>
      <c r="G375" s="147" t="s">
        <v>657</v>
      </c>
      <c r="AJ375" s="213">
        <f t="shared" si="69"/>
        <v>0</v>
      </c>
      <c r="AK375" s="213">
        <f t="shared" si="69"/>
        <v>0</v>
      </c>
      <c r="AL375" s="213">
        <f t="shared" si="69"/>
        <v>0</v>
      </c>
      <c r="AM375" s="213">
        <f t="shared" si="69"/>
        <v>0</v>
      </c>
      <c r="AN375" s="213">
        <f t="shared" si="69"/>
        <v>0</v>
      </c>
      <c r="AO375" s="213">
        <f t="shared" si="69"/>
        <v>0</v>
      </c>
      <c r="AP375" s="213">
        <f t="shared" si="69"/>
        <v>0</v>
      </c>
      <c r="AQ375" s="213">
        <f t="shared" si="69"/>
        <v>0</v>
      </c>
    </row>
    <row r="376" spans="2:43" ht="15" customHeight="1"/>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row r="383" spans="2:43" ht="15" customHeight="1">
      <c r="C383" s="291" t="s">
        <v>206</v>
      </c>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18.10897105150848</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8.424088095114687</v>
      </c>
      <c r="AI386" s="227">
        <v>8.3363289501500368</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219.94614403301873</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4.5207632959593163</v>
      </c>
      <c r="AI390" s="365">
        <v>25.00469814937227</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695.80407089321977</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140.05391154533123</v>
      </c>
      <c r="AI394" s="227">
        <v>141.42123046484426</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780.59491819788377</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160.74998784094163</v>
      </c>
      <c r="AI398" s="373">
        <v>165.8083370039927</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43" s="155" customFormat="1">
      <c r="E409" s="93" t="str">
        <f>Input!E409</f>
        <v>Non-Load Related capex - other</v>
      </c>
      <c r="G409" s="155" t="s">
        <v>47</v>
      </c>
      <c r="AJ409" s="289">
        <v>0.91397020967687359</v>
      </c>
      <c r="AK409" s="289">
        <v>0.91397020967687359</v>
      </c>
      <c r="AL409" s="289">
        <v>0.91397020967687359</v>
      </c>
      <c r="AM409" s="289">
        <v>0.91397020967687359</v>
      </c>
      <c r="AN409" s="289">
        <v>0.91397020967687359</v>
      </c>
      <c r="AO409" s="289">
        <v>0.91397020967687359</v>
      </c>
      <c r="AP409" s="289">
        <v>0.91397020967687359</v>
      </c>
      <c r="AQ409" s="289">
        <v>0.91397020967687359</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161"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1.0591023086464283E-2</v>
      </c>
      <c r="AK413" s="289">
        <v>1.0591023086464283E-2</v>
      </c>
      <c r="AL413" s="289">
        <v>1.0591023086464283E-2</v>
      </c>
      <c r="AM413" s="289">
        <v>1.0591023086464283E-2</v>
      </c>
      <c r="AN413" s="289">
        <v>1.0591023086464283E-2</v>
      </c>
      <c r="AO413" s="289">
        <v>1.0591023086464283E-2</v>
      </c>
      <c r="AP413" s="289">
        <v>1.0591023086464283E-2</v>
      </c>
      <c r="AQ413" s="289">
        <v>1.0591023086464283E-2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196"/>
      <c r="AL415" s="196"/>
      <c r="AM415" s="196"/>
      <c r="AN415" s="196"/>
      <c r="AO415" s="196"/>
      <c r="AP415" s="196"/>
      <c r="AQ415" s="196"/>
    </row>
    <row r="416" spans="3:43" s="155" customFormat="1">
      <c r="AJ416" s="232"/>
      <c r="AK416" s="232"/>
      <c r="AL416" s="232"/>
      <c r="AM416" s="232"/>
      <c r="AN416" s="232"/>
      <c r="AO416" s="232"/>
      <c r="AP416" s="232"/>
      <c r="AQ416" s="232"/>
    </row>
    <row r="417" spans="4:43" s="155" customFormat="1">
      <c r="E417" s="93" t="str">
        <f>Input!E417</f>
        <v>Load Related</v>
      </c>
      <c r="G417" s="155" t="s">
        <v>47</v>
      </c>
      <c r="AJ417" s="289">
        <v>1</v>
      </c>
      <c r="AK417" s="289">
        <v>1</v>
      </c>
      <c r="AL417" s="289">
        <v>1</v>
      </c>
      <c r="AM417" s="289">
        <v>1</v>
      </c>
      <c r="AN417" s="289">
        <v>1</v>
      </c>
      <c r="AO417" s="289">
        <v>1</v>
      </c>
      <c r="AP417" s="289">
        <v>1</v>
      </c>
      <c r="AQ417" s="289">
        <v>1</v>
      </c>
    </row>
    <row r="418" spans="4:43" s="155" customFormat="1">
      <c r="E418" s="93" t="str">
        <f>Input!E418</f>
        <v>Non-load related capex - asset replacement</v>
      </c>
      <c r="G418" s="155" t="s">
        <v>47</v>
      </c>
      <c r="AJ418" s="289">
        <v>3.5344924298293244E-2</v>
      </c>
      <c r="AK418" s="289">
        <v>3.5344924298293244E-2</v>
      </c>
      <c r="AL418" s="289">
        <v>3.5344924298293244E-2</v>
      </c>
      <c r="AM418" s="289">
        <v>3.5344924298293244E-2</v>
      </c>
      <c r="AN418" s="289">
        <v>3.5344924298293244E-2</v>
      </c>
      <c r="AO418" s="289">
        <v>3.5344924298293244E-2</v>
      </c>
      <c r="AP418" s="289">
        <v>3.5344924298293244E-2</v>
      </c>
      <c r="AQ418" s="289">
        <v>3.5344924298293244E-2</v>
      </c>
    </row>
    <row r="419" spans="4:43" s="155" customFormat="1">
      <c r="E419" s="93" t="str">
        <f>Input!E419</f>
        <v>Non-Load Related capex - other</v>
      </c>
      <c r="G419" s="155" t="s">
        <v>47</v>
      </c>
      <c r="AJ419" s="289">
        <v>4.2831289864073967E-2</v>
      </c>
      <c r="AK419" s="289">
        <v>4.2831289864073967E-2</v>
      </c>
      <c r="AL419" s="289">
        <v>4.2831289864073967E-2</v>
      </c>
      <c r="AM419" s="289">
        <v>4.2831289864073967E-2</v>
      </c>
      <c r="AN419" s="289">
        <v>4.2831289864073967E-2</v>
      </c>
      <c r="AO419" s="289">
        <v>4.2831289864073967E-2</v>
      </c>
      <c r="AP419" s="289">
        <v>4.2831289864073967E-2</v>
      </c>
      <c r="AQ419" s="289">
        <v>4.2831289864073967E-2</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161"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4.9958060699328781E-2</v>
      </c>
      <c r="AK423" s="289">
        <v>4.9958060699328781E-2</v>
      </c>
      <c r="AL423" s="289">
        <v>4.9958060699328781E-2</v>
      </c>
      <c r="AM423" s="289">
        <v>4.9958060699328781E-2</v>
      </c>
      <c r="AN423" s="289">
        <v>4.9958060699328781E-2</v>
      </c>
      <c r="AO423" s="289">
        <v>4.9958060699328781E-2</v>
      </c>
      <c r="AP423" s="289">
        <v>4.9958060699328781E-2</v>
      </c>
      <c r="AQ423" s="289">
        <v>4.9958060699328781E-2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196"/>
      <c r="AL425" s="196"/>
      <c r="AM425" s="196"/>
      <c r="AN425" s="196"/>
      <c r="AO425" s="196"/>
      <c r="AP425" s="196"/>
      <c r="AQ425" s="196"/>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0.93899297883871768</v>
      </c>
      <c r="AK428" s="289">
        <v>0.93899297883871768</v>
      </c>
      <c r="AL428" s="289">
        <v>0.93899297883871768</v>
      </c>
      <c r="AM428" s="289">
        <v>0.93899297883871768</v>
      </c>
      <c r="AN428" s="289">
        <v>0.93899297883871768</v>
      </c>
      <c r="AO428" s="289">
        <v>0.93899297883871768</v>
      </c>
      <c r="AP428" s="289">
        <v>0.93899297883871768</v>
      </c>
      <c r="AQ428" s="289">
        <v>0.93899297883871768</v>
      </c>
    </row>
    <row r="429" spans="4:43" s="155" customFormat="1">
      <c r="E429" s="93" t="str">
        <f>Input!E429</f>
        <v>Non-Load Related capex - other</v>
      </c>
      <c r="G429" s="155" t="s">
        <v>47</v>
      </c>
      <c r="AJ429" s="289">
        <v>4.3198500459052325E-2</v>
      </c>
      <c r="AK429" s="289">
        <v>4.3198500459052325E-2</v>
      </c>
      <c r="AL429" s="289">
        <v>4.3198500459052325E-2</v>
      </c>
      <c r="AM429" s="289">
        <v>4.3198500459052325E-2</v>
      </c>
      <c r="AN429" s="289">
        <v>4.3198500459052325E-2</v>
      </c>
      <c r="AO429" s="289">
        <v>4.3198500459052325E-2</v>
      </c>
      <c r="AP429" s="289">
        <v>4.3198500459052325E-2</v>
      </c>
      <c r="AQ429" s="289">
        <v>4.3198500459052325E-2</v>
      </c>
    </row>
    <row r="430" spans="4:43" s="155" customFormat="1">
      <c r="E430" s="155" t="str">
        <f>Input!E430</f>
        <v>Faults</v>
      </c>
      <c r="G430" s="155" t="s">
        <v>47</v>
      </c>
      <c r="AJ430" s="289">
        <v>0.85686790576116911</v>
      </c>
      <c r="AK430" s="289">
        <v>0.85686790576116911</v>
      </c>
      <c r="AL430" s="289">
        <v>0.85686790576116911</v>
      </c>
      <c r="AM430" s="289">
        <v>0.85686790576116911</v>
      </c>
      <c r="AN430" s="289">
        <v>0.85686790576116911</v>
      </c>
      <c r="AO430" s="289">
        <v>0.85686790576116911</v>
      </c>
      <c r="AP430" s="289">
        <v>0.85686790576116911</v>
      </c>
      <c r="AQ430" s="289">
        <v>0.85686790576116911</v>
      </c>
    </row>
    <row r="431" spans="4:43" s="155" customFormat="1">
      <c r="E431" s="161" t="s">
        <v>719</v>
      </c>
      <c r="G431" s="155" t="s">
        <v>47</v>
      </c>
      <c r="AJ431" s="289">
        <v>7.3023477347620755E-2</v>
      </c>
      <c r="AK431" s="289">
        <v>7.3023477347620755E-2</v>
      </c>
      <c r="AL431" s="289">
        <v>7.3023477347620755E-2</v>
      </c>
      <c r="AM431" s="289">
        <v>7.3023477347620755E-2</v>
      </c>
      <c r="AN431" s="289">
        <v>7.3023477347620755E-2</v>
      </c>
      <c r="AO431" s="289">
        <v>7.3023477347620755E-2</v>
      </c>
      <c r="AP431" s="289">
        <v>7.3023477347620755E-2</v>
      </c>
      <c r="AQ431" s="289">
        <v>7.3023477347620755E-2</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0.4502343035130405</v>
      </c>
      <c r="AK433" s="289">
        <v>0.4502343035130405</v>
      </c>
      <c r="AL433" s="289">
        <v>0.4502343035130405</v>
      </c>
      <c r="AM433" s="289">
        <v>0.4502343035130405</v>
      </c>
      <c r="AN433" s="289">
        <v>0.4502343035130405</v>
      </c>
      <c r="AO433" s="289">
        <v>0.4502343035130405</v>
      </c>
      <c r="AP433" s="289">
        <v>0.4502343035130405</v>
      </c>
      <c r="AQ433" s="289">
        <v>0.4502343035130405</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196"/>
      <c r="AL435" s="196"/>
      <c r="AM435" s="196"/>
      <c r="AN435" s="196"/>
      <c r="AO435" s="196"/>
      <c r="AP435" s="196"/>
      <c r="AQ435" s="196"/>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0.1431320942388308</v>
      </c>
      <c r="AK440" s="289">
        <v>0.1431320942388308</v>
      </c>
      <c r="AL440" s="289">
        <v>0.1431320942388308</v>
      </c>
      <c r="AM440" s="289">
        <v>0.1431320942388308</v>
      </c>
      <c r="AN440" s="289">
        <v>0.1431320942388308</v>
      </c>
      <c r="AO440" s="289">
        <v>0.1431320942388308</v>
      </c>
      <c r="AP440" s="289">
        <v>0.1431320942388308</v>
      </c>
      <c r="AQ440" s="289">
        <v>0.1431320942388308</v>
      </c>
    </row>
    <row r="441" spans="4:43" s="155" customFormat="1">
      <c r="E441" s="161" t="s">
        <v>719</v>
      </c>
      <c r="G441" s="155" t="s">
        <v>47</v>
      </c>
      <c r="AJ441" s="289">
        <v>0.92697652265237929</v>
      </c>
      <c r="AK441" s="289">
        <v>0.92697652265237929</v>
      </c>
      <c r="AL441" s="289">
        <v>0.92697652265237929</v>
      </c>
      <c r="AM441" s="289">
        <v>0.92697652265237929</v>
      </c>
      <c r="AN441" s="289">
        <v>0.92697652265237929</v>
      </c>
      <c r="AO441" s="289">
        <v>0.92697652265237929</v>
      </c>
      <c r="AP441" s="289">
        <v>0.92697652265237929</v>
      </c>
      <c r="AQ441" s="289">
        <v>0.92697652265237929</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0.48233811712165342</v>
      </c>
      <c r="AK443" s="289">
        <v>0.48233811712165342</v>
      </c>
      <c r="AL443" s="289">
        <v>0.48233811712165342</v>
      </c>
      <c r="AM443" s="289">
        <v>0.48233811712165342</v>
      </c>
      <c r="AN443" s="289">
        <v>0.48233811712165342</v>
      </c>
      <c r="AO443" s="289">
        <v>0.48233811712165342</v>
      </c>
      <c r="AP443" s="289">
        <v>0.48233811712165342</v>
      </c>
      <c r="AQ443" s="289">
        <v>0.48233811712165342</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196"/>
      <c r="AL445" s="196"/>
      <c r="AM445" s="196"/>
      <c r="AN445" s="196"/>
      <c r="AO445" s="196"/>
      <c r="AP445" s="196"/>
      <c r="AQ445" s="196"/>
    </row>
    <row r="446" spans="4:43" s="155" customFormat="1">
      <c r="AJ446" s="232"/>
      <c r="AK446" s="232"/>
      <c r="AL446" s="232"/>
      <c r="AM446" s="232"/>
      <c r="AN446" s="232"/>
      <c r="AO446" s="232"/>
      <c r="AP446" s="232"/>
      <c r="AQ446" s="232"/>
    </row>
    <row r="447" spans="4:43" s="155" customFormat="1">
      <c r="E447" s="93" t="str">
        <f>Input!E447</f>
        <v>Load Related</v>
      </c>
      <c r="G447" s="155" t="s">
        <v>47</v>
      </c>
      <c r="AJ447" s="289">
        <v>0</v>
      </c>
      <c r="AK447" s="289">
        <v>0</v>
      </c>
      <c r="AL447" s="289">
        <v>0</v>
      </c>
      <c r="AM447" s="289">
        <v>0</v>
      </c>
      <c r="AN447" s="289">
        <v>0</v>
      </c>
      <c r="AO447" s="289">
        <v>0</v>
      </c>
      <c r="AP447" s="289">
        <v>0</v>
      </c>
      <c r="AQ447" s="289">
        <v>0</v>
      </c>
    </row>
    <row r="448" spans="4:43" s="155" customFormat="1">
      <c r="E448" s="93" t="str">
        <f>Input!E448</f>
        <v>Non-load related capex - asset replacement</v>
      </c>
      <c r="G448" s="155" t="s">
        <v>47</v>
      </c>
      <c r="AJ448" s="289">
        <v>2.5662096862988978E-2</v>
      </c>
      <c r="AK448" s="289">
        <v>2.5662096862988978E-2</v>
      </c>
      <c r="AL448" s="289">
        <v>2.5662096862988978E-2</v>
      </c>
      <c r="AM448" s="289">
        <v>2.5662096862988978E-2</v>
      </c>
      <c r="AN448" s="289">
        <v>2.5662096862988978E-2</v>
      </c>
      <c r="AO448" s="289">
        <v>2.5662096862988978E-2</v>
      </c>
      <c r="AP448" s="289">
        <v>2.5662096862988978E-2</v>
      </c>
      <c r="AQ448" s="289">
        <v>2.5662096862988978E-2</v>
      </c>
    </row>
    <row r="449" spans="4:45" s="155" customFormat="1">
      <c r="E449" s="93" t="str">
        <f>Input!E449</f>
        <v>Non-Load Related capex - other</v>
      </c>
      <c r="G449" s="155" t="s">
        <v>47</v>
      </c>
      <c r="AG449" s="24"/>
      <c r="AJ449" s="289">
        <v>0</v>
      </c>
      <c r="AK449" s="289">
        <v>0</v>
      </c>
      <c r="AL449" s="289">
        <v>0</v>
      </c>
      <c r="AM449" s="289">
        <v>0</v>
      </c>
      <c r="AN449" s="289">
        <v>0</v>
      </c>
      <c r="AO449" s="289">
        <v>0</v>
      </c>
      <c r="AP449" s="289">
        <v>0</v>
      </c>
      <c r="AQ449" s="289">
        <v>0</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161"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6.878495579513034E-3</v>
      </c>
      <c r="AK453" s="289">
        <v>6.878495579513034E-3</v>
      </c>
      <c r="AL453" s="289">
        <v>6.878495579513034E-3</v>
      </c>
      <c r="AM453" s="289">
        <v>6.878495579513034E-3</v>
      </c>
      <c r="AN453" s="289">
        <v>6.878495579513034E-3</v>
      </c>
      <c r="AO453" s="289">
        <v>6.878495579513034E-3</v>
      </c>
      <c r="AP453" s="289">
        <v>6.878495579513034E-3</v>
      </c>
      <c r="AQ453" s="289">
        <v>6.878495579513034E-3</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194"/>
      <c r="AK456" s="194"/>
      <c r="AL456" s="194"/>
      <c r="AM456" s="194"/>
      <c r="AN456" s="194"/>
      <c r="AO456" s="194"/>
      <c r="AP456" s="194"/>
      <c r="AQ456" s="194"/>
      <c r="AS456" s="155"/>
    </row>
    <row r="457" spans="4:45" s="155" customFormat="1"/>
    <row r="458" spans="4:45" s="155" customFormat="1">
      <c r="E458" s="93" t="str">
        <f>Input!E458</f>
        <v>Load Related</v>
      </c>
      <c r="G458" s="155" t="s">
        <v>47</v>
      </c>
      <c r="AJ458" s="209">
        <f t="shared" ref="AJ458:AQ464" si="70">AJ407+AJ417+AJ427+AJ437+AJ447</f>
        <v>1</v>
      </c>
      <c r="AK458" s="209">
        <f t="shared" si="70"/>
        <v>1</v>
      </c>
      <c r="AL458" s="209">
        <f t="shared" si="70"/>
        <v>1</v>
      </c>
      <c r="AM458" s="209">
        <f t="shared" si="70"/>
        <v>1</v>
      </c>
      <c r="AN458" s="209">
        <f t="shared" si="70"/>
        <v>1</v>
      </c>
      <c r="AO458" s="209">
        <f t="shared" si="70"/>
        <v>1</v>
      </c>
      <c r="AP458" s="209">
        <f t="shared" si="70"/>
        <v>1</v>
      </c>
      <c r="AQ458" s="209">
        <f t="shared" si="70"/>
        <v>1</v>
      </c>
    </row>
    <row r="459" spans="4:45" s="155" customFormat="1">
      <c r="E459" s="93" t="str">
        <f>Input!E459</f>
        <v>Non-load related capex - asset replacement</v>
      </c>
      <c r="G459" s="155" t="s">
        <v>47</v>
      </c>
      <c r="AJ459" s="209">
        <f t="shared" si="70"/>
        <v>0.99999999999999989</v>
      </c>
      <c r="AK459" s="209">
        <f t="shared" si="70"/>
        <v>0.99999999999999989</v>
      </c>
      <c r="AL459" s="209">
        <f t="shared" si="70"/>
        <v>0.99999999999999989</v>
      </c>
      <c r="AM459" s="209">
        <f t="shared" si="70"/>
        <v>0.99999999999999989</v>
      </c>
      <c r="AN459" s="209">
        <f t="shared" si="70"/>
        <v>0.99999999999999989</v>
      </c>
      <c r="AO459" s="209">
        <f t="shared" si="70"/>
        <v>0.99999999999999989</v>
      </c>
      <c r="AP459" s="209">
        <f t="shared" si="70"/>
        <v>0.99999999999999989</v>
      </c>
      <c r="AQ459" s="209">
        <f t="shared" si="70"/>
        <v>0.99999999999999989</v>
      </c>
    </row>
    <row r="460" spans="4:45" s="155" customFormat="1">
      <c r="E460" s="93" t="str">
        <f>Input!E460</f>
        <v>Non-Load Related capex - other</v>
      </c>
      <c r="G460" s="155" t="s">
        <v>47</v>
      </c>
      <c r="AJ460" s="209">
        <f t="shared" si="70"/>
        <v>0.99999999999999978</v>
      </c>
      <c r="AK460" s="209">
        <f t="shared" si="70"/>
        <v>0.99999999999999978</v>
      </c>
      <c r="AL460" s="209">
        <f t="shared" si="70"/>
        <v>0.99999999999999978</v>
      </c>
      <c r="AM460" s="209">
        <f t="shared" si="70"/>
        <v>0.99999999999999978</v>
      </c>
      <c r="AN460" s="209">
        <f t="shared" si="70"/>
        <v>0.99999999999999978</v>
      </c>
      <c r="AO460" s="209">
        <f t="shared" si="70"/>
        <v>0.99999999999999978</v>
      </c>
      <c r="AP460" s="209">
        <f t="shared" si="70"/>
        <v>0.99999999999999978</v>
      </c>
      <c r="AQ460" s="209">
        <f t="shared" si="70"/>
        <v>0.99999999999999978</v>
      </c>
    </row>
    <row r="461" spans="4:45" s="155" customFormat="1">
      <c r="E461" s="155" t="str">
        <f>Input!E461</f>
        <v>Faults</v>
      </c>
      <c r="G461" s="155" t="s">
        <v>47</v>
      </c>
      <c r="AJ461" s="209">
        <f t="shared" si="70"/>
        <v>0.99999999999999989</v>
      </c>
      <c r="AK461" s="209">
        <f t="shared" si="70"/>
        <v>0.99999999999999989</v>
      </c>
      <c r="AL461" s="209">
        <f t="shared" si="70"/>
        <v>0.99999999999999989</v>
      </c>
      <c r="AM461" s="209">
        <f t="shared" si="70"/>
        <v>0.99999999999999989</v>
      </c>
      <c r="AN461" s="209">
        <f t="shared" si="70"/>
        <v>0.99999999999999989</v>
      </c>
      <c r="AO461" s="209">
        <f t="shared" si="70"/>
        <v>0.99999999999999989</v>
      </c>
      <c r="AP461" s="209">
        <f t="shared" si="70"/>
        <v>0.99999999999999989</v>
      </c>
      <c r="AQ461" s="209">
        <f t="shared" si="70"/>
        <v>0.99999999999999989</v>
      </c>
    </row>
    <row r="462" spans="4:45" s="155" customFormat="1">
      <c r="E462" s="161" t="s">
        <v>719</v>
      </c>
      <c r="G462" s="155" t="s">
        <v>47</v>
      </c>
      <c r="AJ462" s="209">
        <f t="shared" si="70"/>
        <v>1</v>
      </c>
      <c r="AK462" s="209">
        <f t="shared" si="70"/>
        <v>1</v>
      </c>
      <c r="AL462" s="209">
        <f t="shared" si="70"/>
        <v>1</v>
      </c>
      <c r="AM462" s="209">
        <f t="shared" si="70"/>
        <v>1</v>
      </c>
      <c r="AN462" s="209">
        <f t="shared" si="70"/>
        <v>1</v>
      </c>
      <c r="AO462" s="209">
        <f t="shared" si="70"/>
        <v>1</v>
      </c>
      <c r="AP462" s="209">
        <f t="shared" si="70"/>
        <v>1</v>
      </c>
      <c r="AQ462" s="209">
        <f t="shared" si="70"/>
        <v>1</v>
      </c>
    </row>
    <row r="463" spans="4:45" s="155" customFormat="1">
      <c r="E463" s="155" t="str">
        <f>Input!E463</f>
        <v>100% ‘revenue pool’ expenditure</v>
      </c>
      <c r="G463" s="155" t="s">
        <v>47</v>
      </c>
      <c r="AJ463" s="209">
        <f t="shared" si="70"/>
        <v>1</v>
      </c>
      <c r="AK463" s="209">
        <f t="shared" si="70"/>
        <v>1</v>
      </c>
      <c r="AL463" s="209">
        <f t="shared" si="70"/>
        <v>1</v>
      </c>
      <c r="AM463" s="209">
        <f t="shared" si="70"/>
        <v>1</v>
      </c>
      <c r="AN463" s="209">
        <f t="shared" si="70"/>
        <v>1</v>
      </c>
      <c r="AO463" s="209">
        <f t="shared" si="70"/>
        <v>1</v>
      </c>
      <c r="AP463" s="209">
        <f t="shared" si="70"/>
        <v>1</v>
      </c>
      <c r="AQ463" s="209">
        <f t="shared" si="70"/>
        <v>1</v>
      </c>
    </row>
    <row r="464" spans="4:45" s="155" customFormat="1">
      <c r="E464" s="155" t="str">
        <f>Input!E464</f>
        <v>Controllable Opex</v>
      </c>
      <c r="G464" s="155" t="s">
        <v>47</v>
      </c>
      <c r="AJ464" s="209">
        <f t="shared" si="70"/>
        <v>1</v>
      </c>
      <c r="AK464" s="209">
        <f t="shared" si="70"/>
        <v>1</v>
      </c>
      <c r="AL464" s="209">
        <f t="shared" si="70"/>
        <v>1</v>
      </c>
      <c r="AM464" s="209">
        <f t="shared" si="70"/>
        <v>1</v>
      </c>
      <c r="AN464" s="209">
        <f t="shared" si="70"/>
        <v>1</v>
      </c>
      <c r="AO464" s="209">
        <f t="shared" si="70"/>
        <v>1</v>
      </c>
      <c r="AP464" s="209">
        <f t="shared" si="70"/>
        <v>1</v>
      </c>
      <c r="AQ464" s="209">
        <f t="shared" si="70"/>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1.0680205607862145</v>
      </c>
      <c r="AK468" s="219">
        <v>1.0648340425295351</v>
      </c>
      <c r="AL468" s="219">
        <v>1.0648539285350493</v>
      </c>
      <c r="AM468" s="219">
        <v>1.0648988266525232</v>
      </c>
      <c r="AN468" s="219">
        <v>1.0649474896695976</v>
      </c>
      <c r="AO468" s="219">
        <v>1.0649580334678026</v>
      </c>
      <c r="AP468" s="219">
        <v>1.0649906465813672</v>
      </c>
      <c r="AQ468" s="219">
        <v>1.064938207839397</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-2.9650161725766262</v>
      </c>
      <c r="AK472" s="227">
        <v>-2.965500976006382</v>
      </c>
      <c r="AL472" s="227">
        <v>-7.9318731909957307</v>
      </c>
      <c r="AM472" s="227">
        <v>-8.5561662564550431</v>
      </c>
      <c r="AN472" s="227">
        <v>-4.4159609780778339</v>
      </c>
      <c r="AO472" s="227">
        <v>-1.8817760096423228</v>
      </c>
      <c r="AP472" s="227">
        <v>15.284608819587532</v>
      </c>
      <c r="AQ472" s="227">
        <v>13.532555636929402</v>
      </c>
      <c r="AS472" s="155"/>
    </row>
    <row r="473" spans="2:45" ht="15" customHeight="1">
      <c r="E473" s="155" t="str">
        <f>Input!E473</f>
        <v>Time Value of Money Profile Adjustment</v>
      </c>
      <c r="G473" s="147" t="s">
        <v>657</v>
      </c>
      <c r="AJ473" s="227">
        <v>6.9693764085551571E-2</v>
      </c>
      <c r="AK473" s="227">
        <v>0.2091960463779291</v>
      </c>
      <c r="AL473" s="227">
        <v>0.46563424212191906</v>
      </c>
      <c r="AM473" s="227">
        <v>0.85380691069926695</v>
      </c>
      <c r="AN473" s="227">
        <v>1.1597867948149492</v>
      </c>
      <c r="AO473" s="227">
        <v>1.3091047107905618</v>
      </c>
      <c r="AP473" s="227">
        <v>0.9952579639275364</v>
      </c>
      <c r="AQ473" s="227">
        <v>0.31826491234367732</v>
      </c>
      <c r="AS473" s="155"/>
    </row>
    <row r="474" spans="2:45" ht="15" customHeight="1">
      <c r="E474" s="155" t="str">
        <f>Input!E474</f>
        <v>Time Value of Money Profile Increment</v>
      </c>
      <c r="G474" s="147" t="s">
        <v>657</v>
      </c>
      <c r="AJ474" s="147">
        <f>AJ486</f>
        <v>0</v>
      </c>
      <c r="AK474" s="147">
        <f t="shared" ref="AK474:AQ474" si="71">AK486</f>
        <v>0</v>
      </c>
      <c r="AL474" s="147">
        <f t="shared" si="71"/>
        <v>0</v>
      </c>
      <c r="AM474" s="147">
        <f t="shared" si="71"/>
        <v>0</v>
      </c>
      <c r="AN474" s="147">
        <f t="shared" si="71"/>
        <v>0</v>
      </c>
      <c r="AO474" s="147">
        <f t="shared" si="71"/>
        <v>0</v>
      </c>
      <c r="AP474" s="147">
        <f t="shared" si="71"/>
        <v>0</v>
      </c>
      <c r="AQ474" s="147">
        <f t="shared" si="71"/>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72">AK53</f>
        <v>3.7574999999999997E-2</v>
      </c>
      <c r="AL479" s="163">
        <f t="shared" si="72"/>
        <v>3.7574999999999997E-2</v>
      </c>
      <c r="AM479" s="163">
        <f t="shared" si="72"/>
        <v>3.7574999999999997E-2</v>
      </c>
      <c r="AN479" s="163">
        <f t="shared" si="72"/>
        <v>3.7574999999999997E-2</v>
      </c>
      <c r="AO479" s="163">
        <f t="shared" si="72"/>
        <v>3.7574999999999997E-2</v>
      </c>
      <c r="AP479" s="163">
        <f t="shared" si="72"/>
        <v>3.7574999999999997E-2</v>
      </c>
      <c r="AQ479" s="163">
        <f t="shared" si="72"/>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-3.709581588053311</v>
      </c>
      <c r="AL482" s="219">
        <v>-7.4252712029387453</v>
      </c>
      <c r="AM482" s="219">
        <v>-17.358986670868717</v>
      </c>
      <c r="AN482" s="219">
        <v>-28.086491375199785</v>
      </c>
      <c r="AO482" s="219">
        <v>-33.645341556753351</v>
      </c>
      <c r="AP482" s="219">
        <v>-36.034218608705771</v>
      </c>
      <c r="AQ482" s="219">
        <v>-16.940259013766422</v>
      </c>
    </row>
    <row r="483" spans="2:43" ht="15" customHeight="1">
      <c r="E483" s="155" t="str">
        <f>Input!E483</f>
        <v>Profiling Impact on Actual Revenues</v>
      </c>
      <c r="AJ483" s="219">
        <v>-3.709581588053311</v>
      </c>
      <c r="AK483" s="219">
        <v>-3.7156896148854344</v>
      </c>
      <c r="AL483" s="219">
        <v>-9.9337154679299715</v>
      </c>
      <c r="AM483" s="219">
        <v>-10.727504704331068</v>
      </c>
      <c r="AN483" s="219">
        <v>-5.5588501815535665</v>
      </c>
      <c r="AO483" s="219">
        <v>-2.3888770519524201</v>
      </c>
      <c r="AP483" s="219">
        <v>19.093959594939349</v>
      </c>
      <c r="AQ483" s="219">
        <v>16.940267663268514</v>
      </c>
    </row>
    <row r="484" spans="2:43" ht="15" customHeight="1">
      <c r="E484" s="155" t="str">
        <f>Input!E484</f>
        <v>Closing balance</v>
      </c>
      <c r="AJ484" s="219">
        <v>-3.709581588053311</v>
      </c>
      <c r="AK484" s="219">
        <v>-7.4252712029387453</v>
      </c>
      <c r="AL484" s="219">
        <v>-17.358986670868717</v>
      </c>
      <c r="AM484" s="219">
        <v>-28.086491375199785</v>
      </c>
      <c r="AN484" s="219">
        <v>-33.645341556753351</v>
      </c>
      <c r="AO484" s="219">
        <v>-36.034218608705771</v>
      </c>
      <c r="AP484" s="219">
        <v>-16.940259013766422</v>
      </c>
      <c r="AQ484" s="219">
        <v>8.6495020923393895E-6</v>
      </c>
    </row>
    <row r="485" spans="2:43" ht="15" customHeight="1">
      <c r="E485" s="155"/>
    </row>
    <row r="486" spans="2:43" ht="15" customHeight="1">
      <c r="E486" s="155" t="str">
        <f>Input!E486</f>
        <v>Time Value of Money Increment</v>
      </c>
      <c r="AJ486" s="147">
        <f>AVERAGE(AJ482,AJ484)*(AJ479-AJ478)</f>
        <v>0</v>
      </c>
      <c r="AK486" s="147">
        <f t="shared" ref="AK486:AQ486" si="73">AVERAGE(AK482,AK484)*(AK479-AK478)</f>
        <v>0</v>
      </c>
      <c r="AL486" s="147">
        <f t="shared" si="73"/>
        <v>0</v>
      </c>
      <c r="AM486" s="147">
        <f t="shared" si="73"/>
        <v>0</v>
      </c>
      <c r="AN486" s="147">
        <f t="shared" si="73"/>
        <v>0</v>
      </c>
      <c r="AO486" s="147">
        <f t="shared" si="73"/>
        <v>0</v>
      </c>
      <c r="AP486" s="147">
        <f t="shared" si="73"/>
        <v>0</v>
      </c>
      <c r="AQ486" s="147">
        <f t="shared" si="73"/>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238.28490413508641</v>
      </c>
      <c r="AK490" s="227">
        <v>222.86358532230838</v>
      </c>
      <c r="AL490" s="227">
        <v>217.08515395212049</v>
      </c>
      <c r="AM490" s="227">
        <v>217.47792756674065</v>
      </c>
      <c r="AN490" s="227">
        <v>204.74419059523217</v>
      </c>
      <c r="AO490" s="227">
        <v>194.46916972192392</v>
      </c>
      <c r="AP490" s="227">
        <v>179.76285894427221</v>
      </c>
      <c r="AQ490" s="227">
        <v>182.73038230656132</v>
      </c>
    </row>
    <row r="491" spans="2:43" s="378" customFormat="1" ht="15" customHeight="1">
      <c r="E491" s="155" t="str">
        <f>Input!E491</f>
        <v>DNO Finance Totex Adjustments (DRS8/Disposals)</v>
      </c>
      <c r="G491" s="155" t="str">
        <f>Input!G491</f>
        <v>£m 12/13 prices</v>
      </c>
      <c r="I491" s="227">
        <f>-SUM(NPgY!$AJ$285:$AQ$285)+SUM(NPgY!$AJ$367:$AQ$367)</f>
        <v>-0.13357987511128083</v>
      </c>
    </row>
    <row r="492" spans="2:43" s="378" customFormat="1" ht="15" customHeight="1">
      <c r="E492" s="155" t="str">
        <f>Input!E492</f>
        <v>Group Finance Totex Adjustments (DRS8/Disposals)</v>
      </c>
      <c r="G492" s="155" t="str">
        <f>Input!G492</f>
        <v>£m 12/13 prices</v>
      </c>
      <c r="I492" s="227">
        <f>NPgN!I491+NPgY!I491</f>
        <v>-1.233579875111281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5" priority="1" operator="lessThan">
      <formula>1</formula>
    </cfRule>
    <cfRule type="cellIs" dxfId="14" priority="2" operator="greaterThan">
      <formula>1</formula>
    </cfRule>
  </conditionalFormatting>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12.875" customWidth="1"/>
    <col min="7" max="7" width="12.625" customWidth="1"/>
    <col min="8" max="8" width="9.625" customWidth="1"/>
    <col min="9" max="9" width="10.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10.875" customWidth="1"/>
    <col min="7" max="7" width="12.625" customWidth="1"/>
    <col min="8" max="8" width="9.625" customWidth="1"/>
    <col min="9" max="9" width="10.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14.75" customWidth="1"/>
    <col min="7" max="7" width="12.625" customWidth="1"/>
    <col min="8" max="8" width="6" customWidth="1"/>
    <col min="9" max="9" width="10.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9.625" customWidth="1"/>
    <col min="7" max="7" width="12.625" customWidth="1"/>
    <col min="8" max="8" width="6.625" customWidth="1"/>
    <col min="9" max="9" width="9.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7030A0"/>
    <pageSetUpPr autoPageBreaks="0" fitToPage="1"/>
  </sheetPr>
  <dimension ref="A1:XDG495"/>
  <sheetViews>
    <sheetView zoomScale="70" zoomScaleNormal="70" workbookViewId="0">
      <pane xSplit="10" ySplit="7" topLeftCell="AJ483" activePane="bottomRight" state="frozen"/>
      <selection activeCell="AK474" sqref="AK26:AK474"/>
      <selection pane="topRight" activeCell="AK474" sqref="AK26:AK474"/>
      <selection pane="bottomLeft" activeCell="AK474" sqref="AK26:AK474"/>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514</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514</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566</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566</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0.54030958505903137</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11.011021011373996</v>
      </c>
      <c r="AK20" s="216">
        <v>9.643048096680527</v>
      </c>
      <c r="AL20" s="216">
        <v>14.818964985873725</v>
      </c>
      <c r="AM20" s="216">
        <v>16.298113719940559</v>
      </c>
      <c r="AN20" s="216">
        <v>14.670994678852114</v>
      </c>
      <c r="AO20" s="216">
        <v>8.012119719934903</v>
      </c>
      <c r="AP20" s="216">
        <v>7.6189695127205175</v>
      </c>
      <c r="AQ20" s="216">
        <v>5.7682737264480117</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1.2115581590701623</v>
      </c>
      <c r="AK23" s="216">
        <v>2.0597370517532703</v>
      </c>
      <c r="AL23" s="216">
        <v>2.6526108313175571</v>
      </c>
      <c r="AM23" s="216">
        <v>2.9428727942567132</v>
      </c>
      <c r="AN23" s="216">
        <v>2.9394339154331774</v>
      </c>
      <c r="AO23" s="216">
        <v>2.1665477757024836</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45.722328880549895</v>
      </c>
      <c r="AK25" s="216">
        <v>42.508839942364155</v>
      </c>
      <c r="AL25" s="216">
        <v>45.9929284173475</v>
      </c>
      <c r="AM25" s="216">
        <v>41.888676740689128</v>
      </c>
      <c r="AN25" s="216">
        <v>47.996140073127883</v>
      </c>
      <c r="AO25" s="216">
        <v>46.761838733581598</v>
      </c>
      <c r="AP25" s="216">
        <v>41.009021297734201</v>
      </c>
      <c r="AQ25" s="216">
        <v>40.232133498847368</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4"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4" ht="15" customHeight="1">
      <c r="E34" s="155" t="str">
        <f>Input!E34</f>
        <v>Pension Scheme Established Deficit revenue adjustment</v>
      </c>
      <c r="F34" s="155" t="str">
        <f>Input!F34</f>
        <v>CRC 3C</v>
      </c>
      <c r="G34" s="155" t="str">
        <f>Input!G34</f>
        <v>£m 12/13 prices</v>
      </c>
      <c r="H34" s="155" t="str">
        <f>Input!H34</f>
        <v xml:space="preserve">EDE   </v>
      </c>
      <c r="AJ34" s="216">
        <v>39.789236119018263</v>
      </c>
      <c r="AK34" s="216">
        <v>39.789236119018263</v>
      </c>
      <c r="AL34" s="216">
        <v>39.789236119018263</v>
      </c>
      <c r="AM34" s="216">
        <v>39.789236119018263</v>
      </c>
      <c r="AN34" s="216">
        <v>39.789236119018263</v>
      </c>
      <c r="AO34" s="216">
        <v>39.789236119018263</v>
      </c>
      <c r="AP34" s="216">
        <v>39.789236119018263</v>
      </c>
      <c r="AQ34" s="216">
        <v>39.789236119018263</v>
      </c>
      <c r="AR34" s="378"/>
    </row>
    <row r="35" spans="2:44"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4"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4"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4"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4"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4"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4"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4"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4"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4" ht="15" customHeight="1">
      <c r="E44" s="319"/>
      <c r="G44" s="269"/>
      <c r="AJ44" s="145"/>
      <c r="AK44" s="145"/>
      <c r="AL44" s="145"/>
      <c r="AM44" s="145"/>
      <c r="AN44" s="145"/>
      <c r="AO44" s="145"/>
      <c r="AP44" s="145"/>
      <c r="AQ44" s="145"/>
    </row>
    <row r="45" spans="2:44"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4" ht="15" customHeight="1">
      <c r="E46" s="378"/>
    </row>
    <row r="47" spans="2:44"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4"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4" ht="15" customHeight="1">
      <c r="E65" s="378"/>
      <c r="AI65" s="145"/>
    </row>
    <row r="66" spans="4:44" ht="15" customHeight="1">
      <c r="E66" s="378" t="str">
        <f>Input!E66</f>
        <v>Capitalised share of totex</v>
      </c>
      <c r="G66" s="147" t="s">
        <v>47</v>
      </c>
      <c r="AI66" s="145"/>
      <c r="AJ66" s="229">
        <v>0.68</v>
      </c>
      <c r="AK66" s="229">
        <v>0.68</v>
      </c>
      <c r="AL66" s="229">
        <v>0.68</v>
      </c>
      <c r="AM66" s="229">
        <v>0.68</v>
      </c>
      <c r="AN66" s="229">
        <v>0.68</v>
      </c>
      <c r="AO66" s="229">
        <v>0.68</v>
      </c>
      <c r="AP66" s="229">
        <v>0.68</v>
      </c>
      <c r="AQ66" s="229">
        <v>0.68</v>
      </c>
      <c r="AR66" s="219">
        <v>0.7</v>
      </c>
    </row>
    <row r="67" spans="4:44" ht="15" customHeight="1">
      <c r="E67" s="378"/>
      <c r="AI67" s="145"/>
      <c r="AJ67" s="145"/>
      <c r="AK67" s="145"/>
      <c r="AL67" s="145"/>
      <c r="AM67" s="145"/>
      <c r="AN67" s="145"/>
      <c r="AO67" s="145"/>
      <c r="AP67" s="145"/>
      <c r="AQ67" s="246"/>
    </row>
    <row r="68" spans="4:44" s="145" customFormat="1" ht="15" customHeight="1">
      <c r="E68" s="378" t="s">
        <v>597</v>
      </c>
      <c r="F68" s="147"/>
      <c r="G68" s="53" t="s">
        <v>47</v>
      </c>
      <c r="H68" s="147"/>
      <c r="I68" s="368">
        <v>-9.9928896639931257E-3</v>
      </c>
      <c r="J68" s="31"/>
      <c r="K68" s="31"/>
      <c r="L68" s="31"/>
      <c r="M68" s="31"/>
      <c r="N68" s="31"/>
      <c r="O68" s="31"/>
      <c r="P68" s="31"/>
      <c r="Q68" s="31"/>
      <c r="R68" s="31"/>
      <c r="S68" s="31"/>
      <c r="T68" s="31"/>
      <c r="U68" s="31"/>
      <c r="V68" s="31"/>
      <c r="W68" s="31"/>
      <c r="X68" s="31"/>
      <c r="Y68" s="31"/>
      <c r="Z68" s="31"/>
      <c r="AQ68" s="246"/>
    </row>
    <row r="69" spans="4:44" s="145" customFormat="1" ht="15" customHeight="1">
      <c r="G69" s="190"/>
      <c r="J69" s="31"/>
      <c r="K69" s="31"/>
      <c r="L69" s="31"/>
      <c r="M69" s="31"/>
      <c r="N69" s="31"/>
      <c r="O69" s="31"/>
      <c r="P69" s="31"/>
      <c r="Q69" s="31"/>
      <c r="R69" s="31"/>
      <c r="S69" s="31"/>
      <c r="T69" s="31"/>
      <c r="U69" s="31"/>
      <c r="V69" s="31"/>
      <c r="W69" s="31"/>
      <c r="X69" s="31"/>
      <c r="Y69" s="31"/>
      <c r="Z69" s="31"/>
    </row>
    <row r="70" spans="4:44" s="145" customFormat="1" ht="15" customHeight="1">
      <c r="E70" s="145" t="s">
        <v>598</v>
      </c>
      <c r="G70" s="53" t="s">
        <v>47</v>
      </c>
      <c r="I70" s="368">
        <v>0.53284185719504162</v>
      </c>
      <c r="J70" s="31"/>
      <c r="K70" s="31"/>
      <c r="L70" s="31"/>
      <c r="M70" s="31"/>
      <c r="N70" s="31"/>
      <c r="O70" s="31"/>
      <c r="P70" s="31"/>
      <c r="Q70" s="31"/>
      <c r="R70" s="31"/>
      <c r="S70" s="31"/>
      <c r="T70" s="31"/>
      <c r="U70" s="31"/>
      <c r="V70" s="31"/>
      <c r="W70" s="31"/>
      <c r="X70" s="31"/>
      <c r="Y70" s="31"/>
      <c r="Z70" s="31"/>
      <c r="AQ70" s="246"/>
    </row>
    <row r="71" spans="4:44" s="145" customFormat="1" ht="15" customHeight="1">
      <c r="J71" s="31"/>
      <c r="K71" s="31"/>
      <c r="L71" s="31"/>
      <c r="M71" s="31"/>
      <c r="N71" s="31"/>
      <c r="O71" s="31"/>
      <c r="P71" s="31"/>
      <c r="Q71" s="31"/>
      <c r="R71" s="31"/>
      <c r="S71" s="31"/>
      <c r="T71" s="31"/>
      <c r="U71" s="31"/>
      <c r="V71" s="31"/>
      <c r="W71" s="31"/>
      <c r="X71" s="31"/>
      <c r="Y71" s="31"/>
      <c r="Z71" s="31"/>
      <c r="AQ71" s="246"/>
    </row>
    <row r="72" spans="4:44"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4"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4"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4" s="19" customFormat="1" ht="15" customHeight="1">
      <c r="D75" s="147"/>
      <c r="E75" s="378" t="s">
        <v>673</v>
      </c>
      <c r="G75" s="190" t="s">
        <v>657</v>
      </c>
      <c r="H75" s="428"/>
      <c r="I75" s="227">
        <v>1704.0660772426763</v>
      </c>
      <c r="J75" s="88"/>
      <c r="K75" s="88"/>
      <c r="L75" s="88"/>
      <c r="M75" s="88"/>
      <c r="N75" s="88"/>
      <c r="O75" s="88"/>
      <c r="P75" s="88"/>
      <c r="Q75" s="88"/>
      <c r="R75" s="88"/>
      <c r="S75" s="88"/>
      <c r="T75" s="88"/>
      <c r="U75" s="88"/>
      <c r="V75" s="88"/>
      <c r="W75" s="88"/>
      <c r="X75" s="88"/>
      <c r="Y75" s="88"/>
      <c r="Z75" s="88"/>
      <c r="AJ75" s="89"/>
    </row>
    <row r="76" spans="4:44" s="19" customFormat="1" ht="15" customHeight="1">
      <c r="D76" s="147"/>
      <c r="E76" s="378" t="s">
        <v>674</v>
      </c>
      <c r="G76" s="190" t="s">
        <v>657</v>
      </c>
      <c r="I76" s="227">
        <v>1970.0774726046891</v>
      </c>
      <c r="J76" s="88"/>
      <c r="K76" s="88"/>
      <c r="L76" s="88"/>
      <c r="M76" s="88"/>
      <c r="N76" s="88"/>
      <c r="O76" s="88"/>
      <c r="P76" s="88"/>
      <c r="Q76" s="88"/>
      <c r="R76" s="88"/>
      <c r="S76" s="88"/>
      <c r="T76" s="88"/>
      <c r="U76" s="88"/>
      <c r="V76" s="88"/>
      <c r="W76" s="88"/>
      <c r="X76" s="88"/>
      <c r="Y76" s="88"/>
      <c r="Z76" s="88"/>
      <c r="AJ76" s="89"/>
    </row>
    <row r="77" spans="4:44"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4" s="19" customFormat="1" ht="15" customHeight="1">
      <c r="E78" s="378" t="s">
        <v>675</v>
      </c>
      <c r="G78" s="190" t="s">
        <v>657</v>
      </c>
      <c r="I78" s="227">
        <f>I75 + SPN!I75 + EPN!I75</f>
        <v>5833.3907797740094</v>
      </c>
      <c r="J78" s="88"/>
      <c r="K78" s="88"/>
      <c r="L78" s="88"/>
      <c r="M78" s="88"/>
      <c r="N78" s="88"/>
      <c r="O78" s="88"/>
      <c r="P78" s="88"/>
      <c r="Q78" s="88"/>
      <c r="R78" s="88"/>
      <c r="S78" s="88"/>
      <c r="T78" s="88"/>
      <c r="U78" s="88"/>
      <c r="V78" s="88"/>
      <c r="W78" s="88"/>
      <c r="X78" s="88"/>
      <c r="Y78" s="88"/>
      <c r="Z78" s="88"/>
      <c r="AJ78" s="89"/>
    </row>
    <row r="79" spans="4:44" s="19" customFormat="1" ht="15" customHeight="1">
      <c r="E79" s="378" t="s">
        <v>676</v>
      </c>
      <c r="G79" s="190" t="s">
        <v>657</v>
      </c>
      <c r="I79" s="227">
        <f>I76 + SPN!I76 + EPN!I76</f>
        <v>6616.9056835005922</v>
      </c>
      <c r="J79" s="88"/>
      <c r="K79" s="88"/>
      <c r="L79" s="88"/>
      <c r="M79" s="88"/>
      <c r="N79" s="88"/>
      <c r="O79" s="88"/>
      <c r="P79" s="88"/>
      <c r="Q79" s="88"/>
      <c r="R79" s="88"/>
      <c r="S79" s="88"/>
      <c r="T79" s="88"/>
      <c r="U79" s="88"/>
      <c r="V79" s="88"/>
      <c r="W79" s="88"/>
      <c r="X79" s="88"/>
      <c r="Y79" s="88"/>
      <c r="Z79" s="88"/>
      <c r="AJ79" s="89"/>
      <c r="AK79" s="210"/>
    </row>
    <row r="80" spans="4:44"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66.245079328112965</v>
      </c>
      <c r="AK98" s="227">
        <v>65.734613999018634</v>
      </c>
      <c r="AL98" s="227">
        <v>51.026906812617312</v>
      </c>
      <c r="AM98" s="227">
        <v>45.897925007149453</v>
      </c>
      <c r="AN98" s="227">
        <v>47.289106952045195</v>
      </c>
      <c r="AO98" s="227">
        <v>46.517027903194432</v>
      </c>
      <c r="AP98" s="227">
        <v>40.763630243054365</v>
      </c>
      <c r="AQ98" s="227">
        <v>37.871443710706686</v>
      </c>
    </row>
    <row r="99" spans="4:43" s="269" customFormat="1" ht="15" customHeight="1">
      <c r="E99" s="161" t="s">
        <v>797</v>
      </c>
      <c r="G99" s="269" t="s">
        <v>657</v>
      </c>
      <c r="I99" s="356"/>
      <c r="AJ99" s="227">
        <v>11.838127196897306</v>
      </c>
      <c r="AK99" s="227">
        <v>13.783335471362753</v>
      </c>
      <c r="AL99" s="227">
        <v>11.965026291084829</v>
      </c>
      <c r="AM99" s="227">
        <v>11.27096566539722</v>
      </c>
      <c r="AN99" s="227">
        <v>11.137789652473446</v>
      </c>
      <c r="AO99" s="227">
        <v>11.293653482092665</v>
      </c>
      <c r="AP99" s="227">
        <v>13.032191934975385</v>
      </c>
      <c r="AQ99" s="227">
        <v>10.740240297087626</v>
      </c>
    </row>
    <row r="100" spans="4:43" s="269" customFormat="1" ht="15" customHeight="1">
      <c r="E100" s="161" t="str">
        <f>Input!E100</f>
        <v>Non-variant allowed faults</v>
      </c>
      <c r="G100" s="269" t="s">
        <v>657</v>
      </c>
      <c r="I100" s="356"/>
      <c r="AJ100" s="227">
        <v>22.624069792644352</v>
      </c>
      <c r="AK100" s="227">
        <v>22.066728648808635</v>
      </c>
      <c r="AL100" s="227">
        <v>21.564756467244635</v>
      </c>
      <c r="AM100" s="227">
        <v>21.10690370358062</v>
      </c>
      <c r="AN100" s="227">
        <v>20.719129880547907</v>
      </c>
      <c r="AO100" s="227">
        <v>20.495495874940879</v>
      </c>
      <c r="AP100" s="227">
        <v>20.509753413567378</v>
      </c>
      <c r="AQ100" s="227">
        <v>20.597578184450107</v>
      </c>
    </row>
    <row r="101" spans="4:43" s="269" customFormat="1" ht="15" customHeight="1">
      <c r="E101" s="161" t="s">
        <v>726</v>
      </c>
      <c r="G101" s="269" t="s">
        <v>657</v>
      </c>
      <c r="I101" s="356"/>
      <c r="AJ101" s="227">
        <v>1.7067021066296144E-2</v>
      </c>
      <c r="AK101" s="227">
        <v>1.6901674021254403E-2</v>
      </c>
      <c r="AL101" s="227">
        <v>1.6736937515033672E-2</v>
      </c>
      <c r="AM101" s="227">
        <v>1.6572819109411677E-2</v>
      </c>
      <c r="AN101" s="227">
        <v>1.6409326460396431E-2</v>
      </c>
      <c r="AO101" s="227">
        <v>1.624646731940519E-2</v>
      </c>
      <c r="AP101" s="227">
        <v>1.6084249534458132E-2</v>
      </c>
      <c r="AQ101" s="227">
        <v>1.5922681051387035E-2</v>
      </c>
    </row>
    <row r="102" spans="4:43" s="269" customFormat="1" ht="15" customHeight="1">
      <c r="E102" s="161" t="str">
        <f>Input!E102</f>
        <v>Non-variant allowed 100% ‘revenue pool’ expenditure</v>
      </c>
      <c r="G102" s="269" t="s">
        <v>657</v>
      </c>
      <c r="I102" s="356"/>
      <c r="AJ102" s="227">
        <v>8.7389641295358977</v>
      </c>
      <c r="AK102" s="227">
        <v>8.5871811931656499</v>
      </c>
      <c r="AL102" s="227">
        <v>7.82490250486312</v>
      </c>
      <c r="AM102" s="227">
        <v>7.5233063642640907</v>
      </c>
      <c r="AN102" s="227">
        <v>7.3893838804638197</v>
      </c>
      <c r="AO102" s="227">
        <v>7.1803235364757834</v>
      </c>
      <c r="AP102" s="227">
        <v>6.8674245801144647</v>
      </c>
      <c r="AQ102" s="227">
        <v>6.5128063401372209</v>
      </c>
    </row>
    <row r="103" spans="4:43" s="269" customFormat="1" ht="15" customHeight="1">
      <c r="E103" s="161" t="s">
        <v>796</v>
      </c>
      <c r="G103" s="269" t="s">
        <v>657</v>
      </c>
      <c r="I103" s="356"/>
      <c r="AJ103" s="227">
        <v>80.226665749569179</v>
      </c>
      <c r="AK103" s="227">
        <v>77.922365490379761</v>
      </c>
      <c r="AL103" s="227">
        <v>74.915742372075073</v>
      </c>
      <c r="AM103" s="227">
        <v>74.672862644336817</v>
      </c>
      <c r="AN103" s="227">
        <v>73.318459047622085</v>
      </c>
      <c r="AO103" s="227">
        <v>71.561272672302692</v>
      </c>
      <c r="AP103" s="227">
        <v>69.230095131647431</v>
      </c>
      <c r="AQ103" s="227">
        <v>67.407266208435601</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0.54030958505903137</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0.94499999999999995</v>
      </c>
      <c r="AK109" s="229">
        <v>1</v>
      </c>
      <c r="AL109" s="229">
        <v>0.94900000000000007</v>
      </c>
      <c r="AM109" s="229">
        <v>0.95000000000000007</v>
      </c>
      <c r="AN109" s="229">
        <v>0.95499999999999996</v>
      </c>
      <c r="AO109" s="229">
        <v>0.95949999999999991</v>
      </c>
      <c r="AP109" s="229">
        <v>0.95950000000000002</v>
      </c>
      <c r="AQ109" s="229">
        <v>0.95950000000000013</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5.5000000000000049E-2</v>
      </c>
      <c r="AK113" s="229">
        <v>0</v>
      </c>
      <c r="AL113" s="229">
        <v>5.0999999999999934E-2</v>
      </c>
      <c r="AM113" s="229">
        <v>4.9999999999999933E-2</v>
      </c>
      <c r="AN113" s="229">
        <v>4.500000000000004E-2</v>
      </c>
      <c r="AO113" s="229">
        <v>4.0500000000000091E-2</v>
      </c>
      <c r="AP113" s="229">
        <v>4.049999999999998E-2</v>
      </c>
      <c r="AQ113" s="229">
        <v>4.0499999999999869E-2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11.011021011373996</v>
      </c>
      <c r="AK116" s="213">
        <f t="shared" si="5"/>
        <v>9.643048096680527</v>
      </c>
      <c r="AL116" s="213">
        <f t="shared" si="5"/>
        <v>14.818964985873725</v>
      </c>
      <c r="AM116" s="213">
        <f t="shared" si="5"/>
        <v>16.298113719940559</v>
      </c>
      <c r="AN116" s="213">
        <f t="shared" si="5"/>
        <v>14.670994678852114</v>
      </c>
      <c r="AO116" s="213">
        <f t="shared" si="5"/>
        <v>8.012119719934903</v>
      </c>
      <c r="AP116" s="213">
        <f t="shared" si="5"/>
        <v>7.6189695127205175</v>
      </c>
      <c r="AQ116" s="213">
        <f t="shared" si="5"/>
        <v>5.7682737264480117</v>
      </c>
    </row>
    <row r="117" spans="5:43" s="269" customFormat="1" ht="15" customHeight="1">
      <c r="E117" s="357" t="str">
        <f>Input!E117</f>
        <v>Allocation to load related capex</v>
      </c>
      <c r="G117" s="269" t="s">
        <v>47</v>
      </c>
      <c r="I117" s="147"/>
      <c r="AJ117" s="229">
        <v>0.99988893360885811</v>
      </c>
      <c r="AK117" s="229">
        <v>0.99988893360885811</v>
      </c>
      <c r="AL117" s="229">
        <v>0.999888933608858</v>
      </c>
      <c r="AM117" s="229">
        <v>0.99988893360885789</v>
      </c>
      <c r="AN117" s="229">
        <v>0.61766801372622615</v>
      </c>
      <c r="AO117" s="229">
        <v>5.7942989808255525E-2</v>
      </c>
      <c r="AP117" s="229">
        <v>0</v>
      </c>
      <c r="AQ117" s="229">
        <v>0</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0.3822209198826319</v>
      </c>
      <c r="AO118" s="229">
        <v>0.94194594380060259</v>
      </c>
      <c r="AP118" s="229">
        <v>0.999888933608858</v>
      </c>
      <c r="AQ118" s="229">
        <v>0.999888933608858</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1.1106639114195447E-4</v>
      </c>
      <c r="AK122" s="229">
        <v>1.1106639114195446E-4</v>
      </c>
      <c r="AL122" s="229">
        <v>1.1106639114195447E-4</v>
      </c>
      <c r="AM122" s="229">
        <v>1.1106639114195449E-4</v>
      </c>
      <c r="AN122" s="229">
        <v>1.1106639114195447E-4</v>
      </c>
      <c r="AO122" s="229">
        <v>1.1106639114195452E-4</v>
      </c>
      <c r="AP122" s="229">
        <v>1.110663911419545E-4</v>
      </c>
      <c r="AQ122" s="229">
        <v>1.1106639114195447E-4</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0.99771901920202943</v>
      </c>
      <c r="AK128" s="229">
        <v>0.99700972716861547</v>
      </c>
      <c r="AL128" s="229">
        <v>0.99592886295998917</v>
      </c>
      <c r="AM128" s="229">
        <v>0.99590881218461447</v>
      </c>
      <c r="AN128" s="229">
        <v>0.99580710211634238</v>
      </c>
      <c r="AO128" s="229">
        <v>0.99576616474625257</v>
      </c>
      <c r="AP128" s="229">
        <v>0.99624934309461999</v>
      </c>
      <c r="AQ128" s="229">
        <v>0.99565900028940335</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2.2809807979705665E-3</v>
      </c>
      <c r="AK131" s="229">
        <v>2.9902728313845328E-3</v>
      </c>
      <c r="AL131" s="229">
        <v>4.0711370400108304E-3</v>
      </c>
      <c r="AM131" s="229">
        <v>4.091187815385533E-3</v>
      </c>
      <c r="AN131" s="229">
        <v>4.1928978836576203E-3</v>
      </c>
      <c r="AO131" s="229">
        <v>4.2338352537474311E-3</v>
      </c>
      <c r="AP131" s="229">
        <v>3.7506569053800121E-3</v>
      </c>
      <c r="AQ131" s="229">
        <v>4.3409997105966491E-3</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0.99771901920202943</v>
      </c>
      <c r="AK137" s="229">
        <v>0.99700972716861547</v>
      </c>
      <c r="AL137" s="229">
        <v>0.99592886295998917</v>
      </c>
      <c r="AM137" s="229">
        <v>0.99590881218461447</v>
      </c>
      <c r="AN137" s="229">
        <v>0.99580710211634238</v>
      </c>
      <c r="AO137" s="229">
        <v>0.99576616474625257</v>
      </c>
      <c r="AP137" s="229">
        <v>0.99624934309461999</v>
      </c>
      <c r="AQ137" s="229">
        <v>0.99565900028940335</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2.2809807979705665E-3</v>
      </c>
      <c r="AK140" s="229">
        <v>2.9902728313845328E-3</v>
      </c>
      <c r="AL140" s="229">
        <v>4.0711370400108304E-3</v>
      </c>
      <c r="AM140" s="229">
        <v>4.091187815385533E-3</v>
      </c>
      <c r="AN140" s="229">
        <v>4.1928978836576203E-3</v>
      </c>
      <c r="AO140" s="229">
        <v>4.2338352537474311E-3</v>
      </c>
      <c r="AP140" s="229">
        <v>3.7506569053800121E-3</v>
      </c>
      <c r="AQ140" s="229">
        <v>4.3409997105966491E-3</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1.2115581590701623</v>
      </c>
      <c r="AK143" s="213">
        <f t="shared" si="8"/>
        <v>2.0597370517532703</v>
      </c>
      <c r="AL143" s="213">
        <f t="shared" si="8"/>
        <v>2.6526108313175571</v>
      </c>
      <c r="AM143" s="213">
        <f t="shared" si="8"/>
        <v>2.9428727942567132</v>
      </c>
      <c r="AN143" s="213">
        <f t="shared" si="8"/>
        <v>2.9394339154331774</v>
      </c>
      <c r="AO143" s="213">
        <f t="shared" si="8"/>
        <v>2.1665477757024836</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4.7142720997445847E-2</v>
      </c>
      <c r="AK149" s="229">
        <v>4.363049290989017E-2</v>
      </c>
      <c r="AL149" s="229">
        <v>4.3120015924661324E-2</v>
      </c>
      <c r="AM149" s="229">
        <v>4.2004940676979512E-2</v>
      </c>
      <c r="AN149" s="229">
        <v>4.1839334363186417E-2</v>
      </c>
      <c r="AO149" s="229">
        <v>4.2442945304662687E-2</v>
      </c>
      <c r="AP149" s="229">
        <v>0</v>
      </c>
      <c r="AQ149" s="229">
        <v>0</v>
      </c>
    </row>
    <row r="150" spans="5:43" s="269" customFormat="1" ht="15" customHeight="1">
      <c r="E150" s="357" t="str">
        <f>Input!E150</f>
        <v>Allocation to controllable opex</v>
      </c>
      <c r="G150" s="269" t="s">
        <v>47</v>
      </c>
      <c r="I150" s="147"/>
      <c r="AJ150" s="229">
        <v>0.95285727900255413</v>
      </c>
      <c r="AK150" s="229">
        <v>0.95636950709010993</v>
      </c>
      <c r="AL150" s="229">
        <v>0.9568799840753387</v>
      </c>
      <c r="AM150" s="229">
        <v>0.95799505932302054</v>
      </c>
      <c r="AN150" s="229">
        <v>0.95816066563681357</v>
      </c>
      <c r="AO150" s="229">
        <v>0.95755705469533725</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v>
      </c>
      <c r="AK153" s="229">
        <v>0</v>
      </c>
      <c r="AL153" s="229">
        <v>0</v>
      </c>
      <c r="AM153" s="229">
        <v>0</v>
      </c>
      <c r="AN153" s="229">
        <v>0</v>
      </c>
      <c r="AO153" s="229">
        <v>0</v>
      </c>
      <c r="AP153" s="229">
        <v>0</v>
      </c>
      <c r="AQ153" s="229">
        <v>0</v>
      </c>
    </row>
    <row r="154" spans="5:43" s="269" customFormat="1" ht="15" customHeight="1">
      <c r="E154" s="357" t="str">
        <f>Input!E154</f>
        <v>Allocation to non-load related capex - asset replacement</v>
      </c>
      <c r="G154" s="269" t="s">
        <v>47</v>
      </c>
      <c r="I154" s="147"/>
      <c r="AJ154" s="229">
        <v>0</v>
      </c>
      <c r="AK154" s="229">
        <v>0</v>
      </c>
      <c r="AL154" s="229">
        <v>0</v>
      </c>
      <c r="AM154" s="229">
        <v>0</v>
      </c>
      <c r="AN154" s="229">
        <v>0</v>
      </c>
      <c r="AO154" s="229">
        <v>0</v>
      </c>
      <c r="AP154" s="229">
        <v>0</v>
      </c>
      <c r="AQ154" s="229">
        <v>0</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v>
      </c>
      <c r="AK156" s="229">
        <v>0</v>
      </c>
      <c r="AL156" s="229">
        <v>0</v>
      </c>
      <c r="AM156" s="229">
        <v>0</v>
      </c>
      <c r="AN156" s="229">
        <v>0</v>
      </c>
      <c r="AO156" s="229">
        <v>0</v>
      </c>
      <c r="AP156" s="229">
        <v>0</v>
      </c>
      <c r="AQ156" s="229">
        <v>0</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v>
      </c>
      <c r="AK159" s="229">
        <v>0</v>
      </c>
      <c r="AL159" s="229">
        <v>0</v>
      </c>
      <c r="AM159" s="229">
        <v>0</v>
      </c>
      <c r="AN159" s="229">
        <v>0</v>
      </c>
      <c r="AO159" s="229">
        <v>0</v>
      </c>
      <c r="AP159" s="229">
        <v>0</v>
      </c>
      <c r="AQ159" s="229">
        <v>0</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45.722328880549895</v>
      </c>
      <c r="AK161" s="213">
        <f t="shared" ref="AK161:AQ161" si="10">AK25</f>
        <v>42.508839942364155</v>
      </c>
      <c r="AL161" s="213">
        <f t="shared" si="10"/>
        <v>45.9929284173475</v>
      </c>
      <c r="AM161" s="213">
        <f t="shared" si="10"/>
        <v>41.888676740689128</v>
      </c>
      <c r="AN161" s="213">
        <f t="shared" si="10"/>
        <v>47.996140073127883</v>
      </c>
      <c r="AO161" s="213">
        <f t="shared" si="10"/>
        <v>46.761838733581598</v>
      </c>
      <c r="AP161" s="213">
        <f t="shared" si="10"/>
        <v>41.009021297734201</v>
      </c>
      <c r="AQ161" s="213">
        <f t="shared" si="10"/>
        <v>40.232133498847368</v>
      </c>
    </row>
    <row r="162" spans="5:43" s="269" customFormat="1" ht="15" customHeight="1">
      <c r="E162" s="357" t="str">
        <f>Input!E162</f>
        <v>Allocation to load related capex</v>
      </c>
      <c r="G162" s="269" t="s">
        <v>47</v>
      </c>
      <c r="I162" s="147"/>
      <c r="AJ162" s="229">
        <v>0.99302472587984492</v>
      </c>
      <c r="AK162" s="229">
        <v>0.99331019980615087</v>
      </c>
      <c r="AL162" s="229">
        <v>0.99371749259725095</v>
      </c>
      <c r="AM162" s="229">
        <v>0.99381466588403589</v>
      </c>
      <c r="AN162" s="229">
        <v>0.99377339141798482</v>
      </c>
      <c r="AO162" s="229">
        <v>0.99377187790612653</v>
      </c>
      <c r="AP162" s="229">
        <v>0.99388003387413282</v>
      </c>
      <c r="AQ162" s="229">
        <v>0.994125617467155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6.9752741201550839E-3</v>
      </c>
      <c r="AK167" s="229">
        <v>6.6898001938491269E-3</v>
      </c>
      <c r="AL167" s="229">
        <v>6.2825074027490491E-3</v>
      </c>
      <c r="AM167" s="229">
        <v>6.185334115964114E-3</v>
      </c>
      <c r="AN167" s="229">
        <v>6.2266085820151806E-3</v>
      </c>
      <c r="AO167" s="229">
        <v>6.2281220938734672E-3</v>
      </c>
      <c r="AP167" s="229">
        <v>6.1199661258671822E-3</v>
      </c>
      <c r="AQ167" s="229">
        <v>5.8743825328450017E-3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0.98743099977148852</v>
      </c>
      <c r="AK172" s="229">
        <v>0.98743099977148863</v>
      </c>
      <c r="AL172" s="229">
        <v>0.98743099977148863</v>
      </c>
      <c r="AM172" s="229">
        <v>0.98743099977148863</v>
      </c>
      <c r="AN172" s="229">
        <v>0.98743099977148863</v>
      </c>
      <c r="AO172" s="229">
        <v>0.98743099977148863</v>
      </c>
      <c r="AP172" s="229">
        <v>0.98743099977148863</v>
      </c>
      <c r="AQ172" s="229">
        <v>0.98743099977148852</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1.2569000228511484E-2</v>
      </c>
      <c r="AK176" s="229">
        <v>1.2569000228511373E-2</v>
      </c>
      <c r="AL176" s="229">
        <v>1.2569000228511373E-2</v>
      </c>
      <c r="AM176" s="229">
        <v>1.2569000228511373E-2</v>
      </c>
      <c r="AN176" s="229">
        <v>1.2569000228511373E-2</v>
      </c>
      <c r="AO176" s="229">
        <v>1.2569000228511373E-2</v>
      </c>
      <c r="AP176" s="229">
        <v>1.2569000228511373E-2</v>
      </c>
      <c r="AQ176" s="229">
        <v>1.2569000228511484E-2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0.98743099977148852</v>
      </c>
      <c r="AK226" s="229">
        <v>0.98743099977148863</v>
      </c>
      <c r="AL226" s="229">
        <v>0.98743099977148863</v>
      </c>
      <c r="AM226" s="229">
        <v>0.98743099977148863</v>
      </c>
      <c r="AN226" s="229">
        <v>0.98743099977148863</v>
      </c>
      <c r="AO226" s="229">
        <v>0.98743099977148863</v>
      </c>
      <c r="AP226" s="229">
        <v>0.98743099977148863</v>
      </c>
      <c r="AQ226" s="229">
        <v>0.98743099977148852</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1.2569000228511484E-2</v>
      </c>
      <c r="AK230" s="229">
        <v>1.2569000228511373E-2</v>
      </c>
      <c r="AL230" s="229">
        <v>1.2569000228511373E-2</v>
      </c>
      <c r="AM230" s="229">
        <v>1.2569000228511373E-2</v>
      </c>
      <c r="AN230" s="229">
        <v>1.2569000228511373E-2</v>
      </c>
      <c r="AO230" s="229">
        <v>1.2569000228511373E-2</v>
      </c>
      <c r="AP230" s="229">
        <v>1.2569000228511373E-2</v>
      </c>
      <c r="AQ230" s="229">
        <v>1.2569000228511484E-2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56.413201160203656</v>
      </c>
      <c r="AK242" s="150">
        <f t="shared" ref="AK242:AQ242" si="19">(AK$107*AK108)+(AK$116*AK117)+(AK$125*AK126)+(AK$134*AK135)+(AK$143*AK144)+(AK$152*AK153)+(AK$161*AK162)+(AK$170*AK171)+(AK$179*AK180)+(AK$197*AK198)+(AK$188*AK189)+(AK206*AK207)+(AK215*AK216)+(AK$224*AK225)+(AK$233*AK234)</f>
        <v>51.866441374806243</v>
      </c>
      <c r="AL242" s="150">
        <f t="shared" si="19"/>
        <v>60.521296601003691</v>
      </c>
      <c r="AM242" s="150">
        <f t="shared" si="19"/>
        <v>57.925884826639617</v>
      </c>
      <c r="AN242" s="150">
        <f t="shared" si="19"/>
        <v>56.759091038119557</v>
      </c>
      <c r="AO242" s="150">
        <f t="shared" si="19"/>
        <v>46.934846463889542</v>
      </c>
      <c r="AP242" s="150">
        <f t="shared" si="19"/>
        <v>40.758047476537101</v>
      </c>
      <c r="AQ242" s="150">
        <f t="shared" si="19"/>
        <v>39.99579455656265</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0.54030958505903137</v>
      </c>
      <c r="AL243" s="150">
        <f t="shared" si="20"/>
        <v>0</v>
      </c>
      <c r="AM243" s="150">
        <f t="shared" si="20"/>
        <v>0</v>
      </c>
      <c r="AN243" s="150">
        <f t="shared" si="20"/>
        <v>5.6075610817440529</v>
      </c>
      <c r="AO243" s="150">
        <f t="shared" si="20"/>
        <v>7.546983671437502</v>
      </c>
      <c r="AP243" s="150">
        <f t="shared" si="20"/>
        <v>7.6181233012725187</v>
      </c>
      <c r="AQ243" s="150">
        <f t="shared" si="20"/>
        <v>5.7676330651020962</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0.37726487998546437</v>
      </c>
      <c r="AK247" s="150">
        <f t="shared" ref="AK247:AQ247" si="24">(AK$107*AK113)+(AK$116*AK122)+(AK$125*AK131)+(AK$134*AK140)+(AK$143*AK149)+(AK$152*AK158)+(AK$161*AK167)+(AK$170*AK176)+(AK$179*AK185)+(AK$197*AK203)+(AK$188*AK194)+(AK206*AK212)+(AK215*AK221)+(AK$224*AK230)+(AK$233*AK239)</f>
        <v>0.375314007071195</v>
      </c>
      <c r="AL247" s="150">
        <f t="shared" si="24"/>
        <v>0.40497742350587496</v>
      </c>
      <c r="AM247" s="150">
        <f t="shared" si="24"/>
        <v>0.38452083113272206</v>
      </c>
      <c r="AN247" s="150">
        <f t="shared" si="24"/>
        <v>0.42346659054268265</v>
      </c>
      <c r="AO247" s="150">
        <f t="shared" si="24"/>
        <v>0.38408298693353715</v>
      </c>
      <c r="AP247" s="150">
        <f t="shared" si="24"/>
        <v>0.25182003264509761</v>
      </c>
      <c r="AQ247" s="150">
        <f t="shared" si="24"/>
        <v>0.23697960363063278</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1.1544420108049385</v>
      </c>
      <c r="AK248" s="150">
        <f t="shared" ref="AK248:AQ248" si="25">(AK$107*AK114)+(AK$116*AK123)+(AK$125*AK132)+(AK$134*AK141)+(AK$143*AK150)+(AK$152*AK159)+(AK$161*AK168)+(AK$170*AK177)+(AK$179*AK186)+(AK$197*AK204)+(AK$188*AK195)+(AK206*AK213)+(AK215*AK222)+(AK$224*AK231)+(AK$233*AK240)</f>
        <v>1.9698697089205113</v>
      </c>
      <c r="AL248" s="150">
        <f t="shared" si="25"/>
        <v>2.5382302100292149</v>
      </c>
      <c r="AM248" s="150">
        <f t="shared" si="25"/>
        <v>2.819257597114063</v>
      </c>
      <c r="AN248" s="150">
        <f t="shared" si="25"/>
        <v>2.8164499570068786</v>
      </c>
      <c r="AO248" s="150">
        <f t="shared" si="25"/>
        <v>2.0745931069584045</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27.589993980335358</v>
      </c>
      <c r="AK262" s="227">
        <v>27.239559848598834</v>
      </c>
      <c r="AL262" s="227">
        <v>27.376984998299431</v>
      </c>
      <c r="AM262" s="227">
        <v>27.535023920455121</v>
      </c>
      <c r="AN262" s="227">
        <v>27.301401165964101</v>
      </c>
      <c r="AO262" s="227">
        <v>27.576251465365299</v>
      </c>
      <c r="AP262" s="227">
        <v>26.618493627741156</v>
      </c>
      <c r="AQ262" s="227">
        <v>26.618493627741156</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27.900000000000002</v>
      </c>
      <c r="AK263" s="227">
        <v>32.299999999999997</v>
      </c>
      <c r="AL263" s="227">
        <v>35.260000000000005</v>
      </c>
      <c r="AM263" s="227">
        <v>40.589999999999996</v>
      </c>
      <c r="AN263" s="227">
        <v>47.410000000000004</v>
      </c>
      <c r="AO263" s="227">
        <v>49.51</v>
      </c>
      <c r="AP263" s="227">
        <v>52.510000000000005</v>
      </c>
      <c r="AQ263" s="227">
        <v>53.02</v>
      </c>
    </row>
    <row r="264" spans="2:44" ht="15" customHeight="1">
      <c r="E264" s="19" t="s">
        <v>105</v>
      </c>
      <c r="G264" s="19" t="s">
        <v>657</v>
      </c>
      <c r="AJ264" s="165">
        <f>SUM(AJ262:AJ263)</f>
        <v>55.489993980335356</v>
      </c>
      <c r="AK264" s="165">
        <f t="shared" ref="AK264:AQ264" si="31">SUM(AK262:AK263)</f>
        <v>59.539559848598827</v>
      </c>
      <c r="AL264" s="165">
        <f t="shared" si="31"/>
        <v>62.63698499829944</v>
      </c>
      <c r="AM264" s="165">
        <f t="shared" si="31"/>
        <v>68.125023920455121</v>
      </c>
      <c r="AN264" s="165">
        <f t="shared" si="31"/>
        <v>74.711401165964105</v>
      </c>
      <c r="AO264" s="165">
        <f t="shared" si="31"/>
        <v>77.086251465365294</v>
      </c>
      <c r="AP264" s="165">
        <f t="shared" si="31"/>
        <v>79.128493627741165</v>
      </c>
      <c r="AQ264" s="165">
        <f t="shared" si="31"/>
        <v>79.638493627741155</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39.789236119018263</v>
      </c>
      <c r="AK268" s="213">
        <f t="shared" si="33"/>
        <v>39.789236119018263</v>
      </c>
      <c r="AL268" s="213">
        <f t="shared" si="33"/>
        <v>39.789236119018263</v>
      </c>
      <c r="AM268" s="213">
        <f t="shared" si="33"/>
        <v>39.789236119018263</v>
      </c>
      <c r="AN268" s="213">
        <f t="shared" si="33"/>
        <v>39.789236119018263</v>
      </c>
      <c r="AO268" s="213">
        <f t="shared" si="33"/>
        <v>39.789236119018263</v>
      </c>
      <c r="AP268" s="213">
        <f t="shared" si="33"/>
        <v>39.789236119018263</v>
      </c>
      <c r="AQ268" s="213">
        <f t="shared" si="33"/>
        <v>39.789236119018263</v>
      </c>
      <c r="AR268" s="155"/>
    </row>
    <row r="269" spans="2:44" ht="15" customHeight="1">
      <c r="E269" s="378"/>
    </row>
    <row r="270" spans="2:44" ht="15" customHeight="1">
      <c r="E270" s="378" t="str">
        <f>Input!E270</f>
        <v>Other legacy adjustments' Revenue adjustment from previous controls</v>
      </c>
      <c r="G270" s="19" t="s">
        <v>657</v>
      </c>
      <c r="H270" s="378"/>
      <c r="I270" s="219">
        <v>8.4649991538920588</v>
      </c>
      <c r="AJ270" s="421">
        <f>($I$270/8)</f>
        <v>1.0581248942365074</v>
      </c>
      <c r="AK270" s="423">
        <f>($I$270/8)*(1+$AK$53)</f>
        <v>1.097883937137444</v>
      </c>
      <c r="AL270" s="423">
        <f>($I$270/8)*(1+$AK$53)*(1+$AL$53)</f>
        <v>1.1391369260753834</v>
      </c>
      <c r="AM270" s="423">
        <f>($I$270/8)*(1+$AK$53)*(1+$AL$53)*(1+$AM$53)</f>
        <v>1.1819399960726658</v>
      </c>
      <c r="AN270" s="423">
        <f>($I$270/8)*(1+$AK$53)*(1+$AL$53)*(1+$AM$53)*(1+$AN$53)</f>
        <v>1.2263513914250961</v>
      </c>
      <c r="AO270" s="423">
        <f>($I$270/8)*(1+$AK$53)*(1+$AL$53)*(1+$AM$53)*(1+$AN$53)*(1+$AO$53)</f>
        <v>1.272431544957894</v>
      </c>
      <c r="AP270" s="423">
        <f>($I$270/8)*(1+$AK$53)*(1+$AL$53)*(1+$AM$53)*(1+$AN$53)*(1+$AO$53)*(1+$AP$53)</f>
        <v>1.3202431602596867</v>
      </c>
      <c r="AQ270" s="424">
        <f>($I$270/8)*(1+$AK$53)*(1+$AL$53)*(1+$AM$53)*(1+$AN$53)*(1+$AO$53)*(1+$AP$53)*(1+$AQ$53)</f>
        <v>1.3698512970064443</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1.0581248942365074</v>
      </c>
      <c r="AK272" s="165">
        <f t="shared" ref="AK272:AQ272" si="34">AK270+AK271</f>
        <v>1.097883937137444</v>
      </c>
      <c r="AL272" s="165">
        <f t="shared" si="34"/>
        <v>1.1391369260753834</v>
      </c>
      <c r="AM272" s="165">
        <f t="shared" si="34"/>
        <v>1.1819399960726658</v>
      </c>
      <c r="AN272" s="165">
        <f t="shared" si="34"/>
        <v>1.2263513914250961</v>
      </c>
      <c r="AO272" s="165">
        <f t="shared" si="34"/>
        <v>1.272431544957894</v>
      </c>
      <c r="AP272" s="165">
        <f t="shared" si="34"/>
        <v>1.3202431602596867</v>
      </c>
      <c r="AQ272" s="165">
        <f t="shared" si="34"/>
        <v>1.3698512970064443</v>
      </c>
    </row>
    <row r="273" spans="5:43" ht="15" customHeight="1">
      <c r="E273" s="378"/>
    </row>
    <row r="274" spans="5:43" ht="15" customHeight="1">
      <c r="E274" s="378" t="str">
        <f>Input!E274</f>
        <v>RAV Rolling Incentive legacy adjustments' price control allowed revenue</v>
      </c>
      <c r="G274" s="378" t="str">
        <f>Input!G274</f>
        <v>£m 12/13 prices</v>
      </c>
      <c r="I274" s="219">
        <v>21.466970181911577</v>
      </c>
      <c r="AJ274" s="422">
        <f>($I$274/8)</f>
        <v>2.6833712727389472</v>
      </c>
      <c r="AK274" s="423">
        <f>($I$274/8)*(1+$AK$53)</f>
        <v>2.7841989483121128</v>
      </c>
      <c r="AL274" s="423">
        <f>($I$274/8)*(1+$AK$53)*(1+$AL$53)</f>
        <v>2.88881522379494</v>
      </c>
      <c r="AM274" s="423">
        <f>($I$274/8)*(1+$AK$53)*(1+$AL$53)*(1+$AM$53)</f>
        <v>2.9973624558290348</v>
      </c>
      <c r="AN274" s="423">
        <f>($I$274/8)*(1+$AK$53)*(1+$AL$53)*(1+$AM$53)*(1+$AN$53)</f>
        <v>3.1099883501068106</v>
      </c>
      <c r="AO274" s="423">
        <f>($I$274/8)*(1+$AK$53)*(1+$AL$53)*(1+$AM$53)*(1+$AN$53)*(1+$AO$53)</f>
        <v>3.2268461623620737</v>
      </c>
      <c r="AP274" s="423">
        <f>($I$274/8)*(1+$AK$53)*(1+$AL$53)*(1+$AM$53)*(1+$AN$53)*(1+$AO$53)*(1+$AP$53)</f>
        <v>3.3480949069128285</v>
      </c>
      <c r="AQ274" s="424">
        <f>($I$274/8)*(1+$AK$53)*(1+$AL$53)*(1+$AM$53)*(1+$AN$53)*(1+$AO$53)*(1+$AP$53)*(1+$AQ$53)</f>
        <v>3.4738995730400779</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2.6833712727389472</v>
      </c>
      <c r="AK276" s="165">
        <f t="shared" ref="AK276:AQ276" si="35">AK274+AK275</f>
        <v>2.7841989483121128</v>
      </c>
      <c r="AL276" s="165">
        <f t="shared" si="35"/>
        <v>2.88881522379494</v>
      </c>
      <c r="AM276" s="165">
        <f t="shared" si="35"/>
        <v>2.9973624558290348</v>
      </c>
      <c r="AN276" s="165">
        <f t="shared" si="35"/>
        <v>3.1099883501068106</v>
      </c>
      <c r="AO276" s="165">
        <f t="shared" si="35"/>
        <v>3.2268461623620737</v>
      </c>
      <c r="AP276" s="165">
        <f t="shared" si="35"/>
        <v>3.3480949069128285</v>
      </c>
      <c r="AQ276" s="165">
        <f t="shared" si="35"/>
        <v>3.4738995730400779</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-2.4813513781281475</v>
      </c>
      <c r="AK280" s="227">
        <v>-11.650787160089962</v>
      </c>
      <c r="AL280" s="227">
        <v>0</v>
      </c>
      <c r="AM280" s="227">
        <v>0</v>
      </c>
      <c r="AN280" s="227">
        <v>0</v>
      </c>
      <c r="AO280" s="227">
        <v>0</v>
      </c>
      <c r="AP280" s="227">
        <v>0</v>
      </c>
      <c r="AQ280" s="227">
        <v>0</v>
      </c>
    </row>
    <row r="281" spans="5:43" s="378" customFormat="1" ht="15" customHeight="1">
      <c r="E281" s="378" t="str">
        <f>Input!E281</f>
        <v>Adjustment for Rebate</v>
      </c>
      <c r="G281" s="19" t="s">
        <v>657</v>
      </c>
      <c r="AJ281" s="227"/>
      <c r="AK281" s="227">
        <f>((9/1000000*2046880)/((AI59/AG59)))*(1+1.5%+0.5%)^2</f>
        <v>18.068643624417323</v>
      </c>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-0.1</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-0.1</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54.227488708363644</v>
      </c>
      <c r="AK293" s="219">
        <v>54.094793236241323</v>
      </c>
      <c r="AL293" s="219">
        <v>53.934265663235493</v>
      </c>
      <c r="AM293" s="219">
        <v>53.515221280337649</v>
      </c>
      <c r="AN293" s="219">
        <v>53.786858797943623</v>
      </c>
      <c r="AO293" s="219">
        <v>54.04872513192295</v>
      </c>
      <c r="AP293" s="219">
        <v>54.346982725271232</v>
      </c>
      <c r="AQ293" s="219">
        <v>54.618305678936238</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-52.24178062959308</v>
      </c>
      <c r="AK294" s="219">
        <v>-52.577212457165444</v>
      </c>
      <c r="AL294" s="219">
        <v>-52.41466381269759</v>
      </c>
      <c r="AM294" s="219">
        <v>-52.145539973369836</v>
      </c>
      <c r="AN294" s="219">
        <v>-52.523853313782951</v>
      </c>
      <c r="AO294" s="219">
        <v>-52.763808325577465</v>
      </c>
      <c r="AP294" s="219">
        <v>-53.028471995832312</v>
      </c>
      <c r="AQ294" s="219">
        <v>-53.314115718378041</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1.9857080787705641</v>
      </c>
      <c r="AK295" s="165">
        <f t="shared" si="38"/>
        <v>1.5175807790758782</v>
      </c>
      <c r="AL295" s="165">
        <f t="shared" si="38"/>
        <v>1.519601850537903</v>
      </c>
      <c r="AM295" s="165">
        <f t="shared" si="38"/>
        <v>1.3696813069678129</v>
      </c>
      <c r="AN295" s="165">
        <f t="shared" si="38"/>
        <v>1.2630054841606722</v>
      </c>
      <c r="AO295" s="165">
        <f t="shared" si="38"/>
        <v>1.2849168063454854</v>
      </c>
      <c r="AP295" s="165">
        <f t="shared" si="38"/>
        <v>1.3185107294389198</v>
      </c>
      <c r="AQ295" s="165">
        <f t="shared" si="38"/>
        <v>1.3041899605581975</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5.1811626076809398</v>
      </c>
      <c r="AK297" s="219">
        <v>4.9059732595922272</v>
      </c>
      <c r="AL297" s="219">
        <v>4.8193423138266702</v>
      </c>
      <c r="AM297" s="219">
        <v>4.7408270535180792</v>
      </c>
      <c r="AN297" s="219">
        <v>4.7098203394756872</v>
      </c>
      <c r="AO297" s="219">
        <v>4.6829560066150435</v>
      </c>
      <c r="AP297" s="219">
        <v>4.6579792718588386</v>
      </c>
      <c r="AQ297" s="219">
        <v>4.6300156678607554</v>
      </c>
    </row>
    <row r="298" spans="4:43" ht="15" customHeight="1">
      <c r="E298" s="378" t="str">
        <f>Input!E298</f>
        <v>Connection projects UMC (DRS 1) costs</v>
      </c>
      <c r="G298" s="147" t="str">
        <f>Input!G298</f>
        <v>£m 12/13 prices</v>
      </c>
      <c r="AE298" s="219">
        <v>0</v>
      </c>
      <c r="AF298" s="219">
        <v>0</v>
      </c>
      <c r="AG298" s="219">
        <v>0</v>
      </c>
      <c r="AH298" s="219">
        <v>0</v>
      </c>
      <c r="AI298" s="219">
        <v>0</v>
      </c>
      <c r="AJ298" s="219">
        <v>-4.9665542268318319</v>
      </c>
      <c r="AK298" s="219">
        <v>-4.7383010374001113</v>
      </c>
      <c r="AL298" s="219">
        <v>-4.6542896326476857</v>
      </c>
      <c r="AM298" s="219">
        <v>-4.5916339461296065</v>
      </c>
      <c r="AN298" s="219">
        <v>-4.5728976366082597</v>
      </c>
      <c r="AO298" s="219">
        <v>-4.5458777408144346</v>
      </c>
      <c r="AP298" s="219">
        <v>-4.5194426602063515</v>
      </c>
      <c r="AQ298" s="219">
        <v>-4.494864347959906</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0.21460838084910794</v>
      </c>
      <c r="AK299" s="165">
        <f t="shared" si="39"/>
        <v>0.16767222219211586</v>
      </c>
      <c r="AL299" s="165">
        <f t="shared" si="39"/>
        <v>0.16505268117898453</v>
      </c>
      <c r="AM299" s="165">
        <f t="shared" si="39"/>
        <v>0.14919310738847269</v>
      </c>
      <c r="AN299" s="165">
        <f t="shared" si="39"/>
        <v>0.13692270286742758</v>
      </c>
      <c r="AO299" s="165">
        <f t="shared" si="39"/>
        <v>0.13707826580060889</v>
      </c>
      <c r="AP299" s="165">
        <f t="shared" si="39"/>
        <v>0.1385366116524871</v>
      </c>
      <c r="AQ299" s="165">
        <f t="shared" si="39"/>
        <v>0.13515131990084939</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13.044214889999999</v>
      </c>
      <c r="AK301" s="219">
        <v>13.078646370000001</v>
      </c>
      <c r="AL301" s="219">
        <v>13.16826315</v>
      </c>
      <c r="AM301" s="219">
        <v>13.26291894</v>
      </c>
      <c r="AN301" s="219">
        <v>13.34413359</v>
      </c>
      <c r="AO301" s="219">
        <v>13.42275705</v>
      </c>
      <c r="AP301" s="219">
        <v>13.502353319999999</v>
      </c>
      <c r="AQ301" s="219">
        <v>13.582436399999999</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-11.891421596587442</v>
      </c>
      <c r="AK302" s="219">
        <v>-11.838843257174325</v>
      </c>
      <c r="AL302" s="219">
        <v>-11.783774980647143</v>
      </c>
      <c r="AM302" s="219">
        <v>-11.768808460346561</v>
      </c>
      <c r="AN302" s="219">
        <v>-11.734853595724445</v>
      </c>
      <c r="AO302" s="219">
        <v>-11.68598241315374</v>
      </c>
      <c r="AP302" s="219">
        <v>-11.638166269918283</v>
      </c>
      <c r="AQ302" s="219">
        <v>-11.590915082694544</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1.1527932934125573</v>
      </c>
      <c r="AK303" s="165">
        <f t="shared" ref="AK303:AQ303" si="41">SUM(AK301,AK302)</f>
        <v>1.2398031128256761</v>
      </c>
      <c r="AL303" s="165">
        <f t="shared" si="41"/>
        <v>1.3844881693528563</v>
      </c>
      <c r="AM303" s="165">
        <f t="shared" si="41"/>
        <v>1.4941104796534397</v>
      </c>
      <c r="AN303" s="165">
        <f t="shared" si="41"/>
        <v>1.6092799942755551</v>
      </c>
      <c r="AO303" s="165">
        <f t="shared" si="41"/>
        <v>1.7367746368462598</v>
      </c>
      <c r="AP303" s="165">
        <f t="shared" si="41"/>
        <v>1.8641870500817159</v>
      </c>
      <c r="AQ303" s="165">
        <f t="shared" si="41"/>
        <v>1.9915213173054553</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3.0597541100000001</v>
      </c>
      <c r="AK305" s="219">
        <v>3.06783063</v>
      </c>
      <c r="AL305" s="219">
        <v>3.0888518499999997</v>
      </c>
      <c r="AM305" s="219">
        <v>3.11105506</v>
      </c>
      <c r="AN305" s="219">
        <v>3.1301054100000001</v>
      </c>
      <c r="AO305" s="219">
        <v>3.1485479499999998</v>
      </c>
      <c r="AP305" s="219">
        <v>3.16721868</v>
      </c>
      <c r="AQ305" s="219">
        <v>3.1860035999999998</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-3.4709908665781151</v>
      </c>
      <c r="AK306" s="219">
        <v>-3.5759475407991244</v>
      </c>
      <c r="AL306" s="219">
        <v>-3.6647507526710763</v>
      </c>
      <c r="AM306" s="219">
        <v>-3.7479831973862487</v>
      </c>
      <c r="AN306" s="219">
        <v>-3.8189461022877658</v>
      </c>
      <c r="AO306" s="219">
        <v>-3.8842200695235531</v>
      </c>
      <c r="AP306" s="219">
        <v>-3.9508568898526217</v>
      </c>
      <c r="AQ306" s="219">
        <v>-4.0192237087867628</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-0.41123675657811498</v>
      </c>
      <c r="AK307" s="165">
        <f t="shared" ref="AK307:AQ307" si="43">SUM(AK305,AK306)</f>
        <v>-0.50811691079912435</v>
      </c>
      <c r="AL307" s="165">
        <f t="shared" si="43"/>
        <v>-0.57589890267107657</v>
      </c>
      <c r="AM307" s="165">
        <f t="shared" si="43"/>
        <v>-0.63692813738624876</v>
      </c>
      <c r="AN307" s="165">
        <f t="shared" si="43"/>
        <v>-0.68884069228776568</v>
      </c>
      <c r="AO307" s="165">
        <f t="shared" si="43"/>
        <v>-0.73567211952355338</v>
      </c>
      <c r="AP307" s="165">
        <f t="shared" si="43"/>
        <v>-0.78363820985262178</v>
      </c>
      <c r="AQ307" s="165">
        <f t="shared" si="43"/>
        <v>-0.833220108786763</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1.056</v>
      </c>
      <c r="AK313" s="219">
        <v>1.056</v>
      </c>
      <c r="AL313" s="219">
        <v>1.056</v>
      </c>
      <c r="AM313" s="219">
        <v>1.056</v>
      </c>
      <c r="AN313" s="219">
        <v>1.056</v>
      </c>
      <c r="AO313" s="219">
        <v>1.056</v>
      </c>
      <c r="AP313" s="219">
        <v>1.056</v>
      </c>
      <c r="AQ313" s="219">
        <v>1.056</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-1.5553942028229784</v>
      </c>
      <c r="AK314" s="219">
        <v>-1.556727257991416</v>
      </c>
      <c r="AL314" s="219">
        <v>-1.5497222722141202</v>
      </c>
      <c r="AM314" s="219">
        <v>-1.544270017713911</v>
      </c>
      <c r="AN314" s="219">
        <v>-1.5357207158078414</v>
      </c>
      <c r="AO314" s="219">
        <v>-1.5251915794290032</v>
      </c>
      <c r="AP314" s="219">
        <v>-1.5149677266369039</v>
      </c>
      <c r="AQ314" s="219">
        <v>-1.5050318910253646</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-0.49939420282297831</v>
      </c>
      <c r="AK315" s="165">
        <f t="shared" ref="AK315:AQ315" si="47">SUM(AK313,AK314)</f>
        <v>-0.50072725799141593</v>
      </c>
      <c r="AL315" s="165">
        <f t="shared" si="47"/>
        <v>-0.49372227221412013</v>
      </c>
      <c r="AM315" s="165">
        <f t="shared" si="47"/>
        <v>-0.48827001771391099</v>
      </c>
      <c r="AN315" s="165">
        <f t="shared" si="47"/>
        <v>-0.47972071580784137</v>
      </c>
      <c r="AO315" s="165">
        <f t="shared" si="47"/>
        <v>-0.46919157942900314</v>
      </c>
      <c r="AP315" s="165">
        <f t="shared" si="47"/>
        <v>-0.45896772663690388</v>
      </c>
      <c r="AQ315" s="165">
        <f t="shared" si="47"/>
        <v>-0.44903189102536456</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0.81066595931555607</v>
      </c>
      <c r="AK317" s="219">
        <v>0.55766317706024404</v>
      </c>
      <c r="AL317" s="219">
        <v>0.40262031072220456</v>
      </c>
      <c r="AM317" s="219">
        <v>0.24241945881856281</v>
      </c>
      <c r="AN317" s="219">
        <v>6.919648659938013E-2</v>
      </c>
      <c r="AO317" s="219">
        <v>5.6184801106767615E-3</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0.81066595931555607</v>
      </c>
      <c r="AK319" s="165">
        <f t="shared" ref="AK319:AQ319" si="49">SUM(AK317,AK318)</f>
        <v>0.55766317706024404</v>
      </c>
      <c r="AL319" s="165">
        <f t="shared" si="49"/>
        <v>0.40262031072220456</v>
      </c>
      <c r="AM319" s="165">
        <f t="shared" si="49"/>
        <v>0.24241945881856281</v>
      </c>
      <c r="AN319" s="165">
        <f t="shared" si="49"/>
        <v>6.919648659938013E-2</v>
      </c>
      <c r="AO319" s="165">
        <f t="shared" si="49"/>
        <v>5.6184801106767615E-3</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2.317002035052075</v>
      </c>
      <c r="AK321" s="219">
        <v>1.6075458929127451</v>
      </c>
      <c r="AL321" s="219">
        <v>1.1072520668655128</v>
      </c>
      <c r="AM321" s="219">
        <v>0.61335995635502427</v>
      </c>
      <c r="AN321" s="219">
        <v>0.19009247173416274</v>
      </c>
      <c r="AO321" s="219">
        <v>1.9688389395586852E-2</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2.317002035052075</v>
      </c>
      <c r="AK323" s="165">
        <f t="shared" ref="AK323:AQ323" si="51">SUM(AK321,AK322)</f>
        <v>1.6075458929127451</v>
      </c>
      <c r="AL323" s="165">
        <f t="shared" si="51"/>
        <v>1.1072520668655128</v>
      </c>
      <c r="AM323" s="165">
        <f t="shared" si="51"/>
        <v>0.61335995635502427</v>
      </c>
      <c r="AN323" s="165">
        <f t="shared" si="51"/>
        <v>0.19009247173416274</v>
      </c>
      <c r="AO323" s="165">
        <f t="shared" si="51"/>
        <v>1.9688389395586852E-2</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5.6623990879169001E-2</v>
      </c>
      <c r="AK325" s="219">
        <v>9.9197268030336558E-2</v>
      </c>
      <c r="AL325" s="219">
        <v>0.12703479461763884</v>
      </c>
      <c r="AM325" s="219">
        <v>0.14110785011552993</v>
      </c>
      <c r="AN325" s="219">
        <v>0.13961507563792891</v>
      </c>
      <c r="AO325" s="219">
        <v>0.10104651751080138</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-5.6623990879169001E-2</v>
      </c>
      <c r="AK326" s="219">
        <v>-9.9197268030336558E-2</v>
      </c>
      <c r="AL326" s="219">
        <v>-0.12703479461763884</v>
      </c>
      <c r="AM326" s="219">
        <v>-0.14110785011552993</v>
      </c>
      <c r="AN326" s="219">
        <v>-0.13961507563792891</v>
      </c>
      <c r="AO326" s="219">
        <v>-0.10104651751080138</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0.28118400000000005</v>
      </c>
      <c r="AK329" s="219">
        <v>6.1865999999999997E-2</v>
      </c>
      <c r="AL329" s="219">
        <v>0</v>
      </c>
      <c r="AM329" s="219">
        <v>0</v>
      </c>
      <c r="AN329" s="219">
        <v>0</v>
      </c>
      <c r="AO329" s="219">
        <v>0</v>
      </c>
      <c r="AP329" s="219">
        <v>0</v>
      </c>
      <c r="AQ329" s="219">
        <v>0</v>
      </c>
    </row>
    <row r="330" spans="5:43" ht="15" customHeight="1">
      <c r="E330" s="378" t="str">
        <f>Input!E330</f>
        <v>De Minimis Activities costs</v>
      </c>
      <c r="G330" s="147" t="str">
        <f>Input!G330</f>
        <v>£m 12/13 prices</v>
      </c>
      <c r="AE330" s="219">
        <v>0</v>
      </c>
      <c r="AF330" s="219">
        <v>0</v>
      </c>
      <c r="AG330" s="219">
        <v>0</v>
      </c>
      <c r="AH330" s="219">
        <v>0</v>
      </c>
      <c r="AI330" s="219">
        <v>0</v>
      </c>
      <c r="AJ330" s="219">
        <v>-0.28118400000000005</v>
      </c>
      <c r="AK330" s="219">
        <v>-6.186599999999999E-2</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5.5701467879987678</v>
      </c>
      <c r="AK345" s="165">
        <f t="shared" ref="AK345:AQ345" si="63">AK295+AK299+AK303+AK307+AK311+AK315+AK319+AK323+AK327+AK331+AK335+AK339+AK343</f>
        <v>4.0814210152761188</v>
      </c>
      <c r="AL345" s="165">
        <f t="shared" si="63"/>
        <v>3.5093939037722643</v>
      </c>
      <c r="AM345" s="165">
        <f t="shared" si="63"/>
        <v>2.7435661540831529</v>
      </c>
      <c r="AN345" s="165">
        <f t="shared" si="63"/>
        <v>2.0999357315415907</v>
      </c>
      <c r="AO345" s="165">
        <f t="shared" si="63"/>
        <v>1.9792128795460611</v>
      </c>
      <c r="AP345" s="165">
        <f t="shared" si="63"/>
        <v>2.0786284546835971</v>
      </c>
      <c r="AQ345" s="165">
        <f t="shared" si="63"/>
        <v>2.1486105979523744</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26.050223358889564</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33.741192212835173</v>
      </c>
      <c r="L363" s="219">
        <v>76.264338563257581</v>
      </c>
      <c r="M363" s="219">
        <v>91.363136905074242</v>
      </c>
      <c r="N363" s="219">
        <v>103.38054783019361</v>
      </c>
      <c r="O363" s="219">
        <v>120.79038673453323</v>
      </c>
      <c r="P363" s="219">
        <v>108.92704518024874</v>
      </c>
      <c r="Q363" s="219">
        <v>126.95316156792779</v>
      </c>
      <c r="R363" s="219">
        <v>121.56073358870754</v>
      </c>
      <c r="S363" s="219">
        <v>123.77301892213143</v>
      </c>
      <c r="T363" s="219">
        <v>139.21018831999189</v>
      </c>
      <c r="U363" s="219">
        <v>95.403969257709903</v>
      </c>
      <c r="V363" s="219">
        <v>66.419324227174712</v>
      </c>
      <c r="W363" s="219">
        <v>96.482308736628042</v>
      </c>
      <c r="X363" s="219">
        <v>103.24688313467598</v>
      </c>
      <c r="Y363" s="219">
        <v>89.666465029029894</v>
      </c>
      <c r="Z363" s="219">
        <v>121.50866896969214</v>
      </c>
      <c r="AA363" s="219">
        <v>138.63353629527646</v>
      </c>
      <c r="AB363" s="219">
        <v>143.33880494765612</v>
      </c>
      <c r="AC363" s="219">
        <v>140.45981609373789</v>
      </c>
      <c r="AD363" s="219">
        <v>138.2630783291736</v>
      </c>
      <c r="AE363" s="219">
        <v>141.67011167140947</v>
      </c>
      <c r="AF363" s="219">
        <v>118.54813731975005</v>
      </c>
      <c r="AG363" s="219">
        <v>142.083640030174</v>
      </c>
      <c r="AH363" s="419">
        <v>144.88897060091566</v>
      </c>
      <c r="AI363" s="227">
        <v>191.42146936891044</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41.768658655346798</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4.2369463794816031</v>
      </c>
      <c r="AI386" s="227">
        <v>0.15406351761827253</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453.56581558088868</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47.801543305411457</v>
      </c>
      <c r="AI390" s="365">
        <v>80.222868343267535</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412.36346377126762</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75.847853092073905</v>
      </c>
      <c r="AI394" s="227">
        <v>70.419158665816681</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419.2</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83.982971160607335</v>
      </c>
      <c r="AI398" s="373">
        <v>79.727678804817813</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373">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7.6865010962911644E-3</v>
      </c>
      <c r="AK407" s="289">
        <v>7.6865010962911644E-3</v>
      </c>
      <c r="AL407" s="289">
        <v>7.6865010962911644E-3</v>
      </c>
      <c r="AM407" s="289">
        <v>7.6865010962911644E-3</v>
      </c>
      <c r="AN407" s="289">
        <v>7.6865010962911644E-3</v>
      </c>
      <c r="AO407" s="289">
        <v>7.6865010962911644E-3</v>
      </c>
      <c r="AP407" s="289">
        <v>7.6865010962911644E-3</v>
      </c>
      <c r="AQ407" s="289">
        <v>7.6865010962911644E-3</v>
      </c>
    </row>
    <row r="408" spans="3:43" s="155" customFormat="1">
      <c r="E408" s="93" t="str">
        <f>Input!E408</f>
        <v>Non-load related capex - asset replacement</v>
      </c>
      <c r="G408" s="155" t="s">
        <v>47</v>
      </c>
      <c r="AJ408" s="289">
        <v>3.1135895684989603E-2</v>
      </c>
      <c r="AK408" s="289">
        <v>3.1135895684989603E-2</v>
      </c>
      <c r="AL408" s="289">
        <v>3.1135895684989603E-2</v>
      </c>
      <c r="AM408" s="289">
        <v>3.1135895684989603E-2</v>
      </c>
      <c r="AN408" s="289">
        <v>3.1135895684989603E-2</v>
      </c>
      <c r="AO408" s="289">
        <v>3.1135895684989603E-2</v>
      </c>
      <c r="AP408" s="289">
        <v>3.1135895684989603E-2</v>
      </c>
      <c r="AQ408" s="289">
        <v>3.1135895684989603E-2</v>
      </c>
    </row>
    <row r="409" spans="3:43" s="155" customFormat="1">
      <c r="E409" s="93" t="str">
        <f>Input!E409</f>
        <v>Non-Load Related capex - other</v>
      </c>
      <c r="G409" s="155" t="s">
        <v>47</v>
      </c>
      <c r="AJ409" s="289">
        <v>0.83289273442995448</v>
      </c>
      <c r="AK409" s="289">
        <v>0.83289273442995448</v>
      </c>
      <c r="AL409" s="289">
        <v>0.83289273442995448</v>
      </c>
      <c r="AM409" s="289">
        <v>0.83289273442995448</v>
      </c>
      <c r="AN409" s="289">
        <v>0.83289273442995448</v>
      </c>
      <c r="AO409" s="289">
        <v>0.83289273442995448</v>
      </c>
      <c r="AP409" s="289">
        <v>0.83289273442995448</v>
      </c>
      <c r="AQ409" s="289">
        <v>0.83289273442995448</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0</v>
      </c>
      <c r="AK413" s="289">
        <v>0</v>
      </c>
      <c r="AL413" s="289">
        <v>0</v>
      </c>
      <c r="AM413" s="289">
        <v>0</v>
      </c>
      <c r="AN413" s="289">
        <v>0</v>
      </c>
      <c r="AO413" s="289">
        <v>0</v>
      </c>
      <c r="AP413" s="289">
        <v>0</v>
      </c>
      <c r="AQ413" s="289">
        <v>0</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0.96199710040363795</v>
      </c>
      <c r="AK417" s="289">
        <v>0.96199710040363795</v>
      </c>
      <c r="AL417" s="289">
        <v>0.96199710040363795</v>
      </c>
      <c r="AM417" s="289">
        <v>0.96199710040363795</v>
      </c>
      <c r="AN417" s="289">
        <v>0.96199710040363795</v>
      </c>
      <c r="AO417" s="289">
        <v>0.96199710040363795</v>
      </c>
      <c r="AP417" s="289">
        <v>0.96199710040363795</v>
      </c>
      <c r="AQ417" s="289">
        <v>0.96199710040363795</v>
      </c>
    </row>
    <row r="418" spans="4:43" s="155" customFormat="1">
      <c r="E418" s="93" t="str">
        <f>Input!E418</f>
        <v>Non-load related capex - asset replacement</v>
      </c>
      <c r="G418" s="155" t="s">
        <v>47</v>
      </c>
      <c r="AJ418" s="289">
        <v>0.40332241402689151</v>
      </c>
      <c r="AK418" s="289">
        <v>0.40332241402689151</v>
      </c>
      <c r="AL418" s="289">
        <v>0.40332241402689151</v>
      </c>
      <c r="AM418" s="289">
        <v>0.40332241402689151</v>
      </c>
      <c r="AN418" s="289">
        <v>0.40332241402689151</v>
      </c>
      <c r="AO418" s="289">
        <v>0.40332241402689151</v>
      </c>
      <c r="AP418" s="289">
        <v>0.40332241402689151</v>
      </c>
      <c r="AQ418" s="289">
        <v>0.40332241402689151</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0.43472456017006222</v>
      </c>
      <c r="AK423" s="289">
        <v>0.43472456017006222</v>
      </c>
      <c r="AL423" s="289">
        <v>0.43472456017006222</v>
      </c>
      <c r="AM423" s="289">
        <v>0.43472456017006222</v>
      </c>
      <c r="AN423" s="289">
        <v>0.43472456017006222</v>
      </c>
      <c r="AO423" s="289">
        <v>0.43472456017006222</v>
      </c>
      <c r="AP423" s="289">
        <v>0.43472456017006222</v>
      </c>
      <c r="AQ423" s="289">
        <v>0.43472456017006222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2.8581987182959644E-2</v>
      </c>
      <c r="AK427" s="289">
        <v>2.8581987182959644E-2</v>
      </c>
      <c r="AL427" s="289">
        <v>2.8581987182959644E-2</v>
      </c>
      <c r="AM427" s="289">
        <v>2.8581987182959644E-2</v>
      </c>
      <c r="AN427" s="289">
        <v>2.8581987182959644E-2</v>
      </c>
      <c r="AO427" s="289">
        <v>2.8581987182959644E-2</v>
      </c>
      <c r="AP427" s="289">
        <v>2.8581987182959644E-2</v>
      </c>
      <c r="AQ427" s="289">
        <v>2.8581987182959644E-2</v>
      </c>
    </row>
    <row r="428" spans="4:43" s="155" customFormat="1">
      <c r="E428" s="93" t="str">
        <f>Input!E428</f>
        <v>Non-load related capex - asset replacement</v>
      </c>
      <c r="G428" s="155" t="s">
        <v>47</v>
      </c>
      <c r="AJ428" s="289">
        <v>0.56153336910410145</v>
      </c>
      <c r="AK428" s="289">
        <v>0.56153336910410145</v>
      </c>
      <c r="AL428" s="289">
        <v>0.56153336910410145</v>
      </c>
      <c r="AM428" s="289">
        <v>0.56153336910410145</v>
      </c>
      <c r="AN428" s="289">
        <v>0.56153336910410145</v>
      </c>
      <c r="AO428" s="289">
        <v>0.56153336910410145</v>
      </c>
      <c r="AP428" s="289">
        <v>0.56153336910410145</v>
      </c>
      <c r="AQ428" s="289">
        <v>0.56153336910410145</v>
      </c>
    </row>
    <row r="429" spans="4:43" s="155" customFormat="1">
      <c r="E429" s="93" t="str">
        <f>Input!E429</f>
        <v>Non-Load Related capex - other</v>
      </c>
      <c r="G429" s="155" t="s">
        <v>47</v>
      </c>
      <c r="AJ429" s="289">
        <v>0</v>
      </c>
      <c r="AK429" s="289">
        <v>0</v>
      </c>
      <c r="AL429" s="289">
        <v>0</v>
      </c>
      <c r="AM429" s="289">
        <v>0</v>
      </c>
      <c r="AN429" s="289">
        <v>0</v>
      </c>
      <c r="AO429" s="289">
        <v>0</v>
      </c>
      <c r="AP429" s="289">
        <v>0</v>
      </c>
      <c r="AQ429" s="289">
        <v>0</v>
      </c>
    </row>
    <row r="430" spans="4:43" s="155" customFormat="1">
      <c r="E430" s="155" t="str">
        <f>Input!E430</f>
        <v>Faults</v>
      </c>
      <c r="G430" s="155" t="s">
        <v>47</v>
      </c>
      <c r="AJ430" s="289">
        <v>0.68295808017929971</v>
      </c>
      <c r="AK430" s="289">
        <v>0.68295808017929971</v>
      </c>
      <c r="AL430" s="289">
        <v>0.68295808017929971</v>
      </c>
      <c r="AM430" s="289">
        <v>0.68295808017929971</v>
      </c>
      <c r="AN430" s="289">
        <v>0.68295808017929971</v>
      </c>
      <c r="AO430" s="289">
        <v>0.68295808017929971</v>
      </c>
      <c r="AP430" s="289">
        <v>0.68295808017929971</v>
      </c>
      <c r="AQ430" s="289">
        <v>0.68295808017929971</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0.18547571352552006</v>
      </c>
      <c r="AK433" s="289">
        <v>0.18547571352552006</v>
      </c>
      <c r="AL433" s="289">
        <v>0.18547571352552006</v>
      </c>
      <c r="AM433" s="289">
        <v>0.18547571352552006</v>
      </c>
      <c r="AN433" s="289">
        <v>0.18547571352552006</v>
      </c>
      <c r="AO433" s="289">
        <v>0.18547571352552006</v>
      </c>
      <c r="AP433" s="289">
        <v>0.18547571352552006</v>
      </c>
      <c r="AQ433" s="289">
        <v>0.18547571352552006</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0.31704191982070029</v>
      </c>
      <c r="AK440" s="289">
        <v>0.31704191982070029</v>
      </c>
      <c r="AL440" s="289">
        <v>0.31704191982070029</v>
      </c>
      <c r="AM440" s="289">
        <v>0.31704191982070029</v>
      </c>
      <c r="AN440" s="289">
        <v>0.31704191982070029</v>
      </c>
      <c r="AO440" s="289">
        <v>0.31704191982070029</v>
      </c>
      <c r="AP440" s="289">
        <v>0.31704191982070029</v>
      </c>
      <c r="AQ440" s="289">
        <v>0.31704191982070029</v>
      </c>
    </row>
    <row r="441" spans="4:43" s="155" customFormat="1">
      <c r="E441" s="269"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0.37979972630441755</v>
      </c>
      <c r="AK443" s="289">
        <v>0.37979972630441755</v>
      </c>
      <c r="AL443" s="289">
        <v>0.37979972630441755</v>
      </c>
      <c r="AM443" s="289">
        <v>0.37979972630441755</v>
      </c>
      <c r="AN443" s="289">
        <v>0.37979972630441755</v>
      </c>
      <c r="AO443" s="289">
        <v>0.37979972630441755</v>
      </c>
      <c r="AP443" s="289">
        <v>0.37979972630441755</v>
      </c>
      <c r="AQ443" s="289">
        <v>0.37979972630441755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1.7344113171111793E-3</v>
      </c>
      <c r="AK447" s="289">
        <v>1.7344113171111793E-3</v>
      </c>
      <c r="AL447" s="289">
        <v>1.7344113171111793E-3</v>
      </c>
      <c r="AM447" s="289">
        <v>1.7344113171111793E-3</v>
      </c>
      <c r="AN447" s="289">
        <v>1.7344113171111793E-3</v>
      </c>
      <c r="AO447" s="289">
        <v>1.7344113171111793E-3</v>
      </c>
      <c r="AP447" s="289">
        <v>1.7344113171111793E-3</v>
      </c>
      <c r="AQ447" s="289">
        <v>1.7344113171111793E-3</v>
      </c>
    </row>
    <row r="448" spans="4:43" s="155" customFormat="1">
      <c r="E448" s="93" t="str">
        <f>Input!E448</f>
        <v>Non-load related capex - asset replacement</v>
      </c>
      <c r="G448" s="155" t="s">
        <v>47</v>
      </c>
      <c r="AJ448" s="289">
        <v>4.0083211840174788E-3</v>
      </c>
      <c r="AK448" s="289">
        <v>4.0083211840174788E-3</v>
      </c>
      <c r="AL448" s="289">
        <v>4.0083211840174788E-3</v>
      </c>
      <c r="AM448" s="289">
        <v>4.0083211840174788E-3</v>
      </c>
      <c r="AN448" s="289">
        <v>4.0083211840174788E-3</v>
      </c>
      <c r="AO448" s="289">
        <v>4.0083211840174788E-3</v>
      </c>
      <c r="AP448" s="289">
        <v>4.0083211840174788E-3</v>
      </c>
      <c r="AQ448" s="289">
        <v>4.0083211840174788E-3</v>
      </c>
    </row>
    <row r="449" spans="4:45" s="155" customFormat="1">
      <c r="E449" s="93" t="str">
        <f>Input!E449</f>
        <v>Non-Load Related capex - other</v>
      </c>
      <c r="G449" s="155" t="s">
        <v>47</v>
      </c>
      <c r="AG449" s="24"/>
      <c r="AJ449" s="289">
        <v>0.16710726557004552</v>
      </c>
      <c r="AK449" s="289">
        <v>0.16710726557004552</v>
      </c>
      <c r="AL449" s="289">
        <v>0.16710726557004552</v>
      </c>
      <c r="AM449" s="289">
        <v>0.16710726557004552</v>
      </c>
      <c r="AN449" s="289">
        <v>0.16710726557004552</v>
      </c>
      <c r="AO449" s="289">
        <v>0.16710726557004552</v>
      </c>
      <c r="AP449" s="289">
        <v>0.16710726557004552</v>
      </c>
      <c r="AQ449" s="289">
        <v>0.16710726557004552</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0</v>
      </c>
      <c r="AK453" s="289">
        <v>0</v>
      </c>
      <c r="AL453" s="289">
        <v>0</v>
      </c>
      <c r="AM453" s="289">
        <v>0</v>
      </c>
      <c r="AN453" s="289">
        <v>0</v>
      </c>
      <c r="AO453" s="289">
        <v>0</v>
      </c>
      <c r="AP453" s="289">
        <v>0</v>
      </c>
      <c r="AQ453" s="289">
        <v>0</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0.99999999999999978</v>
      </c>
      <c r="AK464" s="209">
        <f t="shared" si="66"/>
        <v>0.99999999999999978</v>
      </c>
      <c r="AL464" s="209">
        <f t="shared" si="66"/>
        <v>0.99999999999999978</v>
      </c>
      <c r="AM464" s="209">
        <f t="shared" si="66"/>
        <v>0.99999999999999978</v>
      </c>
      <c r="AN464" s="209">
        <f t="shared" si="66"/>
        <v>0.99999999999999978</v>
      </c>
      <c r="AO464" s="209">
        <f t="shared" si="66"/>
        <v>0.99999999999999978</v>
      </c>
      <c r="AP464" s="209">
        <f t="shared" si="66"/>
        <v>0.99999999999999978</v>
      </c>
      <c r="AQ464" s="209">
        <f t="shared" si="66"/>
        <v>0.99999999999999978</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1.2106330933615761</v>
      </c>
      <c r="AK468" s="219">
        <v>1.2832292951440218</v>
      </c>
      <c r="AL468" s="219">
        <v>1.2690573203803779</v>
      </c>
      <c r="AM468" s="219">
        <v>1.2919462245737294</v>
      </c>
      <c r="AN468" s="219">
        <v>1.3156663879177908</v>
      </c>
      <c r="AO468" s="219">
        <v>1.3398067488045347</v>
      </c>
      <c r="AP468" s="219">
        <v>1.3643012320145333</v>
      </c>
      <c r="AQ468" s="219">
        <v>1.3894984544933946</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-22.47737669179234</v>
      </c>
      <c r="AK472" s="227">
        <v>-10.244410081086297</v>
      </c>
      <c r="AL472" s="227">
        <v>-13.051843257521224</v>
      </c>
      <c r="AM472" s="227">
        <v>-8.7668358696148481</v>
      </c>
      <c r="AN472" s="227">
        <v>-8.3559420530353883</v>
      </c>
      <c r="AO472" s="227">
        <v>1.2522223262099628</v>
      </c>
      <c r="AP472" s="227">
        <v>26.322340235864548</v>
      </c>
      <c r="AQ472" s="227">
        <v>35.562161951331916</v>
      </c>
      <c r="AS472" s="155"/>
    </row>
    <row r="473" spans="2:45" ht="15" customHeight="1">
      <c r="E473" s="155" t="str">
        <f>Input!E473</f>
        <v>Time Value of Money Profile Adjustment</v>
      </c>
      <c r="G473" s="147" t="s">
        <v>657</v>
      </c>
      <c r="AJ473" s="227">
        <v>0.52833876688723991</v>
      </c>
      <c r="AK473" s="227">
        <v>1.2982596490821088</v>
      </c>
      <c r="AL473" s="227">
        <v>1.8476301265118953</v>
      </c>
      <c r="AM473" s="227">
        <v>2.3627341707084875</v>
      </c>
      <c r="AN473" s="227">
        <v>2.7677213946755996</v>
      </c>
      <c r="AO473" s="227">
        <v>2.9371599619238067</v>
      </c>
      <c r="AP473" s="227">
        <v>2.2909588040180688</v>
      </c>
      <c r="AQ473" s="227">
        <v>0.83651063208257836</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-28.121823919480505</v>
      </c>
      <c r="AL482" s="227">
        <v>-40.980486078236538</v>
      </c>
      <c r="AM482" s="227">
        <v>-57.363100163248248</v>
      </c>
      <c r="AN482" s="227">
        <v>-68.397867006864203</v>
      </c>
      <c r="AO482" s="227">
        <v>-78.919306362429211</v>
      </c>
      <c r="AP482" s="227">
        <v>-77.41655322100695</v>
      </c>
      <c r="AQ482" s="227">
        <v>-44.524035149881627</v>
      </c>
    </row>
    <row r="483" spans="2:43" ht="15" customHeight="1">
      <c r="E483" s="155" t="str">
        <f>Input!E483</f>
        <v>Profiling Impact on Actual Revenues</v>
      </c>
      <c r="AJ483" s="227">
        <v>-28.121823919480505</v>
      </c>
      <c r="AK483" s="227">
        <v>-12.858662158756033</v>
      </c>
      <c r="AL483" s="227">
        <v>-16.38261408501171</v>
      </c>
      <c r="AM483" s="227">
        <v>-11.034766843615955</v>
      </c>
      <c r="AN483" s="227">
        <v>-10.521439355565008</v>
      </c>
      <c r="AO483" s="227">
        <v>1.5027531414222608</v>
      </c>
      <c r="AP483" s="227">
        <v>32.892518071125323</v>
      </c>
      <c r="AQ483" s="227">
        <v>44.523219623378509</v>
      </c>
    </row>
    <row r="484" spans="2:43" ht="15" customHeight="1">
      <c r="E484" s="155" t="str">
        <f>Input!E484</f>
        <v>Closing balance</v>
      </c>
      <c r="AJ484" s="227">
        <v>-28.121823919480505</v>
      </c>
      <c r="AK484" s="227">
        <v>-40.980486078236538</v>
      </c>
      <c r="AL484" s="227">
        <v>-57.363100163248248</v>
      </c>
      <c r="AM484" s="227">
        <v>-68.397867006864203</v>
      </c>
      <c r="AN484" s="227">
        <v>-78.919306362429211</v>
      </c>
      <c r="AO484" s="227">
        <v>-77.41655322100695</v>
      </c>
      <c r="AP484" s="227">
        <v>-44.524035149881627</v>
      </c>
      <c r="AQ484" s="227">
        <v>-8.1552650311778052E-4</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241.50956199667741</v>
      </c>
      <c r="AK490" s="227">
        <v>235.82954941728929</v>
      </c>
      <c r="AL490" s="227">
        <v>223.31548479070273</v>
      </c>
      <c r="AM490" s="227">
        <v>213.68678713392083</v>
      </c>
      <c r="AN490" s="227">
        <v>216.41512026868151</v>
      </c>
      <c r="AO490" s="227">
        <v>204.45790016402668</v>
      </c>
      <c r="AP490" s="227">
        <v>189.58219818136976</v>
      </c>
      <c r="AQ490" s="227">
        <v>179.26947529000805</v>
      </c>
    </row>
    <row r="491" spans="2:43" s="378" customFormat="1" ht="15" customHeight="1">
      <c r="E491" s="155" t="str">
        <f>Input!E491</f>
        <v>DNO Finance Totex Adjustments (DRS8/Disposals)</v>
      </c>
      <c r="G491" s="155" t="str">
        <f>Input!G491</f>
        <v>£m 12/13 prices</v>
      </c>
      <c r="I491" s="227">
        <f>-SUM(LPN!$AJ$285:$AQ$285)+SUM(LPN!$AJ$367:$AQ$367)</f>
        <v>0</v>
      </c>
    </row>
    <row r="492" spans="2:43" s="378" customFormat="1" ht="15" customHeight="1">
      <c r="E492" s="155" t="str">
        <f>Input!E492</f>
        <v>Group Finance Totex Adjustments (DRS8/Disposals)</v>
      </c>
      <c r="G492" s="155" t="str">
        <f>Input!G492</f>
        <v>£m 12/13 prices</v>
      </c>
      <c r="I492" s="227">
        <f>LPN!I491+SPN!I491+EPN!I491</f>
        <v>0</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3" priority="1" operator="lessThan">
      <formula>1</formula>
    </cfRule>
    <cfRule type="cellIs" dxfId="12"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7030A0"/>
    <pageSetUpPr autoPageBreaks="0" fitToPage="1"/>
  </sheetPr>
  <dimension ref="A1:XDG495"/>
  <sheetViews>
    <sheetView zoomScale="70" zoomScaleNormal="70" workbookViewId="0">
      <pane xSplit="10" ySplit="7" topLeftCell="AJ56"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515</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515</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565</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565</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0.54093308903756154</v>
      </c>
      <c r="AK19" s="216">
        <v>0.54594257582893979</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4.7316840663062871</v>
      </c>
      <c r="AK20" s="216">
        <v>5.796297755687891</v>
      </c>
      <c r="AL20" s="216">
        <v>5.7810277925895379</v>
      </c>
      <c r="AM20" s="216">
        <v>5.4133322273571238</v>
      </c>
      <c r="AN20" s="216">
        <v>4.5133944668442929</v>
      </c>
      <c r="AO20" s="216">
        <v>2.7175824648954179</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1.1818683168159565</v>
      </c>
      <c r="AK23" s="216">
        <v>2.0026462312084403</v>
      </c>
      <c r="AL23" s="216">
        <v>2.5960456178783375</v>
      </c>
      <c r="AM23" s="216">
        <v>2.8721480650137305</v>
      </c>
      <c r="AN23" s="216">
        <v>2.8768846344687784</v>
      </c>
      <c r="AO23" s="216">
        <v>2.116819627245405</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26.10150142088041</v>
      </c>
      <c r="AK25" s="216">
        <v>34.108195238319844</v>
      </c>
      <c r="AL25" s="216">
        <v>35.19755807900691</v>
      </c>
      <c r="AM25" s="216">
        <v>25.866056686922057</v>
      </c>
      <c r="AN25" s="216">
        <v>21.095121343901685</v>
      </c>
      <c r="AO25" s="216">
        <v>20.863928000297733</v>
      </c>
      <c r="AP25" s="216">
        <v>27.539565724220211</v>
      </c>
      <c r="AQ25" s="216">
        <v>25.62722559342</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34.050166076342968</v>
      </c>
      <c r="AK34" s="216">
        <v>34.050166076342968</v>
      </c>
      <c r="AL34" s="216">
        <v>34.050166076342968</v>
      </c>
      <c r="AM34" s="216">
        <v>34.050166076342968</v>
      </c>
      <c r="AN34" s="216">
        <v>34.050166076342968</v>
      </c>
      <c r="AO34" s="216">
        <v>34.050166076342968</v>
      </c>
      <c r="AP34" s="216">
        <v>34.050166076342968</v>
      </c>
      <c r="AQ34" s="216">
        <v>34.050166076342968</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4" ht="15" customHeight="1">
      <c r="E65" s="378"/>
      <c r="AI65" s="145"/>
    </row>
    <row r="66" spans="4:44" ht="15" customHeight="1">
      <c r="E66" s="378" t="str">
        <f>Input!E66</f>
        <v>Capitalised share of totex</v>
      </c>
      <c r="G66" s="147" t="s">
        <v>47</v>
      </c>
      <c r="AI66" s="145"/>
      <c r="AJ66" s="353">
        <v>0.68</v>
      </c>
      <c r="AK66" s="353">
        <v>0.68</v>
      </c>
      <c r="AL66" s="353">
        <v>0.68</v>
      </c>
      <c r="AM66" s="353">
        <v>0.68</v>
      </c>
      <c r="AN66" s="353">
        <v>0.68</v>
      </c>
      <c r="AO66" s="353">
        <v>0.68</v>
      </c>
      <c r="AP66" s="353">
        <v>0.68</v>
      </c>
      <c r="AQ66" s="353">
        <v>0.68</v>
      </c>
      <c r="AR66" s="353">
        <v>0.7</v>
      </c>
    </row>
    <row r="67" spans="4:44" ht="15" customHeight="1">
      <c r="E67" s="378"/>
      <c r="AI67" s="145"/>
      <c r="AJ67" s="145"/>
      <c r="AK67" s="145"/>
      <c r="AL67" s="145"/>
      <c r="AM67" s="145"/>
      <c r="AN67" s="145"/>
      <c r="AO67" s="145"/>
      <c r="AP67" s="145"/>
      <c r="AQ67" s="246"/>
    </row>
    <row r="68" spans="4:44" s="145" customFormat="1" ht="15" customHeight="1">
      <c r="E68" s="378" t="s">
        <v>597</v>
      </c>
      <c r="F68" s="147"/>
      <c r="G68" s="53" t="s">
        <v>47</v>
      </c>
      <c r="H68" s="147"/>
      <c r="I68" s="368">
        <v>-9.9928896639931257E-3</v>
      </c>
      <c r="J68" s="31"/>
      <c r="K68" s="31"/>
      <c r="L68" s="31"/>
      <c r="M68" s="31"/>
      <c r="N68" s="31"/>
      <c r="O68" s="31"/>
      <c r="P68" s="31"/>
      <c r="Q68" s="31"/>
      <c r="R68" s="31"/>
      <c r="S68" s="31"/>
      <c r="T68" s="31"/>
      <c r="U68" s="31"/>
      <c r="V68" s="31"/>
      <c r="W68" s="31"/>
      <c r="X68" s="31"/>
      <c r="Y68" s="31"/>
      <c r="Z68" s="31"/>
      <c r="AQ68" s="246"/>
    </row>
    <row r="69" spans="4:44" s="145" customFormat="1" ht="15" customHeight="1">
      <c r="G69" s="190"/>
      <c r="J69" s="31"/>
      <c r="K69" s="31"/>
      <c r="L69" s="31"/>
      <c r="M69" s="31"/>
      <c r="N69" s="31"/>
      <c r="O69" s="31"/>
      <c r="P69" s="31"/>
      <c r="Q69" s="31"/>
      <c r="R69" s="31"/>
      <c r="S69" s="31"/>
      <c r="T69" s="31"/>
      <c r="U69" s="31"/>
      <c r="V69" s="31"/>
      <c r="W69" s="31"/>
      <c r="X69" s="31"/>
      <c r="Y69" s="31"/>
      <c r="Z69" s="31"/>
    </row>
    <row r="70" spans="4:44" s="145" customFormat="1" ht="15" customHeight="1">
      <c r="E70" s="145" t="s">
        <v>598</v>
      </c>
      <c r="G70" s="53" t="s">
        <v>47</v>
      </c>
      <c r="I70" s="368">
        <v>0.53284185719504162</v>
      </c>
      <c r="J70" s="31"/>
      <c r="K70" s="31"/>
      <c r="L70" s="31"/>
      <c r="M70" s="31"/>
      <c r="N70" s="31"/>
      <c r="O70" s="31"/>
      <c r="P70" s="31"/>
      <c r="Q70" s="31"/>
      <c r="R70" s="31"/>
      <c r="S70" s="31"/>
      <c r="T70" s="31"/>
      <c r="U70" s="31"/>
      <c r="V70" s="31"/>
      <c r="W70" s="31"/>
      <c r="X70" s="31"/>
      <c r="Y70" s="31"/>
      <c r="Z70" s="31"/>
      <c r="AQ70" s="246"/>
    </row>
    <row r="71" spans="4:44" s="145" customFormat="1" ht="15" customHeight="1">
      <c r="J71" s="31"/>
      <c r="K71" s="31"/>
      <c r="L71" s="31"/>
      <c r="M71" s="31"/>
      <c r="N71" s="31"/>
      <c r="O71" s="31"/>
      <c r="P71" s="31"/>
      <c r="Q71" s="31"/>
      <c r="R71" s="31"/>
      <c r="S71" s="31"/>
      <c r="T71" s="31"/>
      <c r="U71" s="31"/>
      <c r="V71" s="31"/>
      <c r="W71" s="31"/>
      <c r="X71" s="31"/>
      <c r="Y71" s="31"/>
      <c r="Z71" s="31"/>
      <c r="AQ71" s="246"/>
    </row>
    <row r="72" spans="4:44"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4"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4"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4" s="19" customFormat="1" ht="15" customHeight="1">
      <c r="D75" s="147"/>
      <c r="E75" s="378" t="s">
        <v>673</v>
      </c>
      <c r="G75" s="190" t="s">
        <v>657</v>
      </c>
      <c r="H75" s="428"/>
      <c r="I75" s="227">
        <v>1672.717192986049</v>
      </c>
      <c r="J75" s="88"/>
      <c r="K75" s="88"/>
      <c r="L75" s="88"/>
      <c r="M75" s="88"/>
      <c r="N75" s="88"/>
      <c r="O75" s="88"/>
      <c r="P75" s="88"/>
      <c r="Q75" s="88"/>
      <c r="R75" s="88"/>
      <c r="S75" s="88"/>
      <c r="T75" s="88"/>
      <c r="U75" s="88"/>
      <c r="V75" s="88"/>
      <c r="W75" s="88"/>
      <c r="X75" s="88"/>
      <c r="Y75" s="88"/>
      <c r="Z75" s="88"/>
      <c r="AJ75" s="89"/>
    </row>
    <row r="76" spans="4:44" s="19" customFormat="1" ht="15" customHeight="1">
      <c r="D76" s="147"/>
      <c r="E76" s="378" t="s">
        <v>674</v>
      </c>
      <c r="G76" s="190" t="s">
        <v>657</v>
      </c>
      <c r="I76" s="227">
        <v>1871.5709060612089</v>
      </c>
      <c r="J76" s="88"/>
      <c r="K76" s="88"/>
      <c r="L76" s="88"/>
      <c r="M76" s="88"/>
      <c r="N76" s="88"/>
      <c r="O76" s="88"/>
      <c r="P76" s="88"/>
      <c r="Q76" s="88"/>
      <c r="R76" s="88"/>
      <c r="S76" s="88"/>
      <c r="T76" s="88"/>
      <c r="U76" s="88"/>
      <c r="V76" s="88"/>
      <c r="W76" s="88"/>
      <c r="X76" s="88"/>
      <c r="Y76" s="88"/>
      <c r="Z76" s="88"/>
      <c r="AJ76" s="89"/>
    </row>
    <row r="77" spans="4:44"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4" s="19" customFormat="1" ht="15" customHeight="1">
      <c r="E78" s="378" t="s">
        <v>675</v>
      </c>
      <c r="G78" s="190" t="s">
        <v>657</v>
      </c>
      <c r="I78" s="227">
        <f>I75 + LPN!I75+EPN!I75</f>
        <v>5833.3907797740094</v>
      </c>
      <c r="J78" s="88"/>
      <c r="K78" s="88"/>
      <c r="L78" s="88"/>
      <c r="M78" s="88"/>
      <c r="N78" s="88"/>
      <c r="O78" s="88"/>
      <c r="P78" s="88"/>
      <c r="Q78" s="88"/>
      <c r="R78" s="88"/>
      <c r="S78" s="88"/>
      <c r="T78" s="88"/>
      <c r="U78" s="88"/>
      <c r="V78" s="88"/>
      <c r="W78" s="88"/>
      <c r="X78" s="88"/>
      <c r="Y78" s="88"/>
      <c r="Z78" s="88"/>
      <c r="AJ78" s="89"/>
    </row>
    <row r="79" spans="4:44" s="19" customFormat="1" ht="15" customHeight="1">
      <c r="E79" s="378" t="s">
        <v>676</v>
      </c>
      <c r="G79" s="190" t="s">
        <v>657</v>
      </c>
      <c r="I79" s="227">
        <f>I76 + LPN!I76+EPN!I76</f>
        <v>6616.9056835005922</v>
      </c>
      <c r="J79" s="88"/>
      <c r="K79" s="88"/>
      <c r="L79" s="88"/>
      <c r="M79" s="88"/>
      <c r="N79" s="88"/>
      <c r="O79" s="88"/>
      <c r="P79" s="88"/>
      <c r="Q79" s="88"/>
      <c r="R79" s="88"/>
      <c r="S79" s="88"/>
      <c r="T79" s="88"/>
      <c r="U79" s="88"/>
      <c r="V79" s="88"/>
      <c r="W79" s="88"/>
      <c r="X79" s="88"/>
      <c r="Y79" s="88"/>
      <c r="Z79" s="88"/>
      <c r="AJ79" s="89"/>
      <c r="AK79" s="210"/>
    </row>
    <row r="80" spans="4:44"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61.53455564911161</v>
      </c>
      <c r="AK98" s="227">
        <v>70.121787742088145</v>
      </c>
      <c r="AL98" s="227">
        <v>61.786677157933525</v>
      </c>
      <c r="AM98" s="227">
        <v>61.567192830427771</v>
      </c>
      <c r="AN98" s="227">
        <v>59.965750798056078</v>
      </c>
      <c r="AO98" s="227">
        <v>59.130937643432254</v>
      </c>
      <c r="AP98" s="227">
        <v>55.085088364896734</v>
      </c>
      <c r="AQ98" s="227">
        <v>52.956777339972014</v>
      </c>
    </row>
    <row r="99" spans="4:43" s="269" customFormat="1" ht="15" customHeight="1">
      <c r="E99" s="161" t="s">
        <v>797</v>
      </c>
      <c r="G99" s="269" t="s">
        <v>657</v>
      </c>
      <c r="I99" s="356"/>
      <c r="AJ99" s="227">
        <v>12.048426146040752</v>
      </c>
      <c r="AK99" s="227">
        <v>16.124787164591531</v>
      </c>
      <c r="AL99" s="227">
        <v>13.906035541678195</v>
      </c>
      <c r="AM99" s="227">
        <v>12.880958296281639</v>
      </c>
      <c r="AN99" s="227">
        <v>13.007661138804156</v>
      </c>
      <c r="AO99" s="227">
        <v>11.822949903165666</v>
      </c>
      <c r="AP99" s="227">
        <v>13.5332878581088</v>
      </c>
      <c r="AQ99" s="227">
        <v>12.20142094202</v>
      </c>
    </row>
    <row r="100" spans="4:43" s="269" customFormat="1" ht="15" customHeight="1">
      <c r="E100" s="161" t="str">
        <f>Input!E100</f>
        <v>Non-variant allowed faults</v>
      </c>
      <c r="G100" s="269" t="s">
        <v>657</v>
      </c>
      <c r="I100" s="356"/>
      <c r="AJ100" s="227">
        <v>23.061972341937036</v>
      </c>
      <c r="AK100" s="227">
        <v>22.446398852801668</v>
      </c>
      <c r="AL100" s="227">
        <v>22.013546434978664</v>
      </c>
      <c r="AM100" s="227">
        <v>21.641385329997291</v>
      </c>
      <c r="AN100" s="227">
        <v>21.30669898878703</v>
      </c>
      <c r="AO100" s="227">
        <v>21.078653127539646</v>
      </c>
      <c r="AP100" s="227">
        <v>21.240298186994053</v>
      </c>
      <c r="AQ100" s="227">
        <v>21.25088245901717</v>
      </c>
    </row>
    <row r="101" spans="4:43" s="269" customFormat="1" ht="15" customHeight="1">
      <c r="E101" s="161" t="s">
        <v>726</v>
      </c>
      <c r="G101" s="269" t="s">
        <v>657</v>
      </c>
      <c r="I101" s="356"/>
      <c r="AJ101" s="227">
        <v>7.5853405328028662</v>
      </c>
      <c r="AK101" s="227">
        <v>7.5244226568683743</v>
      </c>
      <c r="AL101" s="227">
        <v>7.463482069718725</v>
      </c>
      <c r="AM101" s="227">
        <v>7.3906216324931613</v>
      </c>
      <c r="AN101" s="227">
        <v>7.3668698303996925</v>
      </c>
      <c r="AO101" s="227">
        <v>7.2028082484362796</v>
      </c>
      <c r="AP101" s="227">
        <v>7.0483179338930446</v>
      </c>
      <c r="AQ101" s="227">
        <v>6.8793876699163494</v>
      </c>
    </row>
    <row r="102" spans="4:43" s="269" customFormat="1" ht="15" customHeight="1">
      <c r="E102" s="161" t="str">
        <f>Input!E102</f>
        <v>Non-variant allowed 100% ‘revenue pool’ expenditure</v>
      </c>
      <c r="G102" s="269" t="s">
        <v>657</v>
      </c>
      <c r="I102" s="356"/>
      <c r="AJ102" s="227">
        <v>10.288342667895879</v>
      </c>
      <c r="AK102" s="227">
        <v>10.638725787350934</v>
      </c>
      <c r="AL102" s="227">
        <v>9.9577968669201109</v>
      </c>
      <c r="AM102" s="227">
        <v>9.7431279855502062</v>
      </c>
      <c r="AN102" s="227">
        <v>9.4575375355168241</v>
      </c>
      <c r="AO102" s="227">
        <v>9.1701580145267041</v>
      </c>
      <c r="AP102" s="227">
        <v>8.8701036922297973</v>
      </c>
      <c r="AQ102" s="227">
        <v>8.5117099132814324</v>
      </c>
    </row>
    <row r="103" spans="4:43" s="269" customFormat="1" ht="15" customHeight="1">
      <c r="E103" s="161" t="s">
        <v>796</v>
      </c>
      <c r="G103" s="269" t="s">
        <v>657</v>
      </c>
      <c r="I103" s="356"/>
      <c r="AJ103" s="227">
        <v>76.211748778816371</v>
      </c>
      <c r="AK103" s="227">
        <v>74.769190040891232</v>
      </c>
      <c r="AL103" s="227">
        <v>71.881476047429672</v>
      </c>
      <c r="AM103" s="227">
        <v>70.972187988220156</v>
      </c>
      <c r="AN103" s="227">
        <v>69.263144330244728</v>
      </c>
      <c r="AO103" s="227">
        <v>68.023996641005994</v>
      </c>
      <c r="AP103" s="227">
        <v>67.93713282758884</v>
      </c>
      <c r="AQ103" s="227">
        <v>66.473102306033383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0.54093308903756154</v>
      </c>
      <c r="AK107" s="213">
        <f t="shared" ref="AK107:AQ107" si="4">AK19</f>
        <v>0.54594257582893979</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1</v>
      </c>
      <c r="AK109" s="229">
        <v>1</v>
      </c>
      <c r="AL109" s="229">
        <v>0.91872910791067708</v>
      </c>
      <c r="AM109" s="229">
        <v>0.9228739192425216</v>
      </c>
      <c r="AN109" s="229">
        <v>0.926781517678259</v>
      </c>
      <c r="AO109" s="229">
        <v>0.93043002770459693</v>
      </c>
      <c r="AP109" s="229">
        <v>0.93104898643020029</v>
      </c>
      <c r="AQ109" s="229">
        <v>0.93451898586425441</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v>
      </c>
      <c r="AK113" s="229">
        <v>0</v>
      </c>
      <c r="AL113" s="229">
        <v>8.1270892089322921E-2</v>
      </c>
      <c r="AM113" s="229">
        <v>7.7126080757478399E-2</v>
      </c>
      <c r="AN113" s="229">
        <v>7.3218482321740996E-2</v>
      </c>
      <c r="AO113" s="229">
        <v>6.9569972295403071E-2</v>
      </c>
      <c r="AP113" s="229">
        <v>6.8951013569799713E-2</v>
      </c>
      <c r="AQ113" s="229">
        <v>6.5481014135745585E-2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4.7316840663062871</v>
      </c>
      <c r="AK116" s="213">
        <f t="shared" si="5"/>
        <v>5.796297755687891</v>
      </c>
      <c r="AL116" s="213">
        <f t="shared" si="5"/>
        <v>5.7810277925895379</v>
      </c>
      <c r="AM116" s="213">
        <f t="shared" si="5"/>
        <v>5.4133322273571238</v>
      </c>
      <c r="AN116" s="213">
        <f t="shared" si="5"/>
        <v>4.5133944668442929</v>
      </c>
      <c r="AO116" s="213">
        <f t="shared" si="5"/>
        <v>2.7175824648954179</v>
      </c>
      <c r="AP116" s="213">
        <f t="shared" si="5"/>
        <v>0</v>
      </c>
      <c r="AQ116" s="213">
        <f t="shared" si="5"/>
        <v>0</v>
      </c>
    </row>
    <row r="117" spans="5:43" s="269" customFormat="1" ht="15" customHeight="1">
      <c r="E117" s="357" t="str">
        <f>Input!E117</f>
        <v>Allocation to load related capex</v>
      </c>
      <c r="G117" s="269" t="s">
        <v>47</v>
      </c>
      <c r="I117" s="147"/>
      <c r="AJ117" s="229">
        <v>0</v>
      </c>
      <c r="AK117" s="229">
        <v>0</v>
      </c>
      <c r="AL117" s="229">
        <v>0</v>
      </c>
      <c r="AM117" s="229">
        <v>0</v>
      </c>
      <c r="AN117" s="229">
        <v>0</v>
      </c>
      <c r="AO117" s="229">
        <v>0</v>
      </c>
      <c r="AP117" s="229">
        <v>0</v>
      </c>
      <c r="AQ117" s="229">
        <v>0</v>
      </c>
    </row>
    <row r="118" spans="5:43" s="269" customFormat="1" ht="15" customHeight="1">
      <c r="E118" s="357" t="str">
        <f>Input!E118</f>
        <v>Allocation to non-load related capex - asset replacement</v>
      </c>
      <c r="G118" s="269" t="s">
        <v>47</v>
      </c>
      <c r="I118" s="147"/>
      <c r="AJ118" s="229">
        <v>0.99283538828211682</v>
      </c>
      <c r="AK118" s="229">
        <v>0.99283538828211682</v>
      </c>
      <c r="AL118" s="229">
        <v>0.9928353882821167</v>
      </c>
      <c r="AM118" s="229">
        <v>0.99283538828211682</v>
      </c>
      <c r="AN118" s="229">
        <v>0.99283538828211682</v>
      </c>
      <c r="AO118" s="229">
        <v>0.9928353882821167</v>
      </c>
      <c r="AP118" s="229">
        <v>0.99</v>
      </c>
      <c r="AQ118" s="229">
        <v>0.99</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H122" s="390"/>
      <c r="AJ122" s="229">
        <v>7.1646117178832966E-3</v>
      </c>
      <c r="AK122" s="229">
        <v>7.1646117178832932E-3</v>
      </c>
      <c r="AL122" s="229">
        <v>7.1646117178832949E-3</v>
      </c>
      <c r="AM122" s="229">
        <v>7.1646117178832949E-3</v>
      </c>
      <c r="AN122" s="229">
        <v>7.1646117178832975E-3</v>
      </c>
      <c r="AO122" s="229">
        <v>7.1646117178832949E-3</v>
      </c>
      <c r="AP122" s="229">
        <v>0.01</v>
      </c>
      <c r="AQ122" s="229">
        <v>0.01</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H124" s="386"/>
      <c r="AI124" s="378"/>
      <c r="AJ124" s="386"/>
      <c r="AK124" s="386"/>
      <c r="AL124" s="386"/>
      <c r="AM124" s="386"/>
      <c r="AN124" s="386"/>
      <c r="AO124" s="386"/>
      <c r="AP124" s="386"/>
      <c r="AQ124" s="386"/>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1</v>
      </c>
      <c r="AK128" s="229">
        <v>1</v>
      </c>
      <c r="AL128" s="229">
        <v>1</v>
      </c>
      <c r="AM128" s="229">
        <v>1</v>
      </c>
      <c r="AN128" s="229">
        <v>1</v>
      </c>
      <c r="AO128" s="229">
        <v>1</v>
      </c>
      <c r="AP128" s="229">
        <v>1</v>
      </c>
      <c r="AQ128" s="229">
        <v>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0</v>
      </c>
      <c r="AK131" s="229">
        <v>0</v>
      </c>
      <c r="AL131" s="229">
        <v>0</v>
      </c>
      <c r="AM131" s="229">
        <v>0</v>
      </c>
      <c r="AN131" s="229">
        <v>0</v>
      </c>
      <c r="AO131" s="229">
        <v>0</v>
      </c>
      <c r="AP131" s="229">
        <v>0</v>
      </c>
      <c r="AQ131" s="229">
        <v>0</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0.98374390821285607</v>
      </c>
      <c r="AK137" s="229">
        <v>0.98374390821285607</v>
      </c>
      <c r="AL137" s="229">
        <v>0.98374390821285607</v>
      </c>
      <c r="AM137" s="229">
        <v>0.98374390821285607</v>
      </c>
      <c r="AN137" s="229">
        <v>0.98374390821285607</v>
      </c>
      <c r="AO137" s="229">
        <v>0.98374390821285607</v>
      </c>
      <c r="AP137" s="229">
        <v>0.98374390821285607</v>
      </c>
      <c r="AQ137" s="229">
        <v>0.98374390821285596</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H140" s="390"/>
      <c r="AJ140" s="229">
        <v>1.625609178714392E-2</v>
      </c>
      <c r="AK140" s="229">
        <v>1.625609178714392E-2</v>
      </c>
      <c r="AL140" s="229">
        <v>1.625609178714392E-2</v>
      </c>
      <c r="AM140" s="229">
        <v>1.625609178714392E-2</v>
      </c>
      <c r="AN140" s="229">
        <v>1.625609178714392E-2</v>
      </c>
      <c r="AO140" s="229">
        <v>1.625609178714392E-2</v>
      </c>
      <c r="AP140" s="229">
        <v>1.625609178714392E-2</v>
      </c>
      <c r="AQ140" s="229">
        <v>1.625609178714392E-2</v>
      </c>
    </row>
    <row r="141" spans="5:43" s="269" customFormat="1" ht="15" customHeight="1">
      <c r="E141" s="357" t="str">
        <f>Input!E141</f>
        <v>Allocation to controllable opex</v>
      </c>
      <c r="G141" s="269" t="s">
        <v>47</v>
      </c>
      <c r="I141" s="147"/>
      <c r="AF141" s="390"/>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1.1818683168159565</v>
      </c>
      <c r="AK143" s="213">
        <f t="shared" si="8"/>
        <v>2.0026462312084403</v>
      </c>
      <c r="AL143" s="213">
        <f t="shared" si="8"/>
        <v>2.5960456178783375</v>
      </c>
      <c r="AM143" s="213">
        <f t="shared" si="8"/>
        <v>2.8721480650137305</v>
      </c>
      <c r="AN143" s="213">
        <f t="shared" si="8"/>
        <v>2.8768846344687784</v>
      </c>
      <c r="AO143" s="213">
        <f t="shared" si="8"/>
        <v>2.116819627245405</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H149" s="390"/>
      <c r="AJ149" s="229">
        <v>0.11858869553088822</v>
      </c>
      <c r="AK149" s="229">
        <v>0.1176010345939595</v>
      </c>
      <c r="AL149" s="229">
        <v>0.11747350621278997</v>
      </c>
      <c r="AM149" s="229">
        <v>0.11712063204305216</v>
      </c>
      <c r="AN149" s="229">
        <v>0.11706825435125746</v>
      </c>
      <c r="AO149" s="229">
        <v>0.11716669543286889</v>
      </c>
      <c r="AP149" s="229">
        <v>0</v>
      </c>
      <c r="AQ149" s="229">
        <v>0</v>
      </c>
    </row>
    <row r="150" spans="5:43" s="269" customFormat="1" ht="15" customHeight="1">
      <c r="E150" s="357" t="str">
        <f>Input!E150</f>
        <v>Allocation to controllable opex</v>
      </c>
      <c r="G150" s="269" t="s">
        <v>47</v>
      </c>
      <c r="I150" s="147"/>
      <c r="AJ150" s="229">
        <v>0.88141130446911187</v>
      </c>
      <c r="AK150" s="229">
        <v>0.88239896540604046</v>
      </c>
      <c r="AL150" s="229">
        <v>0.88252649378721004</v>
      </c>
      <c r="AM150" s="229">
        <v>0.88287936795694788</v>
      </c>
      <c r="AN150" s="229">
        <v>0.88293174564874255</v>
      </c>
      <c r="AO150" s="229">
        <v>0.88283330456713094</v>
      </c>
      <c r="AP150" s="229">
        <v>0</v>
      </c>
      <c r="AQ150" s="229">
        <v>0</v>
      </c>
    </row>
    <row r="151" spans="5:43" ht="15" customHeight="1">
      <c r="E151" s="378"/>
      <c r="AH151" s="386"/>
      <c r="AI151" s="378"/>
      <c r="AJ151" s="386"/>
      <c r="AK151" s="386"/>
      <c r="AL151" s="386"/>
      <c r="AM151" s="386"/>
      <c r="AN151" s="386"/>
      <c r="AO151" s="386"/>
      <c r="AP151" s="386"/>
      <c r="AQ151" s="386"/>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0.26666930935395616</v>
      </c>
      <c r="AK153" s="229">
        <v>0.25798798232106446</v>
      </c>
      <c r="AL153" s="229">
        <v>0.25783055639375985</v>
      </c>
      <c r="AM153" s="229">
        <v>0.26578741215846347</v>
      </c>
      <c r="AN153" s="229">
        <v>0.26440032715450401</v>
      </c>
      <c r="AO153" s="229">
        <v>0.26139877822764884</v>
      </c>
      <c r="AP153" s="229">
        <v>0.25906181534741457</v>
      </c>
      <c r="AQ153" s="229">
        <v>0.25573291707917783</v>
      </c>
    </row>
    <row r="154" spans="5:43" s="269" customFormat="1" ht="15" customHeight="1">
      <c r="E154" s="357" t="str">
        <f>Input!E154</f>
        <v>Allocation to non-load related capex - asset replacement</v>
      </c>
      <c r="G154" s="269" t="s">
        <v>47</v>
      </c>
      <c r="I154" s="147"/>
      <c r="AJ154" s="229">
        <v>6.4883441468235728E-2</v>
      </c>
      <c r="AK154" s="229">
        <v>8.8020133807166598E-2</v>
      </c>
      <c r="AL154" s="229">
        <v>6.9210970905443606E-2</v>
      </c>
      <c r="AM154" s="229">
        <v>2.6140850145239768E-2</v>
      </c>
      <c r="AN154" s="229">
        <v>3.2154550783042579E-2</v>
      </c>
      <c r="AO154" s="229">
        <v>4.6478964267442732E-2</v>
      </c>
      <c r="AP154" s="229">
        <v>5.7174896930420403E-2</v>
      </c>
      <c r="AQ154" s="229">
        <v>7.3304501962309268E-2</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0.15708386476104683</v>
      </c>
      <c r="AK156" s="229">
        <v>0.14720273132995343</v>
      </c>
      <c r="AL156" s="229">
        <v>0.15134827248857383</v>
      </c>
      <c r="AM156" s="229">
        <v>0.16631880618224304</v>
      </c>
      <c r="AN156" s="229">
        <v>0.16445951077978851</v>
      </c>
      <c r="AO156" s="229">
        <v>0.159724195356897</v>
      </c>
      <c r="AP156" s="229">
        <v>0.15621241732774949</v>
      </c>
      <c r="AQ156" s="229">
        <v>0.15094858528834329</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H158" s="390"/>
      <c r="AJ158" s="229">
        <v>0.49808338698427379</v>
      </c>
      <c r="AK158" s="229">
        <v>0.49369417694404</v>
      </c>
      <c r="AL158" s="229">
        <v>0.50810030834783926</v>
      </c>
      <c r="AM158" s="229">
        <v>0.5276279640635273</v>
      </c>
      <c r="AN158" s="229">
        <v>0.52497215189926805</v>
      </c>
      <c r="AO158" s="229">
        <v>0.51861610576513706</v>
      </c>
      <c r="AP158" s="229">
        <v>0.51394957890688764</v>
      </c>
      <c r="AQ158" s="229">
        <v>0.50693834203338373</v>
      </c>
    </row>
    <row r="159" spans="5:43" s="269" customFormat="1" ht="15" customHeight="1">
      <c r="E159" s="357" t="str">
        <f>Input!E159</f>
        <v>Allocation to controllable opex</v>
      </c>
      <c r="G159" s="269" t="s">
        <v>47</v>
      </c>
      <c r="I159" s="147"/>
      <c r="AJ159" s="229">
        <v>1.3279997432487357E-2</v>
      </c>
      <c r="AK159" s="229">
        <v>1.3094975597775428E-2</v>
      </c>
      <c r="AL159" s="229">
        <v>1.3509891864383552E-2</v>
      </c>
      <c r="AM159" s="229">
        <v>1.4124967450526521E-2</v>
      </c>
      <c r="AN159" s="229">
        <v>1.401345938339682E-2</v>
      </c>
      <c r="AO159" s="229">
        <v>1.3781956382874327E-2</v>
      </c>
      <c r="AP159" s="229">
        <v>1.3601291487528019E-2</v>
      </c>
      <c r="AQ159" s="229">
        <v>1.3075653636785969E-2</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26.10150142088041</v>
      </c>
      <c r="AK161" s="213">
        <f t="shared" ref="AK161:AQ161" si="10">AK25</f>
        <v>34.108195238319844</v>
      </c>
      <c r="AL161" s="213">
        <f t="shared" si="10"/>
        <v>35.19755807900691</v>
      </c>
      <c r="AM161" s="213">
        <f t="shared" si="10"/>
        <v>25.866056686922057</v>
      </c>
      <c r="AN161" s="213">
        <f t="shared" si="10"/>
        <v>21.095121343901685</v>
      </c>
      <c r="AO161" s="213">
        <f t="shared" si="10"/>
        <v>20.863928000297733</v>
      </c>
      <c r="AP161" s="213">
        <f t="shared" si="10"/>
        <v>27.539565724220211</v>
      </c>
      <c r="AQ161" s="213">
        <f t="shared" si="10"/>
        <v>25.62722559342</v>
      </c>
    </row>
    <row r="162" spans="5:43" s="269" customFormat="1" ht="15" customHeight="1">
      <c r="E162" s="357" t="str">
        <f>Input!E162</f>
        <v>Allocation to load related capex</v>
      </c>
      <c r="G162" s="269" t="s">
        <v>47</v>
      </c>
      <c r="I162" s="147"/>
      <c r="AJ162" s="229">
        <v>0.99144185384645866</v>
      </c>
      <c r="AK162" s="229">
        <v>0.99191416185691617</v>
      </c>
      <c r="AL162" s="229">
        <v>0.99229241628456766</v>
      </c>
      <c r="AM162" s="229">
        <v>0.99247919292623921</v>
      </c>
      <c r="AN162" s="229">
        <v>0.99263089149050854</v>
      </c>
      <c r="AO162" s="229">
        <v>0.99262567068453289</v>
      </c>
      <c r="AP162" s="229">
        <v>0.99241735400415121</v>
      </c>
      <c r="AQ162" s="229">
        <v>0.99245883808847191</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H167" s="390"/>
      <c r="AJ167" s="229">
        <v>8.558146153541335E-3</v>
      </c>
      <c r="AK167" s="229">
        <v>8.0858381430838344E-3</v>
      </c>
      <c r="AL167" s="229">
        <v>7.7075837154323423E-3</v>
      </c>
      <c r="AM167" s="229">
        <v>7.5208070737607935E-3</v>
      </c>
      <c r="AN167" s="229">
        <v>7.3691085094914621E-3</v>
      </c>
      <c r="AO167" s="229">
        <v>7.3743293154671097E-3</v>
      </c>
      <c r="AP167" s="229">
        <v>7.5826459958487913E-3</v>
      </c>
      <c r="AQ167" s="229">
        <v>7.5411619115280937E-3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H169" s="386"/>
      <c r="AJ169" s="386"/>
      <c r="AK169" s="386"/>
      <c r="AL169" s="386"/>
      <c r="AM169" s="386"/>
      <c r="AN169" s="386"/>
      <c r="AO169" s="386"/>
      <c r="AP169" s="386"/>
      <c r="AQ169" s="386"/>
    </row>
    <row r="170" spans="5:43" s="378" customFormat="1" ht="15" customHeight="1">
      <c r="E170" s="378" t="str">
        <f>Input!E170</f>
        <v>Allowed Expenditure - Rail Electrification (WPD)</v>
      </c>
      <c r="G170" s="269" t="s">
        <v>657</v>
      </c>
      <c r="AH170" s="386"/>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H171" s="386"/>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H172" s="386"/>
      <c r="AJ172" s="229">
        <v>0.99332988044453996</v>
      </c>
      <c r="AK172" s="229">
        <v>0.99332988044453996</v>
      </c>
      <c r="AL172" s="229">
        <v>0.99332988044453996</v>
      </c>
      <c r="AM172" s="229">
        <v>0.99332988044453985</v>
      </c>
      <c r="AN172" s="229">
        <v>0.99332988044453996</v>
      </c>
      <c r="AO172" s="229">
        <v>0.99332988044453985</v>
      </c>
      <c r="AP172" s="229">
        <v>0.99332988044453985</v>
      </c>
      <c r="AQ172" s="229">
        <v>0.99332988044453996</v>
      </c>
    </row>
    <row r="173" spans="5:43" s="378" customFormat="1" ht="15" customHeight="1">
      <c r="E173" s="357" t="str">
        <f>Input!E173</f>
        <v>Allocation to non-load related capex - other</v>
      </c>
      <c r="G173" s="269" t="s">
        <v>47</v>
      </c>
      <c r="AH173" s="386"/>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H174" s="386"/>
      <c r="AJ174" s="229">
        <v>0</v>
      </c>
      <c r="AK174" s="229">
        <v>0</v>
      </c>
      <c r="AL174" s="229">
        <v>0</v>
      </c>
      <c r="AM174" s="229">
        <v>0</v>
      </c>
      <c r="AN174" s="229">
        <v>0</v>
      </c>
      <c r="AO174" s="229">
        <v>0</v>
      </c>
      <c r="AP174" s="229">
        <v>0</v>
      </c>
      <c r="AQ174" s="229">
        <v>0</v>
      </c>
    </row>
    <row r="175" spans="5:43" s="378" customFormat="1" ht="15" customHeight="1">
      <c r="E175" s="357" t="s">
        <v>721</v>
      </c>
      <c r="G175" s="269" t="s">
        <v>47</v>
      </c>
      <c r="AH175" s="386"/>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H176" s="386"/>
      <c r="AJ176" s="229">
        <v>6.6701195554600412E-3</v>
      </c>
      <c r="AK176" s="229">
        <v>6.6701195554600412E-3</v>
      </c>
      <c r="AL176" s="229">
        <v>6.6701195554600412E-3</v>
      </c>
      <c r="AM176" s="229">
        <v>6.6701195554601522E-3</v>
      </c>
      <c r="AN176" s="229">
        <v>6.6701195554600412E-3</v>
      </c>
      <c r="AO176" s="229">
        <v>6.6701195554601522E-3</v>
      </c>
      <c r="AP176" s="229">
        <v>6.6701195554601522E-3</v>
      </c>
      <c r="AQ176" s="229">
        <v>6.6701195554600412E-3</v>
      </c>
    </row>
    <row r="177" spans="5:43" s="378" customFormat="1" ht="15" customHeight="1">
      <c r="E177" s="357" t="str">
        <f>Input!E177</f>
        <v>Allocation to controllable opex</v>
      </c>
      <c r="G177" s="269" t="s">
        <v>47</v>
      </c>
      <c r="AH177" s="386"/>
      <c r="AJ177" s="229">
        <v>0</v>
      </c>
      <c r="AK177" s="229">
        <v>0</v>
      </c>
      <c r="AL177" s="229">
        <v>0</v>
      </c>
      <c r="AM177" s="229">
        <v>0</v>
      </c>
      <c r="AN177" s="229">
        <v>0</v>
      </c>
      <c r="AO177" s="229">
        <v>0</v>
      </c>
      <c r="AP177" s="229">
        <v>0</v>
      </c>
      <c r="AQ177" s="229">
        <v>0</v>
      </c>
    </row>
    <row r="178" spans="5:43" s="378" customFormat="1" ht="15" customHeight="1">
      <c r="AH178" s="386"/>
      <c r="AJ178" s="386"/>
      <c r="AK178" s="386"/>
      <c r="AL178" s="386"/>
      <c r="AM178" s="386"/>
      <c r="AN178" s="386"/>
      <c r="AO178" s="386"/>
      <c r="AP178" s="386"/>
      <c r="AQ178" s="386"/>
    </row>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0.99332988044453996</v>
      </c>
      <c r="AK226" s="229">
        <v>0.99332988044453996</v>
      </c>
      <c r="AL226" s="229">
        <v>0.99332988044453996</v>
      </c>
      <c r="AM226" s="229">
        <v>0.99332988044453985</v>
      </c>
      <c r="AN226" s="229">
        <v>0.99332988044453996</v>
      </c>
      <c r="AO226" s="229">
        <v>0.99332988044453985</v>
      </c>
      <c r="AP226" s="229">
        <v>0.99332988044453985</v>
      </c>
      <c r="AQ226" s="229">
        <v>0.99332988044453996</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6.6701195554600412E-3</v>
      </c>
      <c r="AK230" s="229">
        <v>6.6701195554600412E-3</v>
      </c>
      <c r="AL230" s="229">
        <v>6.6701195554600412E-3</v>
      </c>
      <c r="AM230" s="229">
        <v>6.6701195554601522E-3</v>
      </c>
      <c r="AN230" s="229">
        <v>6.6701195554600412E-3</v>
      </c>
      <c r="AO230" s="229">
        <v>6.6701195554601522E-3</v>
      </c>
      <c r="AP230" s="229">
        <v>6.6701195554601522E-3</v>
      </c>
      <c r="AQ230" s="229">
        <v>6.6701195554600412E-3</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25.87812095689365</v>
      </c>
      <c r="AK242" s="150">
        <f t="shared" ref="AK242:AQ242" si="19">(AK$107*AK108)+(AK$116*AK117)+(AK$125*AK126)+(AK$134*AK135)+(AK$143*AK144)+(AK$152*AK153)+(AK$161*AK162)+(AK$170*AK171)+(AK$179*AK180)+(AK$197*AK198)+(AK$188*AK189)+(AK206*AK207)+(AK215*AK216)+(AK$224*AK225)+(AK$233*AK234)</f>
        <v>33.832401892270084</v>
      </c>
      <c r="AL242" s="150">
        <f t="shared" si="19"/>
        <v>34.926269953534174</v>
      </c>
      <c r="AM242" s="150">
        <f t="shared" si="19"/>
        <v>25.671523064820757</v>
      </c>
      <c r="AN242" s="150">
        <f t="shared" si="19"/>
        <v>20.939669105697583</v>
      </c>
      <c r="AO242" s="150">
        <f t="shared" si="19"/>
        <v>20.710070524409343</v>
      </c>
      <c r="AP242" s="150">
        <f t="shared" si="19"/>
        <v>27.330742946454038</v>
      </c>
      <c r="AQ242" s="150">
        <f t="shared" si="19"/>
        <v>25.433966535876763</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5.2387164762370695</v>
      </c>
      <c r="AK243" s="150">
        <f t="shared" ref="AK243:AQ243" si="20">(AK$107*AK109)+(AK$116*AK118)+(AK$125*AK127)+(AK$134*AK136)+(AK$143*AK145)+(AK$152*AK154)+(AK$161*AK163)+(AK$170*AK172)+(AK$179*AK181)+(AK$197*AK199)+(AK206*AK208)+(AK215*AK217)+(AK$188*AK190)+(AK$224*AK226)+(AK$233*AK235)</f>
        <v>6.3007121086960893</v>
      </c>
      <c r="AL243" s="150">
        <f t="shared" si="20"/>
        <v>5.7396089731253417</v>
      </c>
      <c r="AM243" s="150">
        <f t="shared" si="20"/>
        <v>5.3745478038482064</v>
      </c>
      <c r="AN243" s="150">
        <f t="shared" si="20"/>
        <v>4.4810577479597109</v>
      </c>
      <c r="AO243" s="150">
        <f t="shared" si="20"/>
        <v>2.6981120417231139</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F247" s="391"/>
      <c r="AJ247" s="150">
        <f>(AJ$107*AJ113)+(AJ$116*AJ122)+(AJ$125*AJ131)+(AJ$134*AJ140)+(AJ$143*AJ149)+(AJ$152*AJ158)+(AJ$161*AJ167)+(AJ$170*AJ176)+(AJ$179*AJ185)+(AJ$197*AJ203)+(AJ$188*AJ194)+(AJ206*AJ212)+(AJ215*AJ221)+(AJ$224*AJ230)+(AJ$233*AJ239)</f>
        <v>0.39743736507403188</v>
      </c>
      <c r="AK247" s="150">
        <f t="shared" ref="AK247:AQ247" si="24">(AK$107*AK113)+(AK$116*AK122)+(AK$125*AK131)+(AK$134*AK140)+(AK$143*AK149)+(AK$152*AK158)+(AK$161*AK167)+(AK$170*AK176)+(AK$179*AK185)+(AK$197*AK203)+(AK$188*AK194)+(AK206*AK212)+(AK215*AK221)+(AK$224*AK230)+(AK$233*AK239)</f>
        <v>0.55283483758630547</v>
      </c>
      <c r="AL247" s="150">
        <f t="shared" si="24"/>
        <v>0.61767352595745084</v>
      </c>
      <c r="AM247" s="150">
        <f t="shared" si="24"/>
        <v>0.56970584230585664</v>
      </c>
      <c r="AN247" s="150">
        <f t="shared" si="24"/>
        <v>0.5245808192158985</v>
      </c>
      <c r="AO247" s="150">
        <f t="shared" si="24"/>
        <v>0.42134865961247592</v>
      </c>
      <c r="AP247" s="150">
        <f t="shared" si="24"/>
        <v>0.208822777766173</v>
      </c>
      <c r="AQ247" s="150">
        <f t="shared" si="24"/>
        <v>0.19325905754323686</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1.0417120948354659</v>
      </c>
      <c r="AK248" s="150">
        <f t="shared" ref="AK248:AQ248" si="25">(AK$107*AK114)+(AK$116*AK123)+(AK$125*AK132)+(AK$134*AK141)+(AK$143*AK150)+(AK$152*AK159)+(AK$161*AK168)+(AK$170*AK177)+(AK$179*AK186)+(AK$197*AK204)+(AK$188*AK195)+(AK206*AK213)+(AK215*AK222)+(AK$224*AK231)+(AK$233*AK240)</f>
        <v>1.7671329624926337</v>
      </c>
      <c r="AL248" s="150">
        <f t="shared" si="25"/>
        <v>2.2910790368578207</v>
      </c>
      <c r="AM248" s="150">
        <f t="shared" si="25"/>
        <v>2.5357602683180933</v>
      </c>
      <c r="AN248" s="150">
        <f t="shared" si="25"/>
        <v>2.5400927723415632</v>
      </c>
      <c r="AO248" s="150">
        <f t="shared" si="25"/>
        <v>1.8687988666936233</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19.579901634737386</v>
      </c>
      <c r="AK262" s="227">
        <v>19.229467503000862</v>
      </c>
      <c r="AL262" s="227">
        <v>19.366892652701459</v>
      </c>
      <c r="AM262" s="227">
        <v>19.524931574857149</v>
      </c>
      <c r="AN262" s="227">
        <v>19.29130882036613</v>
      </c>
      <c r="AO262" s="227">
        <v>19.566159119767327</v>
      </c>
      <c r="AP262" s="227">
        <v>18.61816410678275</v>
      </c>
      <c r="AQ262" s="227">
        <v>18.61816410678275</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13.26</v>
      </c>
      <c r="AK263" s="227">
        <v>14.64</v>
      </c>
      <c r="AL263" s="227">
        <v>16</v>
      </c>
      <c r="AM263" s="227">
        <v>15.95</v>
      </c>
      <c r="AN263" s="227">
        <v>16.39</v>
      </c>
      <c r="AO263" s="227">
        <v>16.690000000000001</v>
      </c>
      <c r="AP263" s="227">
        <v>16.920000000000002</v>
      </c>
      <c r="AQ263" s="227">
        <v>17.13</v>
      </c>
    </row>
    <row r="264" spans="2:44" ht="15" customHeight="1">
      <c r="E264" s="19" t="s">
        <v>105</v>
      </c>
      <c r="G264" s="19" t="s">
        <v>657</v>
      </c>
      <c r="AJ264" s="165">
        <f>SUM(AJ262:AJ263)</f>
        <v>32.839901634737387</v>
      </c>
      <c r="AK264" s="165">
        <f t="shared" ref="AK264:AQ264" si="31">SUM(AK262:AK263)</f>
        <v>33.869467503000863</v>
      </c>
      <c r="AL264" s="165">
        <f t="shared" si="31"/>
        <v>35.366892652701459</v>
      </c>
      <c r="AM264" s="165">
        <f t="shared" si="31"/>
        <v>35.474931574857152</v>
      </c>
      <c r="AN264" s="165">
        <f t="shared" si="31"/>
        <v>35.681308820366127</v>
      </c>
      <c r="AO264" s="165">
        <f t="shared" si="31"/>
        <v>36.256159119767332</v>
      </c>
      <c r="AP264" s="165">
        <f t="shared" si="31"/>
        <v>35.538164106782752</v>
      </c>
      <c r="AQ264" s="165">
        <f t="shared" si="31"/>
        <v>35.748164106782752</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34.050166076342968</v>
      </c>
      <c r="AK268" s="213">
        <f t="shared" si="33"/>
        <v>34.050166076342968</v>
      </c>
      <c r="AL268" s="213">
        <f t="shared" si="33"/>
        <v>34.050166076342968</v>
      </c>
      <c r="AM268" s="213">
        <f t="shared" si="33"/>
        <v>34.050166076342968</v>
      </c>
      <c r="AN268" s="213">
        <f t="shared" si="33"/>
        <v>34.050166076342968</v>
      </c>
      <c r="AO268" s="213">
        <f t="shared" si="33"/>
        <v>34.050166076342968</v>
      </c>
      <c r="AP268" s="213">
        <f t="shared" si="33"/>
        <v>34.050166076342968</v>
      </c>
      <c r="AQ268" s="213">
        <f t="shared" si="33"/>
        <v>34.050166076342968</v>
      </c>
      <c r="AR268" s="155"/>
    </row>
    <row r="269" spans="2:44" ht="15" customHeight="1">
      <c r="E269" s="378"/>
    </row>
    <row r="270" spans="2:44" ht="15" customHeight="1">
      <c r="E270" s="378" t="str">
        <f>Input!E270</f>
        <v>Other legacy adjustments' Revenue adjustment from previous controls</v>
      </c>
      <c r="G270" s="19" t="s">
        <v>657</v>
      </c>
      <c r="H270" s="378"/>
      <c r="I270" s="219">
        <v>11.410912207018177</v>
      </c>
      <c r="AJ270" s="421">
        <f>($I$270/8)</f>
        <v>1.4263640258772721</v>
      </c>
      <c r="AK270" s="423">
        <f>($I$270/8)*(1+$AK$53)</f>
        <v>1.4799596541496105</v>
      </c>
      <c r="AL270" s="423">
        <f>($I$270/8)*(1+$AK$53)*(1+$AL$53)</f>
        <v>1.535569138154282</v>
      </c>
      <c r="AM270" s="423">
        <f>($I$270/8)*(1+$AK$53)*(1+$AL$53)*(1+$AM$53)</f>
        <v>1.593268148520429</v>
      </c>
      <c r="AN270" s="423">
        <f>($I$270/8)*(1+$AK$53)*(1+$AL$53)*(1+$AM$53)*(1+$AN$53)</f>
        <v>1.6531351992010839</v>
      </c>
      <c r="AO270" s="423">
        <f>($I$270/8)*(1+$AK$53)*(1+$AL$53)*(1+$AM$53)*(1+$AN$53)*(1+$AO$53)</f>
        <v>1.7152517543110644</v>
      </c>
      <c r="AP270" s="423">
        <f>($I$270/8)*(1+$AK$53)*(1+$AL$53)*(1+$AM$53)*(1+$AN$53)*(1+$AO$53)*(1+$AP$53)</f>
        <v>1.7797023389793025</v>
      </c>
      <c r="AQ270" s="424">
        <f>($I$270/8)*(1+$AK$53)*(1+$AL$53)*(1+$AM$53)*(1+$AN$53)*(1+$AO$53)*(1+$AP$53)*(1+$AQ$53)</f>
        <v>1.8465746543664496</v>
      </c>
      <c r="AR270" s="147">
        <v>0</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1.4263640258772721</v>
      </c>
      <c r="AK272" s="165">
        <f t="shared" ref="AK272:AQ272" si="34">AK270+AK271</f>
        <v>1.4799596541496105</v>
      </c>
      <c r="AL272" s="165">
        <f t="shared" si="34"/>
        <v>1.535569138154282</v>
      </c>
      <c r="AM272" s="165">
        <f t="shared" si="34"/>
        <v>1.593268148520429</v>
      </c>
      <c r="AN272" s="165">
        <f t="shared" si="34"/>
        <v>1.6531351992010839</v>
      </c>
      <c r="AO272" s="165">
        <f t="shared" si="34"/>
        <v>1.7152517543110644</v>
      </c>
      <c r="AP272" s="165">
        <f t="shared" si="34"/>
        <v>1.7797023389793025</v>
      </c>
      <c r="AQ272" s="165">
        <f t="shared" si="34"/>
        <v>1.8465746543664496</v>
      </c>
    </row>
    <row r="273" spans="5:43" ht="15" customHeight="1">
      <c r="E273" s="378"/>
    </row>
    <row r="274" spans="5:43" ht="15" customHeight="1">
      <c r="E274" s="378" t="str">
        <f>Input!E274</f>
        <v>RAV Rolling Incentive legacy adjustments' price control allowed revenue</v>
      </c>
      <c r="G274" s="378" t="str">
        <f>Input!G274</f>
        <v>£m 12/13 prices</v>
      </c>
      <c r="I274" s="219">
        <v>25.012489018125461</v>
      </c>
      <c r="AJ274" s="422">
        <f>($I$274/8)</f>
        <v>3.1265611272656826</v>
      </c>
      <c r="AK274" s="423">
        <f>($I$274/8)*(1+$AK$53)</f>
        <v>3.2440416616226901</v>
      </c>
      <c r="AL274" s="423">
        <f>($I$274/8)*(1+$AK$53)*(1+$AL$53)</f>
        <v>3.3659365270581625</v>
      </c>
      <c r="AM274" s="423">
        <f>($I$274/8)*(1+$AK$53)*(1+$AL$53)*(1+$AM$53)</f>
        <v>3.4924115920623726</v>
      </c>
      <c r="AN274" s="423">
        <f>($I$274/8)*(1+$AK$53)*(1+$AL$53)*(1+$AM$53)*(1+$AN$53)</f>
        <v>3.6236389576341161</v>
      </c>
      <c r="AO274" s="423">
        <f>($I$274/8)*(1+$AK$53)*(1+$AL$53)*(1+$AM$53)*(1+$AN$53)*(1+$AO$53)</f>
        <v>3.7597971914672179</v>
      </c>
      <c r="AP274" s="423">
        <f>($I$274/8)*(1+$AK$53)*(1+$AL$53)*(1+$AM$53)*(1+$AN$53)*(1+$AO$53)*(1+$AP$53)</f>
        <v>3.9010715709365984</v>
      </c>
      <c r="AQ274" s="424">
        <f>($I$274/8)*(1+$AK$53)*(1+$AL$53)*(1+$AM$53)*(1+$AN$53)*(1+$AO$53)*(1+$AP$53)*(1+$AQ$53)</f>
        <v>4.0476543352145411</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3.1265611272656826</v>
      </c>
      <c r="AK276" s="165">
        <f t="shared" ref="AK276:AQ276" si="35">AK274+AK275</f>
        <v>3.2440416616226901</v>
      </c>
      <c r="AL276" s="165">
        <f t="shared" si="35"/>
        <v>3.3659365270581625</v>
      </c>
      <c r="AM276" s="165">
        <f t="shared" si="35"/>
        <v>3.4924115920623726</v>
      </c>
      <c r="AN276" s="165">
        <f t="shared" si="35"/>
        <v>3.6236389576341161</v>
      </c>
      <c r="AO276" s="165">
        <f t="shared" si="35"/>
        <v>3.7597971914672179</v>
      </c>
      <c r="AP276" s="165">
        <f t="shared" si="35"/>
        <v>3.9010715709365984</v>
      </c>
      <c r="AQ276" s="165">
        <f t="shared" si="35"/>
        <v>4.0476543352145411</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-9.6544132614295357</v>
      </c>
      <c r="AK280" s="227">
        <v>-0.97089893000749683</v>
      </c>
      <c r="AL280" s="227">
        <v>0</v>
      </c>
      <c r="AM280" s="227">
        <v>0</v>
      </c>
      <c r="AN280" s="227">
        <v>0</v>
      </c>
      <c r="AO280" s="227">
        <v>0</v>
      </c>
      <c r="AP280" s="227">
        <v>0</v>
      </c>
      <c r="AQ280" s="227">
        <v>0</v>
      </c>
    </row>
    <row r="281" spans="5:43" s="378" customFormat="1" ht="15" customHeight="1">
      <c r="E281" s="378" t="str">
        <f>Input!E281</f>
        <v>Adjustment for Rebate</v>
      </c>
      <c r="G281" s="19" t="s">
        <v>657</v>
      </c>
      <c r="AJ281" s="227"/>
      <c r="AK281" s="227">
        <f>((9/1000000*2102780)/((AI59/AG59)))*(1+1.5%+0.5%)^2</f>
        <v>18.562095697135277</v>
      </c>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-0.05</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-0.05</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33.621011704804154</v>
      </c>
      <c r="AK293" s="219">
        <v>33.956356845193717</v>
      </c>
      <c r="AL293" s="219">
        <v>33.722111316676632</v>
      </c>
      <c r="AM293" s="219">
        <v>33.473717924963204</v>
      </c>
      <c r="AN293" s="219">
        <v>33.575555377346973</v>
      </c>
      <c r="AO293" s="219">
        <v>33.698517746758931</v>
      </c>
      <c r="AP293" s="219">
        <v>33.838122040245636</v>
      </c>
      <c r="AQ293" s="219">
        <v>33.947273799838221</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-31.97720781385916</v>
      </c>
      <c r="AK294" s="219">
        <v>-32.440684920347906</v>
      </c>
      <c r="AL294" s="219">
        <v>-32.416112030935935</v>
      </c>
      <c r="AM294" s="219">
        <v>-32.298294105337703</v>
      </c>
      <c r="AN294" s="219">
        <v>-32.573119091856285</v>
      </c>
      <c r="AO294" s="219">
        <v>-32.758195705454142</v>
      </c>
      <c r="AP294" s="219">
        <v>-32.980024398063449</v>
      </c>
      <c r="AQ294" s="219">
        <v>-33.222678100601797</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1.6438038909449944</v>
      </c>
      <c r="AK295" s="165">
        <f t="shared" si="38"/>
        <v>1.5156719248458117</v>
      </c>
      <c r="AL295" s="165">
        <f t="shared" si="38"/>
        <v>1.3059992857406968</v>
      </c>
      <c r="AM295" s="165">
        <f t="shared" si="38"/>
        <v>1.1754238196255002</v>
      </c>
      <c r="AN295" s="165">
        <f t="shared" si="38"/>
        <v>1.0024362854906883</v>
      </c>
      <c r="AO295" s="165">
        <f t="shared" si="38"/>
        <v>0.94032204130478902</v>
      </c>
      <c r="AP295" s="165">
        <f t="shared" si="38"/>
        <v>0.85809764218218731</v>
      </c>
      <c r="AQ295" s="165">
        <f t="shared" si="38"/>
        <v>0.7245956992364242</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4.4517985704075471</v>
      </c>
      <c r="AK297" s="219">
        <v>4.3186389490386272</v>
      </c>
      <c r="AL297" s="219">
        <v>4.0994843508415135</v>
      </c>
      <c r="AM297" s="219">
        <v>4.0846703263163713</v>
      </c>
      <c r="AN297" s="219">
        <v>4.0576819944216718</v>
      </c>
      <c r="AO297" s="219">
        <v>4.0321793317279315</v>
      </c>
      <c r="AP297" s="219">
        <v>4.0071817833372281</v>
      </c>
      <c r="AQ297" s="219">
        <v>3.9796852884046512</v>
      </c>
    </row>
    <row r="298" spans="4:43" ht="15" customHeight="1">
      <c r="E298" s="378" t="str">
        <f>Input!E298</f>
        <v>Connection projects UMC (DRS 1) costs</v>
      </c>
      <c r="G298" s="147" t="str">
        <f>Input!G298</f>
        <v>£m 12/13 prices</v>
      </c>
      <c r="AE298" s="219">
        <v>0</v>
      </c>
      <c r="AF298" s="219">
        <v>0</v>
      </c>
      <c r="AG298" s="219">
        <v>0</v>
      </c>
      <c r="AH298" s="219">
        <v>0</v>
      </c>
      <c r="AI298" s="219">
        <v>0</v>
      </c>
      <c r="AJ298" s="219">
        <v>-4.1770131748052215</v>
      </c>
      <c r="AK298" s="219">
        <v>-4.0732260302599563</v>
      </c>
      <c r="AL298" s="219">
        <v>-3.8934147020995944</v>
      </c>
      <c r="AM298" s="219">
        <v>-3.8957839202044209</v>
      </c>
      <c r="AN298" s="219">
        <v>-3.8939976351011474</v>
      </c>
      <c r="AO298" s="219">
        <v>-3.8785584685467969</v>
      </c>
      <c r="AP298" s="219">
        <v>-3.866080148399714</v>
      </c>
      <c r="AQ298" s="219">
        <v>-3.8576818594458975</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0.27478539560232562</v>
      </c>
      <c r="AK299" s="165">
        <f t="shared" si="39"/>
        <v>0.24541291877867089</v>
      </c>
      <c r="AL299" s="165">
        <f t="shared" si="39"/>
        <v>0.20606964874191913</v>
      </c>
      <c r="AM299" s="165">
        <f t="shared" si="39"/>
        <v>0.1888864061119504</v>
      </c>
      <c r="AN299" s="165">
        <f t="shared" si="39"/>
        <v>0.16368435932052439</v>
      </c>
      <c r="AO299" s="165">
        <f t="shared" si="39"/>
        <v>0.15362086318113466</v>
      </c>
      <c r="AP299" s="165">
        <f t="shared" si="39"/>
        <v>0.14110163493751404</v>
      </c>
      <c r="AQ299" s="165">
        <f t="shared" si="39"/>
        <v>0.12200342895875371</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2.1610071999999998</v>
      </c>
      <c r="AK301" s="219">
        <v>2.1894388999999999</v>
      </c>
      <c r="AL301" s="219">
        <v>2.2039407499999997</v>
      </c>
      <c r="AM301" s="219">
        <v>2.2138115999999997</v>
      </c>
      <c r="AN301" s="219">
        <v>2.22119205</v>
      </c>
      <c r="AO301" s="219">
        <v>2.2274631500000002</v>
      </c>
      <c r="AP301" s="219">
        <v>2.2336974000000001</v>
      </c>
      <c r="AQ301" s="219">
        <v>2.2399838999999999</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-1.9097241960584679</v>
      </c>
      <c r="AK302" s="219">
        <v>-1.8743459529177819</v>
      </c>
      <c r="AL302" s="219">
        <v>-1.9705102740937483</v>
      </c>
      <c r="AM302" s="219">
        <v>-1.9777155069198078</v>
      </c>
      <c r="AN302" s="219">
        <v>-1.9842855336534244</v>
      </c>
      <c r="AO302" s="219">
        <v>-1.9858001698512084</v>
      </c>
      <c r="AP302" s="219">
        <v>-1.9887782433003931</v>
      </c>
      <c r="AQ302" s="219">
        <v>-1.993100072184534</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0.25128300394153191</v>
      </c>
      <c r="AK303" s="165">
        <f t="shared" ref="AK303:AQ303" si="41">SUM(AK301,AK302)</f>
        <v>0.31509294708221791</v>
      </c>
      <c r="AL303" s="165">
        <f t="shared" si="41"/>
        <v>0.23343047590625132</v>
      </c>
      <c r="AM303" s="165">
        <f t="shared" si="41"/>
        <v>0.23609609308019186</v>
      </c>
      <c r="AN303" s="165">
        <f t="shared" si="41"/>
        <v>0.23690651634657556</v>
      </c>
      <c r="AO303" s="165">
        <f t="shared" si="41"/>
        <v>0.24166298014879173</v>
      </c>
      <c r="AP303" s="165">
        <f t="shared" si="41"/>
        <v>0.24491915669960695</v>
      </c>
      <c r="AQ303" s="165">
        <f t="shared" si="41"/>
        <v>0.24688382781546592</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1.7680967999999999</v>
      </c>
      <c r="AK305" s="219">
        <v>1.7913590999999998</v>
      </c>
      <c r="AL305" s="219">
        <v>1.80322425</v>
      </c>
      <c r="AM305" s="219">
        <v>1.8113004000000001</v>
      </c>
      <c r="AN305" s="219">
        <v>1.8173389499999999</v>
      </c>
      <c r="AO305" s="219">
        <v>1.8224698500000001</v>
      </c>
      <c r="AP305" s="219">
        <v>1.8275706</v>
      </c>
      <c r="AQ305" s="219">
        <v>1.8327141</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-1.5625016149569282</v>
      </c>
      <c r="AK306" s="219">
        <v>-1.5335557796600034</v>
      </c>
      <c r="AL306" s="219">
        <v>-1.6122356788039762</v>
      </c>
      <c r="AM306" s="219">
        <v>-1.6181308692980247</v>
      </c>
      <c r="AN306" s="219">
        <v>-1.623506345716438</v>
      </c>
      <c r="AO306" s="219">
        <v>-1.6247455935146253</v>
      </c>
      <c r="AP306" s="219">
        <v>-1.6271821990639579</v>
      </c>
      <c r="AQ306" s="219">
        <v>-1.6307182408782555</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0.20559518504307173</v>
      </c>
      <c r="AK307" s="165">
        <f t="shared" ref="AK307:AQ307" si="43">SUM(AK305,AK306)</f>
        <v>0.25780332033999631</v>
      </c>
      <c r="AL307" s="165">
        <f t="shared" si="43"/>
        <v>0.19098857119602375</v>
      </c>
      <c r="AM307" s="165">
        <f t="shared" si="43"/>
        <v>0.1931695307019754</v>
      </c>
      <c r="AN307" s="165">
        <f t="shared" si="43"/>
        <v>0.19383260428356186</v>
      </c>
      <c r="AO307" s="165">
        <f t="shared" si="43"/>
        <v>0.19772425648537473</v>
      </c>
      <c r="AP307" s="165">
        <f t="shared" si="43"/>
        <v>0.20038840093604215</v>
      </c>
      <c r="AQ307" s="165">
        <f t="shared" si="43"/>
        <v>0.20199585912174456</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0.57600000000000007</v>
      </c>
      <c r="AK313" s="219">
        <v>0.57600000000000007</v>
      </c>
      <c r="AL313" s="219">
        <v>0.57600000000000007</v>
      </c>
      <c r="AM313" s="219">
        <v>0.57600000000000007</v>
      </c>
      <c r="AN313" s="219">
        <v>0.57600000000000007</v>
      </c>
      <c r="AO313" s="219">
        <v>0.57600000000000007</v>
      </c>
      <c r="AP313" s="219">
        <v>0.57600000000000007</v>
      </c>
      <c r="AQ313" s="219">
        <v>0.57600000000000007</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-0.84481523366926048</v>
      </c>
      <c r="AK314" s="219">
        <v>-0.82879577086873479</v>
      </c>
      <c r="AL314" s="219">
        <v>-0.86929559458112993</v>
      </c>
      <c r="AM314" s="219">
        <v>-0.86864352222995955</v>
      </c>
      <c r="AN314" s="219">
        <v>-0.86716501747486285</v>
      </c>
      <c r="AO314" s="219">
        <v>-0.86348037898554264</v>
      </c>
      <c r="AP314" s="219">
        <v>-0.8604443088132071</v>
      </c>
      <c r="AQ314" s="219">
        <v>-0.85799581480655585</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-0.26881523366926041</v>
      </c>
      <c r="AK315" s="165">
        <f t="shared" ref="AK315:AQ315" si="47">SUM(AK313,AK314)</f>
        <v>-0.25279577086873473</v>
      </c>
      <c r="AL315" s="165">
        <f t="shared" si="47"/>
        <v>-0.29329559458112986</v>
      </c>
      <c r="AM315" s="165">
        <f t="shared" si="47"/>
        <v>-0.29264352222995949</v>
      </c>
      <c r="AN315" s="165">
        <f t="shared" si="47"/>
        <v>-0.29116501747486279</v>
      </c>
      <c r="AO315" s="165">
        <f t="shared" si="47"/>
        <v>-0.28748037898554257</v>
      </c>
      <c r="AP315" s="165">
        <f t="shared" si="47"/>
        <v>-0.28444430881320704</v>
      </c>
      <c r="AQ315" s="165">
        <f t="shared" si="47"/>
        <v>-0.28199581480655578</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1.3892025073963867</v>
      </c>
      <c r="AK317" s="219">
        <v>1.0143002879938769</v>
      </c>
      <c r="AL317" s="219">
        <v>0.70240023070554147</v>
      </c>
      <c r="AM317" s="219">
        <v>0.38119457818848568</v>
      </c>
      <c r="AN317" s="219">
        <v>0.11428556960679928</v>
      </c>
      <c r="AO317" s="219">
        <v>1.4509728537304156E-2</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1.3892025073963867</v>
      </c>
      <c r="AK319" s="165">
        <f t="shared" ref="AK319:AQ319" si="49">SUM(AK317,AK318)</f>
        <v>1.0143002879938769</v>
      </c>
      <c r="AL319" s="165">
        <f t="shared" si="49"/>
        <v>0.70240023070554147</v>
      </c>
      <c r="AM319" s="165">
        <f t="shared" si="49"/>
        <v>0.38119457818848568</v>
      </c>
      <c r="AN319" s="165">
        <f t="shared" si="49"/>
        <v>0.11428556960679928</v>
      </c>
      <c r="AO319" s="165">
        <f t="shared" si="49"/>
        <v>1.4509728537304156E-2</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2.6004415494467881</v>
      </c>
      <c r="AK321" s="219">
        <v>2.0654768719488077</v>
      </c>
      <c r="AL321" s="219">
        <v>1.5852282861925469</v>
      </c>
      <c r="AM321" s="219">
        <v>1.036316018538908</v>
      </c>
      <c r="AN321" s="219">
        <v>0.5629648460118476</v>
      </c>
      <c r="AO321" s="219">
        <v>0.11808236810317667</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2.6004415494467881</v>
      </c>
      <c r="AK323" s="165">
        <f t="shared" ref="AK323:AQ323" si="51">SUM(AK321,AK322)</f>
        <v>2.0654768719488077</v>
      </c>
      <c r="AL323" s="165">
        <f t="shared" si="51"/>
        <v>1.5852282861925469</v>
      </c>
      <c r="AM323" s="165">
        <f t="shared" si="51"/>
        <v>1.036316018538908</v>
      </c>
      <c r="AN323" s="165">
        <f t="shared" si="51"/>
        <v>0.5629648460118476</v>
      </c>
      <c r="AO323" s="165">
        <f t="shared" si="51"/>
        <v>0.11808236810317667</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5.877760144443768E-2</v>
      </c>
      <c r="AK325" s="219">
        <v>0.10692177032470157</v>
      </c>
      <c r="AL325" s="219">
        <v>0.13835007474546052</v>
      </c>
      <c r="AM325" s="219">
        <v>0.15548516651296035</v>
      </c>
      <c r="AN325" s="219">
        <v>0.15461075180564521</v>
      </c>
      <c r="AO325" s="219">
        <v>0.11162235795884104</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-5.877760144443768E-2</v>
      </c>
      <c r="AK326" s="219">
        <v>-0.10692177032470157</v>
      </c>
      <c r="AL326" s="219">
        <v>-0.13835007474546052</v>
      </c>
      <c r="AM326" s="219">
        <v>-0.15548516651296035</v>
      </c>
      <c r="AN326" s="219">
        <v>-0.15461075180564521</v>
      </c>
      <c r="AO326" s="219">
        <v>-0.11162235795884104</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2.2751570000000001</v>
      </c>
      <c r="AK329" s="219">
        <v>0.43249200000000004</v>
      </c>
      <c r="AL329" s="219">
        <v>0</v>
      </c>
      <c r="AM329" s="219">
        <v>0</v>
      </c>
      <c r="AN329" s="219">
        <v>0</v>
      </c>
      <c r="AO329" s="219">
        <v>0</v>
      </c>
      <c r="AP329" s="219">
        <v>0</v>
      </c>
      <c r="AQ329" s="219">
        <v>0</v>
      </c>
    </row>
    <row r="330" spans="5:43" ht="15" customHeight="1">
      <c r="E330" s="378" t="str">
        <f>Input!E330</f>
        <v>De Minimis Activities costs</v>
      </c>
      <c r="G330" s="147" t="str">
        <f>Input!G330</f>
        <v>£m 12/13 prices</v>
      </c>
      <c r="AE330" s="219">
        <v>0</v>
      </c>
      <c r="AF330" s="219">
        <v>0</v>
      </c>
      <c r="AG330" s="219">
        <v>0</v>
      </c>
      <c r="AH330" s="219">
        <v>0</v>
      </c>
      <c r="AI330" s="219">
        <v>0</v>
      </c>
      <c r="AJ330" s="219">
        <v>-2.2751570000000001</v>
      </c>
      <c r="AK330" s="219">
        <v>-0.43249200000000004</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6.0962962987058376</v>
      </c>
      <c r="AK345" s="165">
        <f t="shared" ref="AK345:AQ345" si="63">AK295+AK299+AK303+AK307+AK311+AK315+AK319+AK323+AK327+AK331+AK335+AK339+AK343</f>
        <v>5.1609625001206467</v>
      </c>
      <c r="AL345" s="165">
        <f t="shared" si="63"/>
        <v>3.9308209039018491</v>
      </c>
      <c r="AM345" s="165">
        <f t="shared" si="63"/>
        <v>2.918442924017052</v>
      </c>
      <c r="AN345" s="165">
        <f t="shared" si="63"/>
        <v>1.9829451635851343</v>
      </c>
      <c r="AO345" s="165">
        <f t="shared" si="63"/>
        <v>1.3784418587750285</v>
      </c>
      <c r="AP345" s="165">
        <f t="shared" si="63"/>
        <v>1.1600625259421435</v>
      </c>
      <c r="AQ345" s="165">
        <f t="shared" si="63"/>
        <v>1.0134830003258326</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13</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20.123452965068136</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21.107503804376339</v>
      </c>
      <c r="L363" s="219">
        <v>79.191656609119988</v>
      </c>
      <c r="M363" s="219">
        <v>79.191656609119988</v>
      </c>
      <c r="N363" s="219">
        <v>88.435818859211835</v>
      </c>
      <c r="O363" s="219">
        <v>64.092858267303342</v>
      </c>
      <c r="P363" s="219">
        <v>49.148129296321557</v>
      </c>
      <c r="Q363" s="219">
        <v>62.860303300624423</v>
      </c>
      <c r="R363" s="219">
        <v>44.371978800440779</v>
      </c>
      <c r="S363" s="219">
        <v>63.649615795633814</v>
      </c>
      <c r="T363" s="219">
        <v>59.863375413285262</v>
      </c>
      <c r="U363" s="219">
        <v>75.409125401303626</v>
      </c>
      <c r="V363" s="219">
        <v>103.78739782668701</v>
      </c>
      <c r="W363" s="219">
        <v>96.620140606251795</v>
      </c>
      <c r="X363" s="219">
        <v>99.090190437046175</v>
      </c>
      <c r="Y363" s="219">
        <v>106.75865775226399</v>
      </c>
      <c r="Z363" s="219">
        <v>125.68988489878477</v>
      </c>
      <c r="AA363" s="219">
        <v>99.791717315630706</v>
      </c>
      <c r="AB363" s="219">
        <v>139.35065489182935</v>
      </c>
      <c r="AC363" s="219">
        <v>165.06591526344377</v>
      </c>
      <c r="AD363" s="219">
        <v>196.1644111927435</v>
      </c>
      <c r="AE363" s="219">
        <v>181.36624579963404</v>
      </c>
      <c r="AF363" s="219">
        <v>159.6448889417498</v>
      </c>
      <c r="AG363" s="219">
        <v>154.30158494817141</v>
      </c>
      <c r="AH363" s="419">
        <v>163.48883641613435</v>
      </c>
      <c r="AI363" s="227">
        <v>179.70426606213908</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c r="AG384" s="378"/>
      <c r="AH384" s="378"/>
      <c r="AI384" s="378"/>
      <c r="AJ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43.066494785938943</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3.3046550860641268</v>
      </c>
      <c r="AI386" s="227">
        <v>1.4050098663277844</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456.74167954164147</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16.219596937394044</v>
      </c>
      <c r="AI390" s="365">
        <v>32.654187571254802</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516.36290267399306</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73.563402227870853</v>
      </c>
      <c r="AI394" s="227">
        <v>70.669575621560284</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378"/>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525.79999999999995</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84.144339840984756</v>
      </c>
      <c r="AI398" s="373">
        <v>82.518045068029807</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7.8871011305818965E-3</v>
      </c>
      <c r="AK407" s="289">
        <v>7.8871011305818965E-3</v>
      </c>
      <c r="AL407" s="289">
        <v>7.8871011305818965E-3</v>
      </c>
      <c r="AM407" s="289">
        <v>7.8871011305818965E-3</v>
      </c>
      <c r="AN407" s="289">
        <v>7.8871011305818965E-3</v>
      </c>
      <c r="AO407" s="289">
        <v>7.8871011305818965E-3</v>
      </c>
      <c r="AP407" s="289">
        <v>7.8871011305818965E-3</v>
      </c>
      <c r="AQ407" s="289">
        <v>7.8871011305818965E-3</v>
      </c>
    </row>
    <row r="408" spans="3:43" s="155" customFormat="1">
      <c r="E408" s="93" t="str">
        <f>Input!E408</f>
        <v>Non-load related capex - asset replacement</v>
      </c>
      <c r="G408" s="155" t="s">
        <v>47</v>
      </c>
      <c r="AJ408" s="289">
        <v>1.740103013720656E-2</v>
      </c>
      <c r="AK408" s="289">
        <v>1.740103013720656E-2</v>
      </c>
      <c r="AL408" s="289">
        <v>1.740103013720656E-2</v>
      </c>
      <c r="AM408" s="289">
        <v>1.740103013720656E-2</v>
      </c>
      <c r="AN408" s="289">
        <v>1.740103013720656E-2</v>
      </c>
      <c r="AO408" s="289">
        <v>1.740103013720656E-2</v>
      </c>
      <c r="AP408" s="289">
        <v>1.740103013720656E-2</v>
      </c>
      <c r="AQ408" s="289">
        <v>1.740103013720656E-2</v>
      </c>
    </row>
    <row r="409" spans="3:43" s="155" customFormat="1">
      <c r="E409" s="93" t="str">
        <f>Input!E409</f>
        <v>Non-Load Related capex - other</v>
      </c>
      <c r="G409" s="155" t="s">
        <v>47</v>
      </c>
      <c r="AJ409" s="289">
        <v>0.55499546604530003</v>
      </c>
      <c r="AK409" s="289">
        <v>0.55499546604530003</v>
      </c>
      <c r="AL409" s="289">
        <v>0.55499546604530003</v>
      </c>
      <c r="AM409" s="289">
        <v>0.55499546604530003</v>
      </c>
      <c r="AN409" s="289">
        <v>0.55499546604530003</v>
      </c>
      <c r="AO409" s="289">
        <v>0.55499546604530003</v>
      </c>
      <c r="AP409" s="289">
        <v>0.55499546604530003</v>
      </c>
      <c r="AQ409" s="289">
        <v>0.55499546604530003</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0</v>
      </c>
      <c r="AK413" s="289">
        <v>0</v>
      </c>
      <c r="AL413" s="289">
        <v>0</v>
      </c>
      <c r="AM413" s="289">
        <v>0</v>
      </c>
      <c r="AN413" s="289">
        <v>0</v>
      </c>
      <c r="AO413" s="289">
        <v>0</v>
      </c>
      <c r="AP413" s="289">
        <v>0</v>
      </c>
      <c r="AQ413" s="289">
        <v>0</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0.94905927157952263</v>
      </c>
      <c r="AK417" s="289">
        <v>0.94905927157952263</v>
      </c>
      <c r="AL417" s="289">
        <v>0.94905927157952263</v>
      </c>
      <c r="AM417" s="289">
        <v>0.94905927157952263</v>
      </c>
      <c r="AN417" s="289">
        <v>0.94905927157952263</v>
      </c>
      <c r="AO417" s="289">
        <v>0.94905927157952263</v>
      </c>
      <c r="AP417" s="289">
        <v>0.94905927157952263</v>
      </c>
      <c r="AQ417" s="289">
        <v>0.94905927157952263</v>
      </c>
    </row>
    <row r="418" spans="4:43" s="155" customFormat="1">
      <c r="E418" s="93" t="str">
        <f>Input!E418</f>
        <v>Non-load related capex - asset replacement</v>
      </c>
      <c r="G418" s="155" t="s">
        <v>47</v>
      </c>
      <c r="AJ418" s="289">
        <v>0.40013767275255896</v>
      </c>
      <c r="AK418" s="289">
        <v>0.40013767275255896</v>
      </c>
      <c r="AL418" s="289">
        <v>0.40013767275255896</v>
      </c>
      <c r="AM418" s="289">
        <v>0.40013767275255896</v>
      </c>
      <c r="AN418" s="289">
        <v>0.40013767275255896</v>
      </c>
      <c r="AO418" s="289">
        <v>0.40013767275255896</v>
      </c>
      <c r="AP418" s="289">
        <v>0.40013767275255896</v>
      </c>
      <c r="AQ418" s="289">
        <v>0.40013767275255896</v>
      </c>
    </row>
    <row r="419" spans="4:43" s="155" customFormat="1">
      <c r="E419" s="93" t="str">
        <f>Input!E419</f>
        <v>Non-Load Related capex - other</v>
      </c>
      <c r="G419" s="155" t="s">
        <v>47</v>
      </c>
      <c r="AJ419" s="289">
        <v>0.16283343961124958</v>
      </c>
      <c r="AK419" s="289">
        <v>0.16283343961124958</v>
      </c>
      <c r="AL419" s="289">
        <v>0.16283343961124958</v>
      </c>
      <c r="AM419" s="289">
        <v>0.16283343961124958</v>
      </c>
      <c r="AN419" s="289">
        <v>0.16283343961124958</v>
      </c>
      <c r="AO419" s="289">
        <v>0.16283343961124958</v>
      </c>
      <c r="AP419" s="289">
        <v>0.16283343961124958</v>
      </c>
      <c r="AQ419" s="289">
        <v>0.16283343961124958</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0.27329233538134662</v>
      </c>
      <c r="AK423" s="289">
        <v>0.27329233538134662</v>
      </c>
      <c r="AL423" s="289">
        <v>0.27329233538134662</v>
      </c>
      <c r="AM423" s="289">
        <v>0.27329233538134662</v>
      </c>
      <c r="AN423" s="289">
        <v>0.27329233538134662</v>
      </c>
      <c r="AO423" s="289">
        <v>0.27329233538134662</v>
      </c>
      <c r="AP423" s="289">
        <v>0.27329233538134662</v>
      </c>
      <c r="AQ423" s="289">
        <v>0.27329233538134662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2.8899368630465667E-2</v>
      </c>
      <c r="AK427" s="289">
        <v>2.8899368630465667E-2</v>
      </c>
      <c r="AL427" s="289">
        <v>2.8899368630465667E-2</v>
      </c>
      <c r="AM427" s="289">
        <v>2.8899368630465667E-2</v>
      </c>
      <c r="AN427" s="289">
        <v>2.8899368630465667E-2</v>
      </c>
      <c r="AO427" s="289">
        <v>2.8899368630465667E-2</v>
      </c>
      <c r="AP427" s="289">
        <v>2.8899368630465667E-2</v>
      </c>
      <c r="AQ427" s="289">
        <v>2.8899368630465667E-2</v>
      </c>
    </row>
    <row r="428" spans="4:43" s="155" customFormat="1">
      <c r="E428" s="93" t="str">
        <f>Input!E428</f>
        <v>Non-load related capex - asset replacement</v>
      </c>
      <c r="G428" s="155" t="s">
        <v>47</v>
      </c>
      <c r="AJ428" s="289">
        <v>0.53627950651708389</v>
      </c>
      <c r="AK428" s="289">
        <v>0.53627950651708389</v>
      </c>
      <c r="AL428" s="289">
        <v>0.53627950651708389</v>
      </c>
      <c r="AM428" s="289">
        <v>0.53627950651708389</v>
      </c>
      <c r="AN428" s="289">
        <v>0.53627950651708389</v>
      </c>
      <c r="AO428" s="289">
        <v>0.53627950651708389</v>
      </c>
      <c r="AP428" s="289">
        <v>0.53627950651708389</v>
      </c>
      <c r="AQ428" s="289">
        <v>0.53627950651708389</v>
      </c>
    </row>
    <row r="429" spans="4:43" s="155" customFormat="1">
      <c r="E429" s="93" t="str">
        <f>Input!E429</f>
        <v>Non-Load Related capex - other</v>
      </c>
      <c r="G429" s="155" t="s">
        <v>47</v>
      </c>
      <c r="AJ429" s="289">
        <v>0.16107957553536975</v>
      </c>
      <c r="AK429" s="289">
        <v>0.16107957553536975</v>
      </c>
      <c r="AL429" s="289">
        <v>0.16107957553536975</v>
      </c>
      <c r="AM429" s="289">
        <v>0.16107957553536975</v>
      </c>
      <c r="AN429" s="289">
        <v>0.16107957553536975</v>
      </c>
      <c r="AO429" s="289">
        <v>0.16107957553536975</v>
      </c>
      <c r="AP429" s="289">
        <v>0.16107957553536975</v>
      </c>
      <c r="AQ429" s="289">
        <v>0.16107957553536975</v>
      </c>
    </row>
    <row r="430" spans="4:43" s="155" customFormat="1">
      <c r="E430" s="155" t="str">
        <f>Input!E430</f>
        <v>Faults</v>
      </c>
      <c r="G430" s="155" t="s">
        <v>47</v>
      </c>
      <c r="AJ430" s="289">
        <v>0.62040595375019658</v>
      </c>
      <c r="AK430" s="289">
        <v>0.62040595375019658</v>
      </c>
      <c r="AL430" s="289">
        <v>0.62040595375019658</v>
      </c>
      <c r="AM430" s="289">
        <v>0.62040595375019658</v>
      </c>
      <c r="AN430" s="289">
        <v>0.62040595375019658</v>
      </c>
      <c r="AO430" s="289">
        <v>0.62040595375019658</v>
      </c>
      <c r="AP430" s="289">
        <v>0.62040595375019658</v>
      </c>
      <c r="AQ430" s="289">
        <v>0.62040595375019658</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0.25820950241303881</v>
      </c>
      <c r="AK433" s="289">
        <v>0.25820950241303881</v>
      </c>
      <c r="AL433" s="289">
        <v>0.25820950241303881</v>
      </c>
      <c r="AM433" s="289">
        <v>0.25820950241303881</v>
      </c>
      <c r="AN433" s="289">
        <v>0.25820950241303881</v>
      </c>
      <c r="AO433" s="289">
        <v>0.25820950241303881</v>
      </c>
      <c r="AP433" s="289">
        <v>0.25820950241303881</v>
      </c>
      <c r="AQ433" s="289">
        <v>0.25820950241303881</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0.37928768930775369</v>
      </c>
      <c r="AK440" s="289">
        <v>0.37928768930775369</v>
      </c>
      <c r="AL440" s="289">
        <v>0.37928768930775369</v>
      </c>
      <c r="AM440" s="289">
        <v>0.37928768930775369</v>
      </c>
      <c r="AN440" s="289">
        <v>0.37928768930775369</v>
      </c>
      <c r="AO440" s="289">
        <v>0.37928768930775369</v>
      </c>
      <c r="AP440" s="289">
        <v>0.37928768930775369</v>
      </c>
      <c r="AQ440" s="289">
        <v>0.37928768930775369</v>
      </c>
    </row>
    <row r="441" spans="4:43" s="155" customFormat="1">
      <c r="E441" s="269"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0.46849816220561463</v>
      </c>
      <c r="AK443" s="289">
        <v>0.46849816220561463</v>
      </c>
      <c r="AL443" s="289">
        <v>0.46849816220561463</v>
      </c>
      <c r="AM443" s="289">
        <v>0.46849816220561463</v>
      </c>
      <c r="AN443" s="289">
        <v>0.46849816220561463</v>
      </c>
      <c r="AO443" s="289">
        <v>0.46849816220561463</v>
      </c>
      <c r="AP443" s="289">
        <v>0.46849816220561463</v>
      </c>
      <c r="AQ443" s="289">
        <v>0.46849816220561463</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1.4154258659429837E-2</v>
      </c>
      <c r="AK447" s="289">
        <v>1.4154258659429837E-2</v>
      </c>
      <c r="AL447" s="289">
        <v>1.4154258659429837E-2</v>
      </c>
      <c r="AM447" s="289">
        <v>1.4154258659429837E-2</v>
      </c>
      <c r="AN447" s="289">
        <v>1.4154258659429837E-2</v>
      </c>
      <c r="AO447" s="289">
        <v>1.4154258659429837E-2</v>
      </c>
      <c r="AP447" s="289">
        <v>1.4154258659429837E-2</v>
      </c>
      <c r="AQ447" s="289">
        <v>1.4154258659429837E-2</v>
      </c>
    </row>
    <row r="448" spans="4:43" s="155" customFormat="1">
      <c r="E448" s="93" t="str">
        <f>Input!E448</f>
        <v>Non-load related capex - asset replacement</v>
      </c>
      <c r="G448" s="155" t="s">
        <v>47</v>
      </c>
      <c r="AJ448" s="289">
        <v>4.6181790593150578E-2</v>
      </c>
      <c r="AK448" s="289">
        <v>4.6181790593150578E-2</v>
      </c>
      <c r="AL448" s="289">
        <v>4.6181790593150578E-2</v>
      </c>
      <c r="AM448" s="289">
        <v>4.6181790593150578E-2</v>
      </c>
      <c r="AN448" s="289">
        <v>4.6181790593150578E-2</v>
      </c>
      <c r="AO448" s="289">
        <v>4.6181790593150578E-2</v>
      </c>
      <c r="AP448" s="289">
        <v>4.6181790593150578E-2</v>
      </c>
      <c r="AQ448" s="289">
        <v>4.6181790593150578E-2</v>
      </c>
    </row>
    <row r="449" spans="4:45" s="155" customFormat="1">
      <c r="E449" s="93" t="str">
        <f>Input!E449</f>
        <v>Non-Load Related capex - other</v>
      </c>
      <c r="G449" s="155" t="s">
        <v>47</v>
      </c>
      <c r="AG449" s="24"/>
      <c r="AJ449" s="289">
        <v>0.12109151880808051</v>
      </c>
      <c r="AK449" s="289">
        <v>0.12109151880808051</v>
      </c>
      <c r="AL449" s="289">
        <v>0.12109151880808051</v>
      </c>
      <c r="AM449" s="289">
        <v>0.12109151880808051</v>
      </c>
      <c r="AN449" s="289">
        <v>0.12109151880808051</v>
      </c>
      <c r="AO449" s="289">
        <v>0.12109151880808051</v>
      </c>
      <c r="AP449" s="289">
        <v>0.12109151880808051</v>
      </c>
      <c r="AQ449" s="289">
        <v>0.12109151880808051</v>
      </c>
    </row>
    <row r="450" spans="4:45" s="155" customFormat="1">
      <c r="E450" s="155" t="str">
        <f>Input!E450</f>
        <v>Faults</v>
      </c>
      <c r="G450" s="155" t="s">
        <v>47</v>
      </c>
      <c r="AG450" s="24"/>
      <c r="AJ450" s="289">
        <v>3.0635694204976343E-4</v>
      </c>
      <c r="AK450" s="289">
        <v>3.0635694204976343E-4</v>
      </c>
      <c r="AL450" s="289">
        <v>3.0635694204976343E-4</v>
      </c>
      <c r="AM450" s="289">
        <v>3.0635694204976343E-4</v>
      </c>
      <c r="AN450" s="289">
        <v>3.0635694204976343E-4</v>
      </c>
      <c r="AO450" s="289">
        <v>3.0635694204976343E-4</v>
      </c>
      <c r="AP450" s="289">
        <v>3.0635694204976343E-4</v>
      </c>
      <c r="AQ450" s="289">
        <v>3.0635694204976343E-4</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0</v>
      </c>
      <c r="AK453" s="289">
        <v>0</v>
      </c>
      <c r="AL453" s="289">
        <v>0</v>
      </c>
      <c r="AM453" s="289">
        <v>0</v>
      </c>
      <c r="AN453" s="289">
        <v>0</v>
      </c>
      <c r="AO453" s="289">
        <v>0</v>
      </c>
      <c r="AP453" s="289">
        <v>0</v>
      </c>
      <c r="AQ453" s="289">
        <v>0</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1.0627651284548028</v>
      </c>
      <c r="AK468" s="219">
        <v>1.0784001419430702</v>
      </c>
      <c r="AL468" s="219">
        <v>1.1008560198096147</v>
      </c>
      <c r="AM468" s="219">
        <v>1.1277551456325965</v>
      </c>
      <c r="AN468" s="219">
        <v>1.1555768051721751</v>
      </c>
      <c r="AO468" s="219">
        <v>1.183903851714319</v>
      </c>
      <c r="AP468" s="219">
        <v>1.2129271575557958</v>
      </c>
      <c r="AQ468" s="219">
        <v>1.2430412507447137</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-11.40395028116636</v>
      </c>
      <c r="AK472" s="227">
        <v>-21.062039926113098</v>
      </c>
      <c r="AL472" s="227">
        <v>-17.48806468251561</v>
      </c>
      <c r="AM472" s="227">
        <v>-11.568497551891792</v>
      </c>
      <c r="AN472" s="227">
        <v>3.3344373682337247</v>
      </c>
      <c r="AO472" s="227">
        <v>10.292143003124895</v>
      </c>
      <c r="AP472" s="227">
        <v>18.274414376557591</v>
      </c>
      <c r="AQ472" s="227">
        <v>29.841185984453578</v>
      </c>
      <c r="AS472" s="155"/>
    </row>
    <row r="473" spans="2:45" ht="15" customHeight="1">
      <c r="E473" s="155" t="str">
        <f>Input!E473</f>
        <v>Time Value of Money Profile Adjustment</v>
      </c>
      <c r="G473" s="147" t="s">
        <v>657</v>
      </c>
      <c r="AJ473" s="227">
        <v>0.26805392425509045</v>
      </c>
      <c r="AK473" s="227">
        <v>1.0315761187896915</v>
      </c>
      <c r="AL473" s="227">
        <v>1.9391680087427601</v>
      </c>
      <c r="AM473" s="227">
        <v>2.6246790990551272</v>
      </c>
      <c r="AN473" s="227">
        <v>2.8212421393431151</v>
      </c>
      <c r="AO473" s="227">
        <v>2.5035383293383755</v>
      </c>
      <c r="AP473" s="227">
        <v>1.8334144574507014</v>
      </c>
      <c r="AQ473" s="227">
        <v>0.70208493129153926</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-14.267673945713398</v>
      </c>
      <c r="AL482" s="219">
        <v>-40.639903895637246</v>
      </c>
      <c r="AM482" s="219">
        <v>-62.575958150510871</v>
      </c>
      <c r="AN482" s="219">
        <v>-77.127520094856209</v>
      </c>
      <c r="AO482" s="219">
        <v>-73.038395358651371</v>
      </c>
      <c r="AP482" s="219">
        <v>-60.21713760453531</v>
      </c>
      <c r="AQ482" s="219">
        <v>-37.369792707004365</v>
      </c>
    </row>
    <row r="483" spans="2:43" ht="15" customHeight="1">
      <c r="E483" s="155" t="str">
        <f>Input!E483</f>
        <v>Profiling Impact on Actual Revenues</v>
      </c>
      <c r="AJ483" s="219">
        <v>-14.267673945713398</v>
      </c>
      <c r="AK483" s="219">
        <v>-26.372229949923849</v>
      </c>
      <c r="AL483" s="219">
        <v>-21.936054254873625</v>
      </c>
      <c r="AM483" s="219">
        <v>-14.551561944345337</v>
      </c>
      <c r="AN483" s="219">
        <v>4.0891247362048375</v>
      </c>
      <c r="AO483" s="219">
        <v>12.821257754116061</v>
      </c>
      <c r="AP483" s="219">
        <v>22.847344897530945</v>
      </c>
      <c r="AQ483" s="219">
        <v>37.369795536497179</v>
      </c>
    </row>
    <row r="484" spans="2:43" ht="15" customHeight="1">
      <c r="E484" s="155" t="str">
        <f>Input!E484</f>
        <v>Closing balance</v>
      </c>
      <c r="AJ484" s="219">
        <v>-14.267673945713398</v>
      </c>
      <c r="AK484" s="219">
        <v>-40.639903895637246</v>
      </c>
      <c r="AL484" s="219">
        <v>-62.575958150510871</v>
      </c>
      <c r="AM484" s="219">
        <v>-77.127520094856209</v>
      </c>
      <c r="AN484" s="219">
        <v>-73.038395358651371</v>
      </c>
      <c r="AO484" s="219">
        <v>-60.21713760453531</v>
      </c>
      <c r="AP484" s="219">
        <v>-37.369792707004365</v>
      </c>
      <c r="AQ484" s="219">
        <v>2.8294928142713616E-6</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219.58546416225749</v>
      </c>
      <c r="AK490" s="227">
        <v>239.26723550569011</v>
      </c>
      <c r="AL490" s="227">
        <v>225.18694401764108</v>
      </c>
      <c r="AM490" s="227">
        <v>212.42164677152874</v>
      </c>
      <c r="AN490" s="227">
        <v>202.3606026911832</v>
      </c>
      <c r="AO490" s="227">
        <v>195.07962428471157</v>
      </c>
      <c r="AP490" s="227">
        <v>193.34736172484722</v>
      </c>
      <c r="AQ490" s="227">
        <v>185.46831382818945</v>
      </c>
    </row>
    <row r="491" spans="2:43" s="378" customFormat="1" ht="15" customHeight="1">
      <c r="E491" s="155" t="str">
        <f>Input!E491</f>
        <v>DNO Finance Totex Adjustments (DRS8/Disposals)</v>
      </c>
      <c r="G491" s="155" t="str">
        <f>Input!G491</f>
        <v>£m 12/13 prices</v>
      </c>
      <c r="I491" s="227">
        <f>-SUM(SPN!$AJ$285:$AQ$285)+SUM(SPN!$AJ$367:$AQ$367)</f>
        <v>0</v>
      </c>
    </row>
    <row r="492" spans="2:43" s="378" customFormat="1" ht="15" customHeight="1">
      <c r="E492" s="155" t="str">
        <f>Input!E492</f>
        <v>Group Finance Totex Adjustments (DRS8/Disposals)</v>
      </c>
      <c r="G492" s="155" t="str">
        <f>Input!G492</f>
        <v>£m 12/13 prices</v>
      </c>
      <c r="I492" s="227">
        <f>LPN!I491+SPN!I491+EPN!I491</f>
        <v>0</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1" priority="1" operator="lessThan">
      <formula>1</formula>
    </cfRule>
    <cfRule type="cellIs" dxfId="10"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pageSetUpPr autoPageBreaks="0" fitToPage="1"/>
  </sheetPr>
  <dimension ref="A1:AS506"/>
  <sheetViews>
    <sheetView zoomScale="70" zoomScaleNormal="70" workbookViewId="0">
      <pane xSplit="10" ySplit="7" topLeftCell="AJ8"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16314" width="0" style="147" hidden="1"/>
    <col min="16315" max="16384" width="0" style="147" hidden="1" customWidth="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516</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516</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564</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564</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4.7404661775841718E-2</v>
      </c>
      <c r="AK19" s="216">
        <v>0.47843668062993339</v>
      </c>
      <c r="AL19" s="216">
        <v>0.65189281991303227</v>
      </c>
      <c r="AM19" s="216">
        <v>0.65797371757505796</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11.720691300777405</v>
      </c>
      <c r="AK20" s="216">
        <v>9.0805448682983254</v>
      </c>
      <c r="AL20" s="216">
        <v>0.56196496026834897</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1.8047160668176878</v>
      </c>
      <c r="AK23" s="216">
        <v>3.2789180436436722</v>
      </c>
      <c r="AL23" s="216">
        <v>4.1882293246055404</v>
      </c>
      <c r="AM23" s="216">
        <v>4.5724595486807615</v>
      </c>
      <c r="AN23" s="216">
        <v>4.4794397422243133</v>
      </c>
      <c r="AO23" s="216">
        <v>3.1478855673636748</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43.11216378385965</v>
      </c>
      <c r="AK25" s="216">
        <v>46.618599628057801</v>
      </c>
      <c r="AL25" s="216">
        <v>46.178272414733378</v>
      </c>
      <c r="AM25" s="216">
        <v>40.103148882999768</v>
      </c>
      <c r="AN25" s="216">
        <v>42.892335234891149</v>
      </c>
      <c r="AO25" s="216">
        <v>47.419520756144813</v>
      </c>
      <c r="AP25" s="216">
        <v>49.83556638208502</v>
      </c>
      <c r="AQ25" s="216">
        <v>44.347276123904578</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15.255927222011541</v>
      </c>
      <c r="AK34" s="216">
        <v>15.255927222011541</v>
      </c>
      <c r="AL34" s="216">
        <v>15.255927222011541</v>
      </c>
      <c r="AM34" s="216">
        <v>15.255927222011541</v>
      </c>
      <c r="AN34" s="216">
        <v>15.255927222011541</v>
      </c>
      <c r="AO34" s="216">
        <v>15.255927222011541</v>
      </c>
      <c r="AP34" s="216">
        <v>15.255927222011541</v>
      </c>
      <c r="AQ34" s="216">
        <v>15.255927222011541</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0.68</v>
      </c>
      <c r="AK66" s="229">
        <v>0.68</v>
      </c>
      <c r="AL66" s="229">
        <v>0.68</v>
      </c>
      <c r="AM66" s="229">
        <v>0.68</v>
      </c>
      <c r="AN66" s="229">
        <v>0.68</v>
      </c>
      <c r="AO66" s="229">
        <v>0.68</v>
      </c>
      <c r="AP66" s="229">
        <v>0.68</v>
      </c>
      <c r="AQ66" s="229">
        <v>0.68</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-9.9928896639931257E-3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0.53284185719504162</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2456.6075095452843</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2775.257304834694</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LPN!I75+SPN!I75</f>
        <v>5833.3907797740094</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LPN!I76+SPN!I76</f>
        <v>6616.9056835005922</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83.729498700662077</v>
      </c>
      <c r="AK98" s="227">
        <v>86.383528856508804</v>
      </c>
      <c r="AL98" s="227">
        <v>90.470664982364553</v>
      </c>
      <c r="AM98" s="227">
        <v>94.708358992157187</v>
      </c>
      <c r="AN98" s="227">
        <v>92.340349196777197</v>
      </c>
      <c r="AO98" s="227">
        <v>83.602921113975668</v>
      </c>
      <c r="AP98" s="227">
        <v>81.102235170568875</v>
      </c>
      <c r="AQ98" s="227">
        <v>74.908800735941853</v>
      </c>
    </row>
    <row r="99" spans="4:43" s="269" customFormat="1" ht="15" customHeight="1">
      <c r="E99" s="161" t="s">
        <v>797</v>
      </c>
      <c r="G99" s="269" t="s">
        <v>657</v>
      </c>
      <c r="I99" s="356"/>
      <c r="AJ99" s="227">
        <v>19.815830913707639</v>
      </c>
      <c r="AK99" s="227">
        <v>28.018828552026882</v>
      </c>
      <c r="AL99" s="227">
        <v>19.822900914190452</v>
      </c>
      <c r="AM99" s="227">
        <v>19.341176538854711</v>
      </c>
      <c r="AN99" s="227">
        <v>19.788726510946475</v>
      </c>
      <c r="AO99" s="227">
        <v>14.800496932370084</v>
      </c>
      <c r="AP99" s="227">
        <v>15.147263732194382</v>
      </c>
      <c r="AQ99" s="227">
        <v>14.310991098790375</v>
      </c>
    </row>
    <row r="100" spans="4:43" s="269" customFormat="1" ht="15" customHeight="1">
      <c r="E100" s="161" t="str">
        <f>Input!E100</f>
        <v>Non-variant allowed faults</v>
      </c>
      <c r="G100" s="269" t="s">
        <v>657</v>
      </c>
      <c r="I100" s="356"/>
      <c r="AJ100" s="227">
        <v>35.138631806240731</v>
      </c>
      <c r="AK100" s="227">
        <v>34.616949921625626</v>
      </c>
      <c r="AL100" s="227">
        <v>34.032871371404013</v>
      </c>
      <c r="AM100" s="227">
        <v>33.615940705064936</v>
      </c>
      <c r="AN100" s="227">
        <v>32.527773144940269</v>
      </c>
      <c r="AO100" s="227">
        <v>32.761499425300215</v>
      </c>
      <c r="AP100" s="227">
        <v>32.940521874446333</v>
      </c>
      <c r="AQ100" s="227">
        <v>33.020860161339769</v>
      </c>
    </row>
    <row r="101" spans="4:43" s="269" customFormat="1" ht="15" customHeight="1">
      <c r="E101" s="161" t="s">
        <v>726</v>
      </c>
      <c r="G101" s="269" t="s">
        <v>657</v>
      </c>
      <c r="I101" s="356"/>
      <c r="AJ101" s="227">
        <v>15.91511602633555</v>
      </c>
      <c r="AK101" s="227">
        <v>15.848972357433434</v>
      </c>
      <c r="AL101" s="227">
        <v>15.852976326572954</v>
      </c>
      <c r="AM101" s="227">
        <v>15.695929171032041</v>
      </c>
      <c r="AN101" s="227">
        <v>15.509004462072609</v>
      </c>
      <c r="AO101" s="227">
        <v>15.147695641062585</v>
      </c>
      <c r="AP101" s="227">
        <v>14.809239010154492</v>
      </c>
      <c r="AQ101" s="227">
        <v>14.450034403701594</v>
      </c>
    </row>
    <row r="102" spans="4:43" s="269" customFormat="1" ht="15" customHeight="1">
      <c r="E102" s="161" t="str">
        <f>Input!E102</f>
        <v>Non-variant allowed 100% ‘revenue pool’ expenditure</v>
      </c>
      <c r="G102" s="269" t="s">
        <v>657</v>
      </c>
      <c r="I102" s="356"/>
      <c r="AJ102" s="227">
        <v>14.185803810780381</v>
      </c>
      <c r="AK102" s="227">
        <v>14.279480308785487</v>
      </c>
      <c r="AL102" s="227">
        <v>13.832276653852798</v>
      </c>
      <c r="AM102" s="227">
        <v>13.78547620065526</v>
      </c>
      <c r="AN102" s="227">
        <v>13.397719128846919</v>
      </c>
      <c r="AO102" s="227">
        <v>12.635601283671893</v>
      </c>
      <c r="AP102" s="227">
        <v>12.334829100765575</v>
      </c>
      <c r="AQ102" s="227">
        <v>11.75519931488761</v>
      </c>
    </row>
    <row r="103" spans="4:43" s="269" customFormat="1" ht="15" customHeight="1">
      <c r="E103" s="161" t="s">
        <v>796</v>
      </c>
      <c r="G103" s="269" t="s">
        <v>657</v>
      </c>
      <c r="I103" s="356"/>
      <c r="AJ103" s="227">
        <v>106.84035308546476</v>
      </c>
      <c r="AK103" s="227">
        <v>103.77226727385957</v>
      </c>
      <c r="AL103" s="227">
        <v>100.58488754587012</v>
      </c>
      <c r="AM103" s="227">
        <v>100.28831050885175</v>
      </c>
      <c r="AN103" s="227">
        <v>98.300012460446354</v>
      </c>
      <c r="AO103" s="227">
        <v>96.009931969844914</v>
      </c>
      <c r="AP103" s="227">
        <v>95.266793586534675</v>
      </c>
      <c r="AQ103" s="227">
        <v>93.646986874504535</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4.7404661775841718E-2</v>
      </c>
      <c r="AK107" s="213">
        <f t="shared" ref="AK107:AQ107" si="4">AK19</f>
        <v>0.47843668062993339</v>
      </c>
      <c r="AL107" s="213">
        <f t="shared" si="4"/>
        <v>0.65189281991303227</v>
      </c>
      <c r="AM107" s="213">
        <f t="shared" si="4"/>
        <v>0.65797371757505796</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1</v>
      </c>
      <c r="AK109" s="229">
        <v>1</v>
      </c>
      <c r="AL109" s="229">
        <v>1</v>
      </c>
      <c r="AM109" s="229">
        <v>1</v>
      </c>
      <c r="AN109" s="229">
        <v>0.92420991967998878</v>
      </c>
      <c r="AO109" s="229">
        <v>0.92499133824200264</v>
      </c>
      <c r="AP109" s="229">
        <v>0.92717799511770171</v>
      </c>
      <c r="AQ109" s="229">
        <v>0.93082525774033864</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v>
      </c>
      <c r="AK113" s="229">
        <v>0</v>
      </c>
      <c r="AL113" s="229">
        <v>0</v>
      </c>
      <c r="AM113" s="229">
        <v>0</v>
      </c>
      <c r="AN113" s="229">
        <v>7.5790080320011222E-2</v>
      </c>
      <c r="AO113" s="229">
        <v>7.5008661757997364E-2</v>
      </c>
      <c r="AP113" s="229">
        <v>7.2822004882298286E-2</v>
      </c>
      <c r="AQ113" s="229">
        <v>6.9174742259661359E-2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11.720691300777405</v>
      </c>
      <c r="AK116" s="213">
        <f t="shared" si="5"/>
        <v>9.0805448682983254</v>
      </c>
      <c r="AL116" s="213">
        <f t="shared" si="5"/>
        <v>0.56196496026834897</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0.61161585871480484</v>
      </c>
      <c r="AK117" s="229">
        <v>0.57458798149824553</v>
      </c>
      <c r="AL117" s="229">
        <v>0.99879998223840238</v>
      </c>
      <c r="AM117" s="229">
        <v>0.61</v>
      </c>
      <c r="AN117" s="229">
        <v>0.61</v>
      </c>
      <c r="AO117" s="229">
        <v>0.61</v>
      </c>
      <c r="AP117" s="229">
        <v>0.61</v>
      </c>
      <c r="AQ117" s="229">
        <v>0.61</v>
      </c>
    </row>
    <row r="118" spans="5:43" s="269" customFormat="1" ht="15" customHeight="1">
      <c r="E118" s="357" t="str">
        <f>Input!E118</f>
        <v>Allocation to non-load related capex - asset replacement</v>
      </c>
      <c r="G118" s="269" t="s">
        <v>47</v>
      </c>
      <c r="I118" s="147"/>
      <c r="AJ118" s="229">
        <v>0.38718412352359749</v>
      </c>
      <c r="AK118" s="229">
        <v>0.4242120007401568</v>
      </c>
      <c r="AL118" s="229">
        <v>0</v>
      </c>
      <c r="AM118" s="229">
        <v>0.39</v>
      </c>
      <c r="AN118" s="229">
        <v>0.39</v>
      </c>
      <c r="AO118" s="229">
        <v>0.39</v>
      </c>
      <c r="AP118" s="229">
        <v>0.39</v>
      </c>
      <c r="AQ118" s="229">
        <v>0.39</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1.2000177615977096E-3</v>
      </c>
      <c r="AK122" s="229">
        <v>1.2000177615977103E-3</v>
      </c>
      <c r="AL122" s="229">
        <v>1.2000177615977099E-3</v>
      </c>
      <c r="AM122" s="229">
        <v>0</v>
      </c>
      <c r="AN122" s="229">
        <v>0</v>
      </c>
      <c r="AO122" s="229">
        <v>0</v>
      </c>
      <c r="AP122" s="229">
        <v>0</v>
      </c>
      <c r="AQ122" s="229">
        <v>0</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0.99967898037237668</v>
      </c>
      <c r="AK128" s="229">
        <v>0.99967898037237657</v>
      </c>
      <c r="AL128" s="229">
        <v>0.99967898037237668</v>
      </c>
      <c r="AM128" s="229">
        <v>0.99967898037237668</v>
      </c>
      <c r="AN128" s="229">
        <v>0.99967898037237668</v>
      </c>
      <c r="AO128" s="229">
        <v>0.99967898037237668</v>
      </c>
      <c r="AP128" s="229">
        <v>0.99967898037237657</v>
      </c>
      <c r="AQ128" s="229">
        <v>0.99968247071706851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3.2101962762338178E-4</v>
      </c>
      <c r="AK131" s="229">
        <v>3.2101962762338178E-4</v>
      </c>
      <c r="AL131" s="229">
        <v>3.2101962762338184E-4</v>
      </c>
      <c r="AM131" s="229">
        <v>3.2101962762338178E-4</v>
      </c>
      <c r="AN131" s="229">
        <v>3.2101962762338178E-4</v>
      </c>
      <c r="AO131" s="229">
        <v>3.2101962762338184E-4</v>
      </c>
      <c r="AP131" s="229">
        <v>3.2101962762338178E-4</v>
      </c>
      <c r="AQ131" s="229">
        <v>3.175292829314614E-4</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0.98346780953510915</v>
      </c>
      <c r="AK137" s="229">
        <v>0.98346780953510926</v>
      </c>
      <c r="AL137" s="229">
        <v>0.98346780953510915</v>
      </c>
      <c r="AM137" s="229">
        <v>0.98346780953510915</v>
      </c>
      <c r="AN137" s="229">
        <v>0.98346780953510926</v>
      </c>
      <c r="AO137" s="229">
        <v>0.98346780953510915</v>
      </c>
      <c r="AP137" s="229">
        <v>0.98346780953510926</v>
      </c>
      <c r="AQ137" s="229">
        <v>0.98346780953510926</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1.6532190464890816E-2</v>
      </c>
      <c r="AK140" s="229">
        <v>1.6532190464890819E-2</v>
      </c>
      <c r="AL140" s="229">
        <v>1.6532190464890816E-2</v>
      </c>
      <c r="AM140" s="229">
        <v>1.6532190464890816E-2</v>
      </c>
      <c r="AN140" s="229">
        <v>1.6532190464890819E-2</v>
      </c>
      <c r="AO140" s="229">
        <v>1.6532190464890819E-2</v>
      </c>
      <c r="AP140" s="229">
        <v>1.6532190464890819E-2</v>
      </c>
      <c r="AQ140" s="229">
        <v>1.6532190464890819E-2</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1.8047160668176878</v>
      </c>
      <c r="AK143" s="213">
        <f t="shared" si="8"/>
        <v>3.2789180436436722</v>
      </c>
      <c r="AL143" s="213">
        <f t="shared" si="8"/>
        <v>4.1882293246055404</v>
      </c>
      <c r="AM143" s="213">
        <f t="shared" si="8"/>
        <v>4.5724595486807615</v>
      </c>
      <c r="AN143" s="213">
        <f t="shared" si="8"/>
        <v>4.4794397422243133</v>
      </c>
      <c r="AO143" s="213">
        <f t="shared" si="8"/>
        <v>3.1478855673636748</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6.6003939228664696E-2</v>
      </c>
      <c r="AK149" s="229">
        <v>6.3040849462167689E-2</v>
      </c>
      <c r="AL149" s="229">
        <v>6.2062422851324205E-2</v>
      </c>
      <c r="AM149" s="229">
        <v>6.1374806861925119E-2</v>
      </c>
      <c r="AN149" s="229">
        <v>6.1091051541733665E-2</v>
      </c>
      <c r="AO149" s="229">
        <v>6.0549692413233901E-2</v>
      </c>
      <c r="AP149" s="229">
        <v>0</v>
      </c>
      <c r="AQ149" s="229">
        <v>0</v>
      </c>
    </row>
    <row r="150" spans="5:43" s="269" customFormat="1" ht="15" customHeight="1">
      <c r="E150" s="357" t="str">
        <f>Input!E150</f>
        <v>Allocation to controllable opex</v>
      </c>
      <c r="G150" s="269" t="s">
        <v>47</v>
      </c>
      <c r="I150" s="147"/>
      <c r="AJ150" s="229">
        <v>0.93399606077133535</v>
      </c>
      <c r="AK150" s="229">
        <v>0.9369591505378323</v>
      </c>
      <c r="AL150" s="229">
        <v>0.93793757714867576</v>
      </c>
      <c r="AM150" s="229">
        <v>0.9386251931380748</v>
      </c>
      <c r="AN150" s="229">
        <v>0.93890894845826645</v>
      </c>
      <c r="AO150" s="229">
        <v>0.93945030758676606</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-8.6958229934377199E-2</v>
      </c>
      <c r="AK153" s="229">
        <v>-4.8452404675137659E-2</v>
      </c>
      <c r="AL153" s="229">
        <v>-4.6207872468547129E-2</v>
      </c>
      <c r="AM153" s="229">
        <v>-4.2931414424330711E-2</v>
      </c>
      <c r="AN153" s="229">
        <v>-3.8421759553248232E-2</v>
      </c>
      <c r="AO153" s="229">
        <v>-3.9545052638852697E-2</v>
      </c>
      <c r="AP153" s="229">
        <v>-3.6221778205240078E-2</v>
      </c>
      <c r="AQ153" s="229">
        <v>-3.7921806609752598E-2</v>
      </c>
    </row>
    <row r="154" spans="5:43" s="269" customFormat="1" ht="15" customHeight="1">
      <c r="E154" s="357" t="str">
        <f>Input!E154</f>
        <v>Allocation to non-load related capex - asset replacement</v>
      </c>
      <c r="G154" s="269" t="s">
        <v>47</v>
      </c>
      <c r="I154" s="147"/>
      <c r="AJ154" s="229">
        <v>0.42379138703573238</v>
      </c>
      <c r="AK154" s="229">
        <v>0.27544679729055305</v>
      </c>
      <c r="AL154" s="229">
        <v>0.2986754584855878</v>
      </c>
      <c r="AM154" s="229">
        <v>0.29088770134135333</v>
      </c>
      <c r="AN154" s="229">
        <v>0.37046447109217118</v>
      </c>
      <c r="AO154" s="229">
        <v>0.35195733899625847</v>
      </c>
      <c r="AP154" s="229">
        <v>0.40978109311988681</v>
      </c>
      <c r="AQ154" s="229">
        <v>0.38301373367410879</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-6.9793464738928362E-2</v>
      </c>
      <c r="AK156" s="229">
        <v>-5.978657348292906E-2</v>
      </c>
      <c r="AL156" s="229">
        <v>-8.9868724023241128E-2</v>
      </c>
      <c r="AM156" s="229">
        <v>-8.3986587063712814E-2</v>
      </c>
      <c r="AN156" s="229">
        <v>-0.15256966361674282</v>
      </c>
      <c r="AO156" s="229">
        <v>-0.13427403756225384</v>
      </c>
      <c r="AP156" s="229">
        <v>-0.18405019409110193</v>
      </c>
      <c r="AQ156" s="229">
        <v>-0.15710720178653331</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0.66290181216621391</v>
      </c>
      <c r="AK158" s="229">
        <v>0.77669021204488942</v>
      </c>
      <c r="AL158" s="229">
        <v>0.78338652780144957</v>
      </c>
      <c r="AM158" s="229">
        <v>0.78221139779113846</v>
      </c>
      <c r="AN158" s="229">
        <v>0.77285660651603871</v>
      </c>
      <c r="AO158" s="229">
        <v>0.77291078737297858</v>
      </c>
      <c r="AP158" s="229">
        <v>0.76601631996687092</v>
      </c>
      <c r="AQ158" s="229">
        <v>0.76552757011470762</v>
      </c>
    </row>
    <row r="159" spans="5:43" s="269" customFormat="1" ht="15" customHeight="1">
      <c r="E159" s="357" t="str">
        <f>Input!E159</f>
        <v>Allocation to controllable opex</v>
      </c>
      <c r="G159" s="269" t="s">
        <v>47</v>
      </c>
      <c r="I159" s="147"/>
      <c r="AJ159" s="229">
        <v>7.0058495471359186E-2</v>
      </c>
      <c r="AK159" s="229">
        <v>5.6101968822624367E-2</v>
      </c>
      <c r="AL159" s="229">
        <v>5.4014610204750957E-2</v>
      </c>
      <c r="AM159" s="229">
        <v>5.3818902355551694E-2</v>
      </c>
      <c r="AN159" s="229">
        <v>4.7670345561781187E-2</v>
      </c>
      <c r="AO159" s="229">
        <v>4.8950963831869414E-2</v>
      </c>
      <c r="AP159" s="229">
        <v>4.4474559209584277E-2</v>
      </c>
      <c r="AQ159" s="229">
        <v>4.6487704607469392E-2</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43.11216378385965</v>
      </c>
      <c r="AK161" s="213">
        <f t="shared" ref="AK161:AQ161" si="10">AK25</f>
        <v>46.618599628057801</v>
      </c>
      <c r="AL161" s="213">
        <f t="shared" si="10"/>
        <v>46.178272414733378</v>
      </c>
      <c r="AM161" s="213">
        <f t="shared" si="10"/>
        <v>40.103148882999768</v>
      </c>
      <c r="AN161" s="213">
        <f t="shared" si="10"/>
        <v>42.892335234891149</v>
      </c>
      <c r="AO161" s="213">
        <f t="shared" si="10"/>
        <v>47.419520756144813</v>
      </c>
      <c r="AP161" s="213">
        <f t="shared" si="10"/>
        <v>49.83556638208502</v>
      </c>
      <c r="AQ161" s="213">
        <f t="shared" si="10"/>
        <v>44.347276123904578</v>
      </c>
    </row>
    <row r="162" spans="5:43" s="269" customFormat="1" ht="15" customHeight="1">
      <c r="E162" s="357" t="str">
        <f>Input!E162</f>
        <v>Allocation to load related capex</v>
      </c>
      <c r="G162" s="269" t="s">
        <v>47</v>
      </c>
      <c r="I162" s="147"/>
      <c r="AJ162" s="229">
        <v>0.99493264876167953</v>
      </c>
      <c r="AK162" s="229">
        <v>0.99508971982193273</v>
      </c>
      <c r="AL162" s="229">
        <v>0.99518873905031291</v>
      </c>
      <c r="AM162" s="229">
        <v>0.99491845230405684</v>
      </c>
      <c r="AN162" s="229">
        <v>0.99500031287221602</v>
      </c>
      <c r="AO162" s="229">
        <v>0.99513692973498225</v>
      </c>
      <c r="AP162" s="229">
        <v>0.99524626183504772</v>
      </c>
      <c r="AQ162" s="229">
        <v>0.99517582603217303</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5.0673512383204722E-3</v>
      </c>
      <c r="AK167" s="229">
        <v>4.9102801780672722E-3</v>
      </c>
      <c r="AL167" s="229">
        <v>4.8112609496870906E-3</v>
      </c>
      <c r="AM167" s="229">
        <v>5.081547695943156E-3</v>
      </c>
      <c r="AN167" s="229">
        <v>4.9996871277839805E-3</v>
      </c>
      <c r="AO167" s="229">
        <v>4.8630702650177549E-3</v>
      </c>
      <c r="AP167" s="229">
        <v>4.7537381649522814E-3</v>
      </c>
      <c r="AQ167" s="229">
        <v>4.8241739678269724E-3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0.98775631292708987</v>
      </c>
      <c r="AK172" s="229">
        <v>0.98775631292708976</v>
      </c>
      <c r="AL172" s="229">
        <v>0.98775631292708987</v>
      </c>
      <c r="AM172" s="229">
        <v>0.98770231460079971</v>
      </c>
      <c r="AN172" s="229">
        <v>0.98775631292708987</v>
      </c>
      <c r="AO172" s="229">
        <v>0.98775631292708987</v>
      </c>
      <c r="AP172" s="229">
        <v>0.98775631292708976</v>
      </c>
      <c r="AQ172" s="229">
        <v>0.98775631292708987</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1.2243687072910125E-2</v>
      </c>
      <c r="AK176" s="229">
        <v>1.2243687072910237E-2</v>
      </c>
      <c r="AL176" s="229">
        <v>1.2243687072910125E-2</v>
      </c>
      <c r="AM176" s="229">
        <v>1.2297685399200287E-2</v>
      </c>
      <c r="AN176" s="229">
        <v>1.2243687072910125E-2</v>
      </c>
      <c r="AO176" s="229">
        <v>1.2243687072910125E-2</v>
      </c>
      <c r="AP176" s="229">
        <v>1.2243687072910237E-2</v>
      </c>
      <c r="AQ176" s="229">
        <v>1.2243687072910125E-2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0.98775631292708987</v>
      </c>
      <c r="AK226" s="229">
        <v>0.98775631292708976</v>
      </c>
      <c r="AL226" s="229">
        <v>0.98775631292708987</v>
      </c>
      <c r="AM226" s="229">
        <v>0.98770231460079971</v>
      </c>
      <c r="AN226" s="229">
        <v>0.98775631292708987</v>
      </c>
      <c r="AO226" s="229">
        <v>0.98775631292708987</v>
      </c>
      <c r="AP226" s="229">
        <v>0.98775631292708976</v>
      </c>
      <c r="AQ226" s="229">
        <v>0.98775631292708987</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1.2243687072910125E-2</v>
      </c>
      <c r="AK230" s="229">
        <v>1.2243687072910237E-2</v>
      </c>
      <c r="AL230" s="229">
        <v>1.2243687072910125E-2</v>
      </c>
      <c r="AM230" s="229">
        <v>1.2297685399200287E-2</v>
      </c>
      <c r="AN230" s="229">
        <v>1.2243687072910125E-2</v>
      </c>
      <c r="AO230" s="229">
        <v>1.2243687072910125E-2</v>
      </c>
      <c r="AP230" s="229">
        <v>1.2243687072910237E-2</v>
      </c>
      <c r="AQ230" s="229">
        <v>1.2243687072910125E-2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50.062259981978947</v>
      </c>
      <c r="AK242" s="150">
        <f t="shared" ref="AK242:AQ242" si="19">(AK$107*AK108)+(AK$116*AK117)+(AK$125*AK126)+(AK$134*AK135)+(AK$143*AK144)+(AK$152*AK153)+(AK$161*AK162)+(AK$170*AK171)+(AK$179*AK180)+(AK$197*AK198)+(AK$188*AK189)+(AK206*AK207)+(AK215*AK216)+(AK$224*AK225)+(AK$233*AK234)</f>
        <v>51.607261189154677</v>
      </c>
      <c r="AL242" s="150">
        <f t="shared" si="19"/>
        <v>46.517387288274989</v>
      </c>
      <c r="AM242" s="150">
        <f t="shared" si="19"/>
        <v>39.899362819193293</v>
      </c>
      <c r="AN242" s="150">
        <f t="shared" si="19"/>
        <v>42.677886978536669</v>
      </c>
      <c r="AO242" s="150">
        <f t="shared" si="19"/>
        <v>47.188916294774209</v>
      </c>
      <c r="AP242" s="150">
        <f t="shared" si="19"/>
        <v>49.598661148202488</v>
      </c>
      <c r="AQ242" s="150">
        <f t="shared" si="19"/>
        <v>44.133337148883605</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4.5854702501579947</v>
      </c>
      <c r="AK243" s="150">
        <f t="shared" ref="AK243:AQ243" si="20">(AK$107*AK109)+(AK$116*AK118)+(AK$125*AK127)+(AK$134*AK136)+(AK$143*AK145)+(AK$152*AK154)+(AK$161*AK163)+(AK$170*AK172)+(AK$179*AK181)+(AK$197*AK199)+(AK206*AK208)+(AK215*AK217)+(AK$188*AK190)+(AK$224*AK226)+(AK$233*AK235)</f>
        <v>4.3305127870215294</v>
      </c>
      <c r="AL243" s="150">
        <f t="shared" si="20"/>
        <v>0.65189281991303227</v>
      </c>
      <c r="AM243" s="150">
        <f t="shared" si="20"/>
        <v>0.65797371757505796</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0.35164788387518231</v>
      </c>
      <c r="AK247" s="150">
        <f t="shared" ref="AK247:AQ247" si="24">(AK$107*AK113)+(AK$116*AK122)+(AK$125*AK131)+(AK$134*AK140)+(AK$143*AK149)+(AK$152*AK158)+(AK$161*AK167)+(AK$170*AK176)+(AK$179*AK185)+(AK$197*AK203)+(AK$188*AK194)+(AK206*AK212)+(AK215*AK221)+(AK$224*AK230)+(AK$233*AK239)</f>
        <v>0.44651297959797559</v>
      </c>
      <c r="AL247" s="150">
        <f t="shared" si="24"/>
        <v>0.48278174606872187</v>
      </c>
      <c r="AM247" s="150">
        <f t="shared" si="24"/>
        <v>0.4844198854907199</v>
      </c>
      <c r="AN247" s="150">
        <f t="shared" si="24"/>
        <v>0.48810194052479627</v>
      </c>
      <c r="AO247" s="150">
        <f t="shared" si="24"/>
        <v>0.42120796422652884</v>
      </c>
      <c r="AP247" s="150">
        <f t="shared" si="24"/>
        <v>0.23690523388253046</v>
      </c>
      <c r="AQ247" s="150">
        <f t="shared" si="24"/>
        <v>0.21393897502097511</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1.6855976972184585</v>
      </c>
      <c r="AK248" s="150">
        <f t="shared" ref="AK248:AQ248" si="25">(AK$107*AK114)+(AK$116*AK123)+(AK$125*AK132)+(AK$134*AK141)+(AK$143*AK150)+(AK$152*AK159)+(AK$161*AK168)+(AK$170*AK177)+(AK$179*AK186)+(AK$197*AK204)+(AK$188*AK195)+(AK206*AK213)+(AK215*AK222)+(AK$224*AK231)+(AK$233*AK240)</f>
        <v>3.0722122648555459</v>
      </c>
      <c r="AL248" s="150">
        <f t="shared" si="25"/>
        <v>3.9282976652635551</v>
      </c>
      <c r="AM248" s="150">
        <f t="shared" si="25"/>
        <v>4.2918257269965139</v>
      </c>
      <c r="AN248" s="150">
        <f t="shared" si="25"/>
        <v>4.2057860580539979</v>
      </c>
      <c r="AO248" s="150">
        <f t="shared" si="25"/>
        <v>2.957282064507746</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42.008553304266911</v>
      </c>
      <c r="AK262" s="227">
        <v>41.658119172530384</v>
      </c>
      <c r="AL262" s="227">
        <v>41.795544322230981</v>
      </c>
      <c r="AM262" s="227">
        <v>41.953583244386671</v>
      </c>
      <c r="AN262" s="227">
        <v>41.719960489895655</v>
      </c>
      <c r="AO262" s="227">
        <v>41.994810789296849</v>
      </c>
      <c r="AP262" s="227">
        <v>40.789697405183922</v>
      </c>
      <c r="AQ262" s="227">
        <v>40.789697405183922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29.7</v>
      </c>
      <c r="AK263" s="227">
        <v>32.769999999999996</v>
      </c>
      <c r="AL263" s="227">
        <v>33.979999999999997</v>
      </c>
      <c r="AM263" s="227">
        <v>36.43</v>
      </c>
      <c r="AN263" s="227">
        <v>39.49</v>
      </c>
      <c r="AO263" s="227">
        <v>45.29</v>
      </c>
      <c r="AP263" s="227">
        <v>43.59</v>
      </c>
      <c r="AQ263" s="227">
        <v>45.1</v>
      </c>
    </row>
    <row r="264" spans="2:44" ht="15" customHeight="1">
      <c r="E264" s="19" t="s">
        <v>105</v>
      </c>
      <c r="G264" s="19" t="s">
        <v>657</v>
      </c>
      <c r="AJ264" s="165">
        <f>SUM(AJ262:AJ263)</f>
        <v>71.708553304266914</v>
      </c>
      <c r="AK264" s="165">
        <f t="shared" ref="AK264:AQ264" si="31">SUM(AK262:AK263)</f>
        <v>74.428119172530387</v>
      </c>
      <c r="AL264" s="165">
        <f t="shared" si="31"/>
        <v>75.775544322230985</v>
      </c>
      <c r="AM264" s="165">
        <f t="shared" si="31"/>
        <v>78.383583244386671</v>
      </c>
      <c r="AN264" s="165">
        <f t="shared" si="31"/>
        <v>81.20996048989565</v>
      </c>
      <c r="AO264" s="165">
        <f t="shared" si="31"/>
        <v>87.284810789296841</v>
      </c>
      <c r="AP264" s="165">
        <f t="shared" si="31"/>
        <v>84.379697405183919</v>
      </c>
      <c r="AQ264" s="165">
        <f t="shared" si="31"/>
        <v>85.889697405183924</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15.255927222011541</v>
      </c>
      <c r="AK268" s="213">
        <f t="shared" si="33"/>
        <v>15.255927222011541</v>
      </c>
      <c r="AL268" s="213">
        <f t="shared" si="33"/>
        <v>15.255927222011541</v>
      </c>
      <c r="AM268" s="213">
        <f t="shared" si="33"/>
        <v>15.255927222011541</v>
      </c>
      <c r="AN268" s="213">
        <f t="shared" si="33"/>
        <v>15.255927222011541</v>
      </c>
      <c r="AO268" s="213">
        <f t="shared" si="33"/>
        <v>15.255927222011541</v>
      </c>
      <c r="AP268" s="213">
        <f t="shared" si="33"/>
        <v>15.255927222011541</v>
      </c>
      <c r="AQ268" s="213">
        <f t="shared" si="33"/>
        <v>15.255927222011541</v>
      </c>
      <c r="AR268" s="155"/>
    </row>
    <row r="269" spans="2:44" ht="15" customHeight="1">
      <c r="E269" s="378"/>
    </row>
    <row r="270" spans="2:44" ht="15" customHeight="1">
      <c r="E270" s="378" t="str">
        <f>Input!E270</f>
        <v>Other legacy adjustments' Revenue adjustment from previous controls</v>
      </c>
      <c r="G270" s="19" t="s">
        <v>657</v>
      </c>
      <c r="H270" s="378"/>
      <c r="I270" s="219">
        <v>12.394401346152268</v>
      </c>
      <c r="AJ270" s="421">
        <f>($I$270/8)</f>
        <v>1.5493001682690335</v>
      </c>
      <c r="AK270" s="423">
        <f>($I$270/8)*(1+$AK$53)</f>
        <v>1.6075151220917423</v>
      </c>
      <c r="AL270" s="423">
        <f>($I$270/8)*(1+$AK$53)*(1+$AL$53)</f>
        <v>1.6679175028043394</v>
      </c>
      <c r="AM270" s="423">
        <f>($I$270/8)*(1+$AK$53)*(1+$AL$53)*(1+$AM$53)</f>
        <v>1.7305895029722123</v>
      </c>
      <c r="AN270" s="423">
        <f>($I$270/8)*(1+$AK$53)*(1+$AL$53)*(1+$AM$53)*(1+$AN$53)</f>
        <v>1.7956164035463931</v>
      </c>
      <c r="AO270" s="423">
        <f>($I$270/8)*(1+$AK$53)*(1+$AL$53)*(1+$AM$53)*(1+$AN$53)*(1+$AO$53)</f>
        <v>1.8630866899096485</v>
      </c>
      <c r="AP270" s="423">
        <f>($I$270/8)*(1+$AK$53)*(1+$AL$53)*(1+$AM$53)*(1+$AN$53)*(1+$AO$53)*(1+$AP$53)</f>
        <v>1.9330921722830035</v>
      </c>
      <c r="AQ270" s="424">
        <f>($I$270/8)*(1+$AK$53)*(1+$AL$53)*(1+$AM$53)*(1+$AN$53)*(1+$AO$53)*(1+$AP$53)*(1+$AQ$53)</f>
        <v>2.0057281106565372</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1.5493001682690335</v>
      </c>
      <c r="AK272" s="165">
        <f t="shared" ref="AK272:AQ272" si="34">AK270+AK271</f>
        <v>1.6075151220917423</v>
      </c>
      <c r="AL272" s="165">
        <f t="shared" si="34"/>
        <v>1.6679175028043394</v>
      </c>
      <c r="AM272" s="165">
        <f t="shared" si="34"/>
        <v>1.7305895029722123</v>
      </c>
      <c r="AN272" s="165">
        <f t="shared" si="34"/>
        <v>1.7956164035463931</v>
      </c>
      <c r="AO272" s="165">
        <f t="shared" si="34"/>
        <v>1.8630866899096485</v>
      </c>
      <c r="AP272" s="165">
        <f t="shared" si="34"/>
        <v>1.9330921722830035</v>
      </c>
      <c r="AQ272" s="165">
        <f t="shared" si="34"/>
        <v>2.0057281106565372</v>
      </c>
    </row>
    <row r="273" spans="5:43" ht="15" customHeight="1">
      <c r="E273" s="378"/>
    </row>
    <row r="274" spans="5:43" ht="15" customHeight="1">
      <c r="E274" s="378" t="str">
        <f>Input!E274</f>
        <v>RAV Rolling Incentive legacy adjustments' price control allowed revenue</v>
      </c>
      <c r="G274" s="378" t="str">
        <f>Input!G274</f>
        <v>£m 12/13 prices</v>
      </c>
      <c r="I274" s="219">
        <v>11.697178190599645</v>
      </c>
      <c r="AJ274" s="422">
        <f>($I$274/8)</f>
        <v>1.4621472738249557</v>
      </c>
      <c r="AK274" s="423">
        <f>($I$274/8)*(1+$AK$53)</f>
        <v>1.5170874576389282</v>
      </c>
      <c r="AL274" s="423">
        <f>($I$274/8)*(1+$AK$53)*(1+$AL$53)</f>
        <v>1.5740920188597107</v>
      </c>
      <c r="AM274" s="423">
        <f>($I$274/8)*(1+$AK$53)*(1+$AL$53)*(1+$AM$53)</f>
        <v>1.6332385264683642</v>
      </c>
      <c r="AN274" s="423">
        <f>($I$274/8)*(1+$AK$53)*(1+$AL$53)*(1+$AM$53)*(1+$AN$53)</f>
        <v>1.6946074641004127</v>
      </c>
      <c r="AO274" s="423">
        <f>($I$274/8)*(1+$AK$53)*(1+$AL$53)*(1+$AM$53)*(1+$AN$53)*(1+$AO$53)</f>
        <v>1.7582823395639855</v>
      </c>
      <c r="AP274" s="423">
        <f>($I$274/8)*(1+$AK$53)*(1+$AL$53)*(1+$AM$53)*(1+$AN$53)*(1+$AO$53)*(1+$AP$53)</f>
        <v>1.8243497984731021</v>
      </c>
      <c r="AQ274" s="424">
        <f>($I$274/8)*(1+$AK$53)*(1+$AL$53)*(1+$AM$53)*(1+$AN$53)*(1+$AO$53)*(1+$AP$53)*(1+$AQ$53)</f>
        <v>1.8928997421507288</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1.4621472738249557</v>
      </c>
      <c r="AK276" s="165">
        <f t="shared" ref="AK276:AQ276" si="35">AK274+AK275</f>
        <v>1.5170874576389282</v>
      </c>
      <c r="AL276" s="165">
        <f t="shared" si="35"/>
        <v>1.5740920188597107</v>
      </c>
      <c r="AM276" s="165">
        <f t="shared" si="35"/>
        <v>1.6332385264683642</v>
      </c>
      <c r="AN276" s="165">
        <f t="shared" si="35"/>
        <v>1.6946074641004127</v>
      </c>
      <c r="AO276" s="165">
        <f t="shared" si="35"/>
        <v>1.7582823395639855</v>
      </c>
      <c r="AP276" s="165">
        <f t="shared" si="35"/>
        <v>1.8243497984731021</v>
      </c>
      <c r="AQ276" s="165">
        <f t="shared" si="35"/>
        <v>1.8928997421507288</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-15.410612256895364</v>
      </c>
      <c r="AK280" s="227">
        <v>-15.410612256895362</v>
      </c>
      <c r="AL280" s="227">
        <v>-3.8102122828532003</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0.1</v>
      </c>
      <c r="AK287" s="219">
        <v>0.1</v>
      </c>
      <c r="AL287" s="219">
        <v>0.1</v>
      </c>
      <c r="AM287" s="219">
        <v>0.1</v>
      </c>
      <c r="AN287" s="219">
        <v>0.1</v>
      </c>
      <c r="AO287" s="219">
        <v>0.1</v>
      </c>
      <c r="AP287" s="219">
        <v>0.1</v>
      </c>
      <c r="AQ287" s="219">
        <v>0.1</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-0.1</v>
      </c>
      <c r="AK288" s="219">
        <v>-0.1</v>
      </c>
      <c r="AL288" s="219">
        <v>-0.1</v>
      </c>
      <c r="AM288" s="219">
        <v>-0.1</v>
      </c>
      <c r="AN288" s="219">
        <v>-0.1</v>
      </c>
      <c r="AO288" s="219">
        <v>-0.1</v>
      </c>
      <c r="AP288" s="219">
        <v>-0.1</v>
      </c>
      <c r="AQ288" s="219">
        <v>-0.1</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67.693227577418781</v>
      </c>
      <c r="AK293" s="219">
        <v>67.892602728633847</v>
      </c>
      <c r="AL293" s="219">
        <v>68.482943005733432</v>
      </c>
      <c r="AM293" s="219">
        <v>68.918071311065091</v>
      </c>
      <c r="AN293" s="219">
        <v>69.586616760677714</v>
      </c>
      <c r="AO293" s="219">
        <v>70.924483396341998</v>
      </c>
      <c r="AP293" s="219">
        <v>72.154616476559696</v>
      </c>
      <c r="AQ293" s="219">
        <v>73.457712760807567</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-65.150163487905346</v>
      </c>
      <c r="AK294" s="219">
        <v>-65.731026178475119</v>
      </c>
      <c r="AL294" s="219">
        <v>-66.739964373757658</v>
      </c>
      <c r="AM294" s="219">
        <v>-66.400786241260334</v>
      </c>
      <c r="AN294" s="219">
        <v>-67.784746062900155</v>
      </c>
      <c r="AO294" s="219">
        <v>-69.378020559316852</v>
      </c>
      <c r="AP294" s="219">
        <v>-70.507299398862614</v>
      </c>
      <c r="AQ294" s="219">
        <v>-71.583257147723145</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2.543064089513436</v>
      </c>
      <c r="AK295" s="165">
        <f t="shared" si="38"/>
        <v>2.1615765501587276</v>
      </c>
      <c r="AL295" s="165">
        <f t="shared" si="38"/>
        <v>1.7429786319757739</v>
      </c>
      <c r="AM295" s="165">
        <f t="shared" si="38"/>
        <v>2.5172850698047569</v>
      </c>
      <c r="AN295" s="165">
        <f t="shared" si="38"/>
        <v>1.8018706977775594</v>
      </c>
      <c r="AO295" s="165">
        <f t="shared" si="38"/>
        <v>1.5464628370251461</v>
      </c>
      <c r="AP295" s="165">
        <f t="shared" si="38"/>
        <v>1.6473170776970818</v>
      </c>
      <c r="AQ295" s="165">
        <f t="shared" si="38"/>
        <v>1.8744556130844217</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3.5190023811225641</v>
      </c>
      <c r="AK297" s="219">
        <v>3.2390438587162214</v>
      </c>
      <c r="AL297" s="219">
        <v>3.0931449150892876</v>
      </c>
      <c r="AM297" s="219">
        <v>3.0625346610164321</v>
      </c>
      <c r="AN297" s="219">
        <v>3.0409708755073144</v>
      </c>
      <c r="AO297" s="219">
        <v>3.0301775605247965</v>
      </c>
      <c r="AP297" s="219">
        <v>3.0106514576631014</v>
      </c>
      <c r="AQ297" s="219">
        <v>2.9911637583453912</v>
      </c>
    </row>
    <row r="298" spans="4:43" ht="15" customHeight="1">
      <c r="E298" s="378" t="str">
        <f>Input!E298</f>
        <v>Connection projects UMC (DRS 1) costs</v>
      </c>
      <c r="G298" s="147" t="str">
        <f>Input!G298</f>
        <v>£m 12/13 prices</v>
      </c>
      <c r="AE298" s="219">
        <v>0</v>
      </c>
      <c r="AF298" s="219">
        <v>0</v>
      </c>
      <c r="AG298" s="219">
        <v>0</v>
      </c>
      <c r="AH298" s="219">
        <v>0</v>
      </c>
      <c r="AI298" s="219">
        <v>0</v>
      </c>
      <c r="AJ298" s="219">
        <v>-3.354760019823948</v>
      </c>
      <c r="AK298" s="219">
        <v>-3.1075483139568183</v>
      </c>
      <c r="AL298" s="219">
        <v>-2.9885833965837372</v>
      </c>
      <c r="AM298" s="219">
        <v>-2.9577163100576982</v>
      </c>
      <c r="AN298" s="219">
        <v>-2.9371480962003433</v>
      </c>
      <c r="AO298" s="219">
        <v>-2.9400212700144452</v>
      </c>
      <c r="AP298" s="219">
        <v>-2.9178803808364489</v>
      </c>
      <c r="AQ298" s="219">
        <v>-2.8903440411584906</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0.16424236129861614</v>
      </c>
      <c r="AK299" s="165">
        <f t="shared" si="39"/>
        <v>0.13149554475940306</v>
      </c>
      <c r="AL299" s="165">
        <f t="shared" si="39"/>
        <v>0.1045615185055504</v>
      </c>
      <c r="AM299" s="165">
        <f t="shared" si="39"/>
        <v>0.10481835095873393</v>
      </c>
      <c r="AN299" s="165">
        <f t="shared" si="39"/>
        <v>0.10382277930697104</v>
      </c>
      <c r="AO299" s="165">
        <f t="shared" si="39"/>
        <v>9.0156290510351234E-2</v>
      </c>
      <c r="AP299" s="165">
        <f t="shared" si="39"/>
        <v>9.2771076826652532E-2</v>
      </c>
      <c r="AQ299" s="165">
        <f t="shared" si="39"/>
        <v>0.10081971718690053</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5.4018716399999995</v>
      </c>
      <c r="AK301" s="219">
        <v>5.4211997399999996</v>
      </c>
      <c r="AL301" s="219">
        <v>5.4380633999999999</v>
      </c>
      <c r="AM301" s="219">
        <v>5.4588600000000005</v>
      </c>
      <c r="AN301" s="219">
        <v>5.4841366799999998</v>
      </c>
      <c r="AO301" s="219">
        <v>5.5183154400000003</v>
      </c>
      <c r="AP301" s="219">
        <v>5.542554599999999</v>
      </c>
      <c r="AQ301" s="219">
        <v>5.5625143199999991</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-4.8837630736216209</v>
      </c>
      <c r="AK302" s="219">
        <v>-5.0218900747045963</v>
      </c>
      <c r="AL302" s="219">
        <v>-5.1146927017109851</v>
      </c>
      <c r="AM302" s="219">
        <v>-5.107631044989704</v>
      </c>
      <c r="AN302" s="219">
        <v>-5.1244043323914372</v>
      </c>
      <c r="AO302" s="219">
        <v>-5.165830741243437</v>
      </c>
      <c r="AP302" s="219">
        <v>-5.1679810571130558</v>
      </c>
      <c r="AQ302" s="219">
        <v>-5.1611530180543976</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0.51810856637837865</v>
      </c>
      <c r="AK303" s="165">
        <f t="shared" ref="AK303:AQ303" si="41">SUM(AK301,AK302)</f>
        <v>0.39930966529540335</v>
      </c>
      <c r="AL303" s="165">
        <f t="shared" si="41"/>
        <v>0.32337069828901477</v>
      </c>
      <c r="AM303" s="165">
        <f t="shared" si="41"/>
        <v>0.3512289550102965</v>
      </c>
      <c r="AN303" s="165">
        <f t="shared" si="41"/>
        <v>0.35973234760856254</v>
      </c>
      <c r="AO303" s="165">
        <f t="shared" si="41"/>
        <v>0.3524846987565633</v>
      </c>
      <c r="AP303" s="165">
        <f t="shared" si="41"/>
        <v>0.37457354288694322</v>
      </c>
      <c r="AQ303" s="165">
        <f t="shared" si="41"/>
        <v>0.40136130194560149</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2.7827823600000001</v>
      </c>
      <c r="AK305" s="219">
        <v>2.7927392600000003</v>
      </c>
      <c r="AL305" s="219">
        <v>2.8014266000000001</v>
      </c>
      <c r="AM305" s="219">
        <v>2.8121400000000003</v>
      </c>
      <c r="AN305" s="219">
        <v>2.8251613200000003</v>
      </c>
      <c r="AO305" s="219">
        <v>2.8427685600000001</v>
      </c>
      <c r="AP305" s="219">
        <v>2.8552554000000003</v>
      </c>
      <c r="AQ305" s="219">
        <v>2.8655376800000001</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-2.7862946651637439</v>
      </c>
      <c r="AK306" s="219">
        <v>-2.6448219366860193</v>
      </c>
      <c r="AL306" s="219">
        <v>-2.6348416948208104</v>
      </c>
      <c r="AM306" s="219">
        <v>-2.6312038716613633</v>
      </c>
      <c r="AN306" s="219">
        <v>-2.6398446560804372</v>
      </c>
      <c r="AO306" s="219">
        <v>-2.6611855333678318</v>
      </c>
      <c r="AP306" s="219">
        <v>-2.6622932718461199</v>
      </c>
      <c r="AQ306" s="219">
        <v>-2.6587757971795387</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-3.5123051637437896E-3</v>
      </c>
      <c r="AK307" s="165">
        <f t="shared" ref="AK307:AQ307" si="43">SUM(AK305,AK306)</f>
        <v>0.147917323313981</v>
      </c>
      <c r="AL307" s="165">
        <f t="shared" si="43"/>
        <v>0.16658490517918967</v>
      </c>
      <c r="AM307" s="165">
        <f t="shared" si="43"/>
        <v>0.18093612833863704</v>
      </c>
      <c r="AN307" s="165">
        <f t="shared" si="43"/>
        <v>0.18531666391956314</v>
      </c>
      <c r="AO307" s="165">
        <f t="shared" si="43"/>
        <v>0.1815830266321683</v>
      </c>
      <c r="AP307" s="165">
        <f t="shared" si="43"/>
        <v>0.19296212815388047</v>
      </c>
      <c r="AQ307" s="165">
        <f t="shared" si="43"/>
        <v>0.20676188282046137</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1.056</v>
      </c>
      <c r="AK313" s="219">
        <v>1.056</v>
      </c>
      <c r="AL313" s="219">
        <v>1.056</v>
      </c>
      <c r="AM313" s="219">
        <v>1.056</v>
      </c>
      <c r="AN313" s="219">
        <v>1.056</v>
      </c>
      <c r="AO313" s="219">
        <v>1.056</v>
      </c>
      <c r="AP313" s="219">
        <v>1.056</v>
      </c>
      <c r="AQ313" s="219">
        <v>1.056</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-1.4078030691272883</v>
      </c>
      <c r="AK314" s="219">
        <v>-1.4039454316601157</v>
      </c>
      <c r="AL314" s="219">
        <v>-1.4131908365607351</v>
      </c>
      <c r="AM314" s="219">
        <v>-1.4024418666522618</v>
      </c>
      <c r="AN314" s="219">
        <v>-1.3974106263660508</v>
      </c>
      <c r="AO314" s="219">
        <v>-1.3990595758960862</v>
      </c>
      <c r="AP314" s="219">
        <v>-1.390056589164534</v>
      </c>
      <c r="AQ314" s="219">
        <v>-1.3787128658611452</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-0.3518030691272882</v>
      </c>
      <c r="AK315" s="165">
        <f t="shared" ref="AK315:AQ315" si="47">SUM(AK313,AK314)</f>
        <v>-0.3479454316601156</v>
      </c>
      <c r="AL315" s="165">
        <f t="shared" si="47"/>
        <v>-0.35719083656073503</v>
      </c>
      <c r="AM315" s="165">
        <f t="shared" si="47"/>
        <v>-0.34644186665226173</v>
      </c>
      <c r="AN315" s="165">
        <f t="shared" si="47"/>
        <v>-0.3414106263660508</v>
      </c>
      <c r="AO315" s="165">
        <f t="shared" si="47"/>
        <v>-0.34305957589608616</v>
      </c>
      <c r="AP315" s="165">
        <f t="shared" si="47"/>
        <v>-0.33405658916453396</v>
      </c>
      <c r="AQ315" s="165">
        <f t="shared" si="47"/>
        <v>-0.32271286586114512</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2.4292455507451245</v>
      </c>
      <c r="AK317" s="219">
        <v>1.7872567909992176</v>
      </c>
      <c r="AL317" s="219">
        <v>1.263017276533819</v>
      </c>
      <c r="AM317" s="219">
        <v>0.79482060002716404</v>
      </c>
      <c r="AN317" s="219">
        <v>0.30969124140752446</v>
      </c>
      <c r="AO317" s="219">
        <v>4.7850104235716936E-2</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-0.24292455507451247</v>
      </c>
      <c r="AK318" s="219">
        <v>-0.17872567909992176</v>
      </c>
      <c r="AL318" s="219">
        <v>-0.12630172765338191</v>
      </c>
      <c r="AM318" s="219">
        <v>-7.9482060002716404E-2</v>
      </c>
      <c r="AN318" s="219">
        <v>-3.0969124140752449E-2</v>
      </c>
      <c r="AO318" s="219">
        <v>-4.7850104235716943E-3</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2.186320995670612</v>
      </c>
      <c r="AK319" s="165">
        <f t="shared" ref="AK319:AQ319" si="49">SUM(AK317,AK318)</f>
        <v>1.6085311118992958</v>
      </c>
      <c r="AL319" s="165">
        <f t="shared" si="49"/>
        <v>1.136715548880437</v>
      </c>
      <c r="AM319" s="165">
        <f t="shared" si="49"/>
        <v>0.71533854002444763</v>
      </c>
      <c r="AN319" s="165">
        <f t="shared" si="49"/>
        <v>0.27872211726677204</v>
      </c>
      <c r="AO319" s="165">
        <f t="shared" si="49"/>
        <v>4.3065093812145239E-2</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4.6630066945249347</v>
      </c>
      <c r="AK321" s="219">
        <v>3.6492137834179355</v>
      </c>
      <c r="AL321" s="219">
        <v>2.3912878347444386</v>
      </c>
      <c r="AM321" s="219">
        <v>1.3518334879103913</v>
      </c>
      <c r="AN321" s="219">
        <v>0.51433311412558413</v>
      </c>
      <c r="AO321" s="219">
        <v>7.0642936930720976E-2</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4.6630066945249347</v>
      </c>
      <c r="AK323" s="165">
        <f t="shared" ref="AK323:AQ323" si="51">SUM(AK321,AK322)</f>
        <v>3.6492137834179355</v>
      </c>
      <c r="AL323" s="165">
        <f t="shared" si="51"/>
        <v>2.3912878347444386</v>
      </c>
      <c r="AM323" s="165">
        <f t="shared" si="51"/>
        <v>1.3518334879103913</v>
      </c>
      <c r="AN323" s="165">
        <f t="shared" si="51"/>
        <v>0.51433311412558413</v>
      </c>
      <c r="AO323" s="165">
        <f t="shared" si="51"/>
        <v>7.0642936930720976E-2</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0.10714655558840058</v>
      </c>
      <c r="AK325" s="219">
        <v>0.20915863819753844</v>
      </c>
      <c r="AL325" s="219">
        <v>0.27101625827177867</v>
      </c>
      <c r="AM325" s="219">
        <v>0.29770024538820761</v>
      </c>
      <c r="AN325" s="219">
        <v>0.29047235985007258</v>
      </c>
      <c r="AO325" s="219">
        <v>0.20463033095478861</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-0.10714655558840058</v>
      </c>
      <c r="AK326" s="219">
        <v>-0.20915863819753844</v>
      </c>
      <c r="AL326" s="219">
        <v>-0.27101625827177867</v>
      </c>
      <c r="AM326" s="219">
        <v>-0.29770024538820761</v>
      </c>
      <c r="AN326" s="219">
        <v>-0.29047235985007258</v>
      </c>
      <c r="AO326" s="219">
        <v>-0.20463033095478861</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0.62682399999999994</v>
      </c>
      <c r="AK329" s="219">
        <v>0.13430099999999998</v>
      </c>
      <c r="AL329" s="219">
        <v>0</v>
      </c>
      <c r="AM329" s="219">
        <v>0</v>
      </c>
      <c r="AN329" s="219">
        <v>0</v>
      </c>
      <c r="AO329" s="219">
        <v>0</v>
      </c>
      <c r="AP329" s="219">
        <v>0</v>
      </c>
      <c r="AQ329" s="219">
        <v>0</v>
      </c>
    </row>
    <row r="330" spans="5:43" ht="15" customHeight="1">
      <c r="E330" s="378" t="str">
        <f>Input!E330</f>
        <v>De Minimis Activities costs</v>
      </c>
      <c r="G330" s="147" t="str">
        <f>Input!G330</f>
        <v>£m 12/13 prices</v>
      </c>
      <c r="AE330" s="219">
        <v>0</v>
      </c>
      <c r="AF330" s="219">
        <v>0</v>
      </c>
      <c r="AG330" s="219">
        <v>0</v>
      </c>
      <c r="AH330" s="219">
        <v>0</v>
      </c>
      <c r="AI330" s="219">
        <v>0</v>
      </c>
      <c r="AJ330" s="219">
        <v>-0.62682399999999994</v>
      </c>
      <c r="AK330" s="219">
        <v>-0.13430099999999995</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9.719427333094945</v>
      </c>
      <c r="AK345" s="165">
        <f t="shared" ref="AK345:AQ345" si="63">AK295+AK299+AK303+AK307+AK311+AK315+AK319+AK323+AK327+AK331+AK335+AK339+AK343</f>
        <v>7.7500985471846304</v>
      </c>
      <c r="AL345" s="165">
        <f t="shared" si="63"/>
        <v>5.5083083010136686</v>
      </c>
      <c r="AM345" s="165">
        <f t="shared" si="63"/>
        <v>4.874998665395001</v>
      </c>
      <c r="AN345" s="165">
        <f t="shared" si="63"/>
        <v>2.9023870936389615</v>
      </c>
      <c r="AO345" s="165">
        <f t="shared" si="63"/>
        <v>1.9413353077710089</v>
      </c>
      <c r="AP345" s="165">
        <f t="shared" si="63"/>
        <v>1.9735672364000241</v>
      </c>
      <c r="AQ345" s="165">
        <f t="shared" si="63"/>
        <v>2.2606856491762399</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14</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37.628100407284933</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34.819677808679224</v>
      </c>
      <c r="L363" s="219">
        <v>89.360235084220989</v>
      </c>
      <c r="M363" s="219">
        <v>57.621944692239069</v>
      </c>
      <c r="N363" s="219">
        <v>69.023078134018974</v>
      </c>
      <c r="O363" s="219">
        <v>92.749761242588022</v>
      </c>
      <c r="P363" s="219">
        <v>128.03164716377179</v>
      </c>
      <c r="Q363" s="219">
        <v>134.81069948050583</v>
      </c>
      <c r="R363" s="219">
        <v>175.63908275174472</v>
      </c>
      <c r="S363" s="219">
        <v>257.88342806604442</v>
      </c>
      <c r="T363" s="219">
        <v>125.90429816651638</v>
      </c>
      <c r="U363" s="219">
        <v>144.53415701916529</v>
      </c>
      <c r="V363" s="219">
        <v>131.99433501078363</v>
      </c>
      <c r="W363" s="219">
        <v>135.35089597052678</v>
      </c>
      <c r="X363" s="219">
        <v>158.89293053842994</v>
      </c>
      <c r="Y363" s="219">
        <v>134.79545060683014</v>
      </c>
      <c r="Z363" s="219">
        <v>145.83574346623112</v>
      </c>
      <c r="AA363" s="219">
        <v>175.76533808713904</v>
      </c>
      <c r="AB363" s="219">
        <v>219.58285013257955</v>
      </c>
      <c r="AC363" s="219">
        <v>259.73104679134013</v>
      </c>
      <c r="AD363" s="219">
        <v>280.3914608863214</v>
      </c>
      <c r="AE363" s="219">
        <v>272.01204456302384</v>
      </c>
      <c r="AF363" s="219">
        <v>225.46982908702131</v>
      </c>
      <c r="AG363" s="219">
        <v>226.95138191998291</v>
      </c>
      <c r="AH363" s="419">
        <v>267.44043720967835</v>
      </c>
      <c r="AI363" s="227">
        <v>270.46012097860802</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71.667613673884318</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-0.9672391902977715</v>
      </c>
      <c r="AI386" s="227">
        <v>-7.1906073529467207E-2</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761.06252209511194</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82.970855696783204</v>
      </c>
      <c r="AI390" s="365">
        <v>90.365248899559916</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670.20554701704373</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101.35544839845453</v>
      </c>
      <c r="AI394" s="227">
        <v>87.83688536725802</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682.5</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115.74622535050433</v>
      </c>
      <c r="AI398" s="373">
        <v>103.86595278888019</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1.2844365984095845E-2</v>
      </c>
      <c r="AK407" s="289">
        <v>1.2844365984095845E-2</v>
      </c>
      <c r="AL407" s="289">
        <v>1.2844365984095845E-2</v>
      </c>
      <c r="AM407" s="289">
        <v>1.2844365984095845E-2</v>
      </c>
      <c r="AN407" s="289">
        <v>1.2844365984095845E-2</v>
      </c>
      <c r="AO407" s="289">
        <v>1.2844365984095845E-2</v>
      </c>
      <c r="AP407" s="289">
        <v>1.2844365984095845E-2</v>
      </c>
      <c r="AQ407" s="289">
        <v>1.2844365984095845E-2</v>
      </c>
    </row>
    <row r="408" spans="3:43" s="155" customFormat="1">
      <c r="E408" s="93" t="str">
        <f>Input!E408</f>
        <v>Non-load related capex - asset replacement</v>
      </c>
      <c r="G408" s="155" t="s">
        <v>47</v>
      </c>
      <c r="AJ408" s="289">
        <v>1.4427664545297208E-2</v>
      </c>
      <c r="AK408" s="289">
        <v>1.4427664545297208E-2</v>
      </c>
      <c r="AL408" s="289">
        <v>1.4427664545297208E-2</v>
      </c>
      <c r="AM408" s="289">
        <v>1.4427664545297208E-2</v>
      </c>
      <c r="AN408" s="289">
        <v>1.4427664545297208E-2</v>
      </c>
      <c r="AO408" s="289">
        <v>1.4427664545297208E-2</v>
      </c>
      <c r="AP408" s="289">
        <v>1.4427664545297208E-2</v>
      </c>
      <c r="AQ408" s="289">
        <v>1.4427664545297208E-2</v>
      </c>
    </row>
    <row r="409" spans="3:43" s="155" customFormat="1">
      <c r="E409" s="93" t="str">
        <f>Input!E409</f>
        <v>Non-Load Related capex - other</v>
      </c>
      <c r="G409" s="155" t="s">
        <v>47</v>
      </c>
      <c r="AJ409" s="289">
        <v>0.59640661044535337</v>
      </c>
      <c r="AK409" s="289">
        <v>0.59640661044535337</v>
      </c>
      <c r="AL409" s="289">
        <v>0.59640661044535337</v>
      </c>
      <c r="AM409" s="289">
        <v>0.59640661044535337</v>
      </c>
      <c r="AN409" s="289">
        <v>0.59640661044535337</v>
      </c>
      <c r="AO409" s="289">
        <v>0.59640661044535337</v>
      </c>
      <c r="AP409" s="289">
        <v>0.59640661044535337</v>
      </c>
      <c r="AQ409" s="289">
        <v>0.59640661044535337</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0</v>
      </c>
      <c r="AK413" s="289">
        <v>0</v>
      </c>
      <c r="AL413" s="289">
        <v>0</v>
      </c>
      <c r="AM413" s="289">
        <v>0</v>
      </c>
      <c r="AN413" s="289">
        <v>0</v>
      </c>
      <c r="AO413" s="289">
        <v>0</v>
      </c>
      <c r="AP413" s="289">
        <v>0</v>
      </c>
      <c r="AQ413" s="289">
        <v>0</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0.92904252084045991</v>
      </c>
      <c r="AK417" s="289">
        <v>0.92904252084045991</v>
      </c>
      <c r="AL417" s="289">
        <v>0.92904252084045991</v>
      </c>
      <c r="AM417" s="289">
        <v>0.92904252084045991</v>
      </c>
      <c r="AN417" s="289">
        <v>0.92904252084045991</v>
      </c>
      <c r="AO417" s="289">
        <v>0.92904252084045991</v>
      </c>
      <c r="AP417" s="289">
        <v>0.92904252084045991</v>
      </c>
      <c r="AQ417" s="289">
        <v>0.92904252084045991</v>
      </c>
    </row>
    <row r="418" spans="4:43" s="155" customFormat="1">
      <c r="E418" s="93" t="str">
        <f>Input!E418</f>
        <v>Non-load related capex - asset replacement</v>
      </c>
      <c r="G418" s="155" t="s">
        <v>47</v>
      </c>
      <c r="AJ418" s="289">
        <v>0.587381060398666</v>
      </c>
      <c r="AK418" s="289">
        <v>0.587381060398666</v>
      </c>
      <c r="AL418" s="289">
        <v>0.587381060398666</v>
      </c>
      <c r="AM418" s="289">
        <v>0.587381060398666</v>
      </c>
      <c r="AN418" s="289">
        <v>0.587381060398666</v>
      </c>
      <c r="AO418" s="289">
        <v>0.587381060398666</v>
      </c>
      <c r="AP418" s="289">
        <v>0.587381060398666</v>
      </c>
      <c r="AQ418" s="289">
        <v>0.587381060398666</v>
      </c>
    </row>
    <row r="419" spans="4:43" s="155" customFormat="1">
      <c r="E419" s="93" t="str">
        <f>Input!E419</f>
        <v>Non-Load Related capex - other</v>
      </c>
      <c r="G419" s="155" t="s">
        <v>47</v>
      </c>
      <c r="AJ419" s="289">
        <v>0.14898526209217869</v>
      </c>
      <c r="AK419" s="289">
        <v>0.14898526209217869</v>
      </c>
      <c r="AL419" s="289">
        <v>0.14898526209217869</v>
      </c>
      <c r="AM419" s="289">
        <v>0.14898526209217869</v>
      </c>
      <c r="AN419" s="289">
        <v>0.14898526209217869</v>
      </c>
      <c r="AO419" s="289">
        <v>0.14898526209217869</v>
      </c>
      <c r="AP419" s="289">
        <v>0.14898526209217869</v>
      </c>
      <c r="AQ419" s="289">
        <v>0.14898526209217869</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0.50677484146140872</v>
      </c>
      <c r="AK423" s="289">
        <v>0.50677484146140872</v>
      </c>
      <c r="AL423" s="289">
        <v>0.50677484146140872</v>
      </c>
      <c r="AM423" s="289">
        <v>0.50677484146140872</v>
      </c>
      <c r="AN423" s="289">
        <v>0.50677484146140872</v>
      </c>
      <c r="AO423" s="289">
        <v>0.50677484146140872</v>
      </c>
      <c r="AP423" s="289">
        <v>0.50677484146140872</v>
      </c>
      <c r="AQ423" s="289">
        <v>0.50677484146140872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4.5243565602851969E-2</v>
      </c>
      <c r="AK427" s="289">
        <v>4.5243565602851969E-2</v>
      </c>
      <c r="AL427" s="289">
        <v>4.5243565602851969E-2</v>
      </c>
      <c r="AM427" s="289">
        <v>4.5243565602851969E-2</v>
      </c>
      <c r="AN427" s="289">
        <v>4.5243565602851969E-2</v>
      </c>
      <c r="AO427" s="289">
        <v>4.5243565602851969E-2</v>
      </c>
      <c r="AP427" s="289">
        <v>4.5243565602851969E-2</v>
      </c>
      <c r="AQ427" s="289">
        <v>4.5243565602851969E-2</v>
      </c>
    </row>
    <row r="428" spans="4:43" s="155" customFormat="1">
      <c r="E428" s="93" t="str">
        <f>Input!E428</f>
        <v>Non-load related capex - asset replacement</v>
      </c>
      <c r="G428" s="155" t="s">
        <v>47</v>
      </c>
      <c r="AJ428" s="289">
        <v>0.34849370107054589</v>
      </c>
      <c r="AK428" s="289">
        <v>0.34849370107054589</v>
      </c>
      <c r="AL428" s="289">
        <v>0.34849370107054589</v>
      </c>
      <c r="AM428" s="289">
        <v>0.34849370107054589</v>
      </c>
      <c r="AN428" s="289">
        <v>0.34849370107054589</v>
      </c>
      <c r="AO428" s="289">
        <v>0.34849370107054589</v>
      </c>
      <c r="AP428" s="289">
        <v>0.34849370107054589</v>
      </c>
      <c r="AQ428" s="289">
        <v>0.34849370107054589</v>
      </c>
    </row>
    <row r="429" spans="4:43" s="155" customFormat="1">
      <c r="E429" s="93" t="str">
        <f>Input!E429</f>
        <v>Non-Load Related capex - other</v>
      </c>
      <c r="G429" s="155" t="s">
        <v>47</v>
      </c>
      <c r="AJ429" s="289">
        <v>0.16467455891240249</v>
      </c>
      <c r="AK429" s="289">
        <v>0.16467455891240249</v>
      </c>
      <c r="AL429" s="289">
        <v>0.16467455891240249</v>
      </c>
      <c r="AM429" s="289">
        <v>0.16467455891240249</v>
      </c>
      <c r="AN429" s="289">
        <v>0.16467455891240249</v>
      </c>
      <c r="AO429" s="289">
        <v>0.16467455891240249</v>
      </c>
      <c r="AP429" s="289">
        <v>0.16467455891240249</v>
      </c>
      <c r="AQ429" s="289">
        <v>0.16467455891240249</v>
      </c>
    </row>
    <row r="430" spans="4:43" s="155" customFormat="1">
      <c r="E430" s="155" t="str">
        <f>Input!E430</f>
        <v>Faults</v>
      </c>
      <c r="G430" s="155" t="s">
        <v>47</v>
      </c>
      <c r="AJ430" s="289">
        <v>0.71548445503307712</v>
      </c>
      <c r="AK430" s="289">
        <v>0.71548445503307712</v>
      </c>
      <c r="AL430" s="289">
        <v>0.71548445503307712</v>
      </c>
      <c r="AM430" s="289">
        <v>0.71548445503307712</v>
      </c>
      <c r="AN430" s="289">
        <v>0.71548445503307712</v>
      </c>
      <c r="AO430" s="289">
        <v>0.71548445503307712</v>
      </c>
      <c r="AP430" s="289">
        <v>0.71548445503307712</v>
      </c>
      <c r="AQ430" s="289">
        <v>0.71548445503307712</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0.19233800773171131</v>
      </c>
      <c r="AK433" s="289">
        <v>0.19233800773171131</v>
      </c>
      <c r="AL433" s="289">
        <v>0.19233800773171131</v>
      </c>
      <c r="AM433" s="289">
        <v>0.19233800773171131</v>
      </c>
      <c r="AN433" s="289">
        <v>0.19233800773171131</v>
      </c>
      <c r="AO433" s="289">
        <v>0.19233800773171131</v>
      </c>
      <c r="AP433" s="289">
        <v>0.19233800773171131</v>
      </c>
      <c r="AQ433" s="289">
        <v>0.19233800773171131</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0.28435634646064389</v>
      </c>
      <c r="AK440" s="289">
        <v>0.28435634646064389</v>
      </c>
      <c r="AL440" s="289">
        <v>0.28435634646064389</v>
      </c>
      <c r="AM440" s="289">
        <v>0.28435634646064389</v>
      </c>
      <c r="AN440" s="289">
        <v>0.28435634646064389</v>
      </c>
      <c r="AO440" s="289">
        <v>0.28435634646064389</v>
      </c>
      <c r="AP440" s="289">
        <v>0.28435634646064389</v>
      </c>
      <c r="AQ440" s="289">
        <v>0.28435634646064389</v>
      </c>
    </row>
    <row r="441" spans="4:43" s="155" customFormat="1">
      <c r="E441" s="269"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0.30086794797387867</v>
      </c>
      <c r="AK443" s="289">
        <v>0.30086794797387867</v>
      </c>
      <c r="AL443" s="289">
        <v>0.30086794797387867</v>
      </c>
      <c r="AM443" s="289">
        <v>0.30086794797387867</v>
      </c>
      <c r="AN443" s="289">
        <v>0.30086794797387867</v>
      </c>
      <c r="AO443" s="289">
        <v>0.30086794797387867</v>
      </c>
      <c r="AP443" s="289">
        <v>0.30086794797387867</v>
      </c>
      <c r="AQ443" s="289">
        <v>0.30086794797387867</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1.2869547572592246E-2</v>
      </c>
      <c r="AK447" s="289">
        <v>1.2869547572592246E-2</v>
      </c>
      <c r="AL447" s="289">
        <v>1.2869547572592246E-2</v>
      </c>
      <c r="AM447" s="289">
        <v>1.2869547572592246E-2</v>
      </c>
      <c r="AN447" s="289">
        <v>1.2869547572592246E-2</v>
      </c>
      <c r="AO447" s="289">
        <v>1.2869547572592246E-2</v>
      </c>
      <c r="AP447" s="289">
        <v>1.2869547572592246E-2</v>
      </c>
      <c r="AQ447" s="289">
        <v>1.2869547572592246E-2</v>
      </c>
    </row>
    <row r="448" spans="4:43" s="155" customFormat="1">
      <c r="E448" s="93" t="str">
        <f>Input!E448</f>
        <v>Non-load related capex - asset replacement</v>
      </c>
      <c r="G448" s="155" t="s">
        <v>47</v>
      </c>
      <c r="AJ448" s="289">
        <v>4.9697573985490906E-2</v>
      </c>
      <c r="AK448" s="289">
        <v>4.9697573985490906E-2</v>
      </c>
      <c r="AL448" s="289">
        <v>4.9697573985490906E-2</v>
      </c>
      <c r="AM448" s="289">
        <v>4.9697573985490906E-2</v>
      </c>
      <c r="AN448" s="289">
        <v>4.9697573985490906E-2</v>
      </c>
      <c r="AO448" s="289">
        <v>4.9697573985490906E-2</v>
      </c>
      <c r="AP448" s="289">
        <v>4.9697573985490906E-2</v>
      </c>
      <c r="AQ448" s="289">
        <v>4.9697573985490906E-2</v>
      </c>
    </row>
    <row r="449" spans="4:45" s="155" customFormat="1">
      <c r="E449" s="93" t="str">
        <f>Input!E449</f>
        <v>Non-Load Related capex - other</v>
      </c>
      <c r="G449" s="155" t="s">
        <v>47</v>
      </c>
      <c r="AG449" s="24"/>
      <c r="AJ449" s="289">
        <v>8.9933568550065554E-2</v>
      </c>
      <c r="AK449" s="289">
        <v>8.9933568550065554E-2</v>
      </c>
      <c r="AL449" s="289">
        <v>8.9933568550065554E-2</v>
      </c>
      <c r="AM449" s="289">
        <v>8.9933568550065554E-2</v>
      </c>
      <c r="AN449" s="289">
        <v>8.9933568550065554E-2</v>
      </c>
      <c r="AO449" s="289">
        <v>8.9933568550065554E-2</v>
      </c>
      <c r="AP449" s="289">
        <v>8.9933568550065554E-2</v>
      </c>
      <c r="AQ449" s="289">
        <v>8.9933568550065554E-2</v>
      </c>
    </row>
    <row r="450" spans="4:45" s="155" customFormat="1">
      <c r="E450" s="155" t="str">
        <f>Input!E450</f>
        <v>Faults</v>
      </c>
      <c r="G450" s="155" t="s">
        <v>47</v>
      </c>
      <c r="AG450" s="24"/>
      <c r="AJ450" s="289">
        <v>1.5919850627908023E-4</v>
      </c>
      <c r="AK450" s="289">
        <v>1.5919850627908023E-4</v>
      </c>
      <c r="AL450" s="289">
        <v>1.5919850627908023E-4</v>
      </c>
      <c r="AM450" s="289">
        <v>1.5919850627908023E-4</v>
      </c>
      <c r="AN450" s="289">
        <v>1.5919850627908023E-4</v>
      </c>
      <c r="AO450" s="289">
        <v>1.5919850627908023E-4</v>
      </c>
      <c r="AP450" s="289">
        <v>1.5919850627908023E-4</v>
      </c>
      <c r="AQ450" s="289">
        <v>1.5919850627908023E-4</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1.9202833001294983E-5</v>
      </c>
      <c r="AK453" s="289">
        <v>1.9202833001294983E-5</v>
      </c>
      <c r="AL453" s="289">
        <v>1.9202833001294983E-5</v>
      </c>
      <c r="AM453" s="289">
        <v>1.9202833001294983E-5</v>
      </c>
      <c r="AN453" s="289">
        <v>1.9202833001294983E-5</v>
      </c>
      <c r="AO453" s="289">
        <v>1.9202833001294983E-5</v>
      </c>
      <c r="AP453" s="289">
        <v>1.9202833001294983E-5</v>
      </c>
      <c r="AQ453" s="289">
        <v>1.9202833001294983E-5</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1.6387598001215946</v>
      </c>
      <c r="AK468" s="219">
        <v>1.6828570004569157</v>
      </c>
      <c r="AL468" s="219">
        <v>1.6711776163547793</v>
      </c>
      <c r="AM468" s="219">
        <v>1.6828069106607584</v>
      </c>
      <c r="AN468" s="219">
        <v>1.7094452038186907</v>
      </c>
      <c r="AO468" s="219">
        <v>1.7366455436772708</v>
      </c>
      <c r="AP468" s="219">
        <v>1.7644117919669153</v>
      </c>
      <c r="AQ468" s="219">
        <v>1.7920259421365903</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-17.736499173817318</v>
      </c>
      <c r="AK472" s="227">
        <v>-17.750648300041444</v>
      </c>
      <c r="AL472" s="227">
        <v>-19.567531049996756</v>
      </c>
      <c r="AM472" s="227">
        <v>-17.104741824125067</v>
      </c>
      <c r="AN472" s="227">
        <v>-6.3178406549352353</v>
      </c>
      <c r="AO472" s="227">
        <v>14.04152968174721</v>
      </c>
      <c r="AP472" s="227">
        <v>26.219484203313943</v>
      </c>
      <c r="AQ472" s="227">
        <v>38.495608181696539</v>
      </c>
      <c r="AS472" s="155"/>
    </row>
    <row r="473" spans="2:45" ht="15" customHeight="1">
      <c r="E473" s="155" t="str">
        <f>Input!E473</f>
        <v>Time Value of Money Profile Adjustment</v>
      </c>
      <c r="G473" s="147" t="s">
        <v>657</v>
      </c>
      <c r="AJ473" s="227">
        <v>0.4169027476330453</v>
      </c>
      <c r="AK473" s="227">
        <v>1.2516591091706135</v>
      </c>
      <c r="AL473" s="227">
        <v>2.1305806627304169</v>
      </c>
      <c r="AM473" s="227">
        <v>2.9952860841558442</v>
      </c>
      <c r="AN473" s="227">
        <v>3.5492582161821842</v>
      </c>
      <c r="AO473" s="227">
        <v>3.3711299619051007</v>
      </c>
      <c r="AP473" s="227">
        <v>2.4269578783047177</v>
      </c>
      <c r="AQ473" s="227">
        <v>0.90564013021273926</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-22.190432342410929</v>
      </c>
      <c r="AL482" s="227">
        <v>-44.431476329344946</v>
      </c>
      <c r="AM482" s="227">
        <v>-68.97268402889415</v>
      </c>
      <c r="AN482" s="227">
        <v>-90.457047662701029</v>
      </c>
      <c r="AO482" s="227">
        <v>-98.458891987714651</v>
      </c>
      <c r="AP482" s="227">
        <v>-80.975836523534895</v>
      </c>
      <c r="AQ482" s="227">
        <v>-48.203558196609777</v>
      </c>
    </row>
    <row r="483" spans="2:43" ht="15" customHeight="1">
      <c r="E483" s="155" t="str">
        <f>Input!E483</f>
        <v>Profiling Impact on Actual Revenues</v>
      </c>
      <c r="AJ483" s="227">
        <v>-22.190432342410929</v>
      </c>
      <c r="AK483" s="227">
        <v>-22.241043986934017</v>
      </c>
      <c r="AL483" s="227">
        <v>-24.541207699549204</v>
      </c>
      <c r="AM483" s="227">
        <v>-21.484363633806879</v>
      </c>
      <c r="AN483" s="227">
        <v>-8.0018443250136215</v>
      </c>
      <c r="AO483" s="227">
        <v>17.483055464179756</v>
      </c>
      <c r="AP483" s="227">
        <v>32.772278326925118</v>
      </c>
      <c r="AQ483" s="227">
        <v>48.202718244836888</v>
      </c>
    </row>
    <row r="484" spans="2:43" ht="15" customHeight="1">
      <c r="E484" s="155" t="str">
        <f>Input!E484</f>
        <v>Closing balance</v>
      </c>
      <c r="AJ484" s="227">
        <v>-22.190432342410929</v>
      </c>
      <c r="AK484" s="227">
        <v>-44.431476329344946</v>
      </c>
      <c r="AL484" s="227">
        <v>-68.97268402889415</v>
      </c>
      <c r="AM484" s="227">
        <v>-90.457047662701029</v>
      </c>
      <c r="AN484" s="227">
        <v>-98.458891987714651</v>
      </c>
      <c r="AO484" s="227">
        <v>-80.975836523534895</v>
      </c>
      <c r="AP484" s="227">
        <v>-48.203558196609777</v>
      </c>
      <c r="AQ484" s="227">
        <v>-8.3995177288898049E-4</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326.71724033417422</v>
      </c>
      <c r="AK490" s="227">
        <v>335.23698214219814</v>
      </c>
      <c r="AL490" s="227">
        <v>317.90903091638825</v>
      </c>
      <c r="AM490" s="227">
        <v>312.89473512991663</v>
      </c>
      <c r="AN490" s="227">
        <v>308.23770680100046</v>
      </c>
      <c r="AO490" s="227">
        <v>293.95792070478319</v>
      </c>
      <c r="AP490" s="227">
        <v>288.78610081044587</v>
      </c>
      <c r="AQ490" s="227">
        <v>272.86779270637714</v>
      </c>
    </row>
    <row r="491" spans="2:43" s="378" customFormat="1" ht="15" customHeight="1">
      <c r="E491" s="155" t="str">
        <f>Input!E491</f>
        <v>DNO Finance Totex Adjustments (DRS8/Disposals)</v>
      </c>
      <c r="G491" s="155" t="str">
        <f>Input!G491</f>
        <v>£m 12/13 prices</v>
      </c>
      <c r="I491" s="227">
        <f>-SUM(EPN!$AJ$285:$AQ$285)+SUM(EPN!$AJ$367:$AQ$367)</f>
        <v>0</v>
      </c>
    </row>
    <row r="492" spans="2:43" s="378" customFormat="1" ht="15" customHeight="1">
      <c r="E492" s="155" t="str">
        <f>Input!E492</f>
        <v>Group Finance Totex Adjustments (DRS8/Disposals)</v>
      </c>
      <c r="G492" s="155" t="str">
        <f>Input!G492</f>
        <v>£m 12/13 prices</v>
      </c>
      <c r="I492" s="227">
        <f>LPN!I491+SPN!I491+EPN!I491</f>
        <v>0</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AJ495" s="378"/>
      <c r="AK495" s="378"/>
      <c r="AL495" s="378"/>
      <c r="AM495" s="378"/>
      <c r="AN495" s="378"/>
      <c r="AO495" s="378"/>
      <c r="AP495" s="378"/>
      <c r="AQ495" s="378"/>
    </row>
    <row r="496" spans="2:43" ht="15" hidden="1" customHeight="1"/>
    <row r="497" spans="5:43" s="378" customFormat="1" ht="15" hidden="1" customHeight="1"/>
    <row r="498" spans="5:43" s="378" customFormat="1" ht="15" hidden="1" customHeight="1"/>
    <row r="499" spans="5:43" s="378" customFormat="1" ht="15" hidden="1" customHeight="1"/>
    <row r="500" spans="5:43" s="378" customFormat="1" ht="15" hidden="1" customHeight="1"/>
    <row r="501" spans="5:43" s="378" customFormat="1" ht="15" hidden="1" customHeight="1"/>
    <row r="502" spans="5:43" s="378" customFormat="1" ht="15" hidden="1" customHeight="1"/>
    <row r="503" spans="5:43" s="378" customFormat="1" ht="15" hidden="1" customHeight="1"/>
    <row r="504" spans="5:43" ht="15" hidden="1" customHeight="1"/>
    <row r="505" spans="5:43" ht="15" hidden="1" customHeight="1">
      <c r="E505" s="389"/>
      <c r="AJ505" s="386"/>
      <c r="AK505" s="386"/>
      <c r="AL505" s="386"/>
      <c r="AM505" s="386"/>
      <c r="AN505" s="386"/>
      <c r="AO505" s="386"/>
      <c r="AP505" s="386"/>
      <c r="AQ505" s="386"/>
    </row>
    <row r="506" spans="5:43" ht="15" hidden="1" customHeight="1">
      <c r="E506" s="389"/>
      <c r="AJ506" s="386"/>
      <c r="AK506" s="386"/>
      <c r="AL506" s="386"/>
      <c r="AM506" s="386"/>
      <c r="AN506" s="386"/>
      <c r="AO506" s="386"/>
      <c r="AP506" s="386"/>
      <c r="AQ506" s="386"/>
    </row>
  </sheetData>
  <conditionalFormatting sqref="AJ458:AQ464">
    <cfRule type="cellIs" dxfId="9" priority="1" operator="lessThan">
      <formula>1</formula>
    </cfRule>
    <cfRule type="cellIs" dxfId="8"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7030A0"/>
    <pageSetUpPr autoPageBreaks="0" fitToPage="1"/>
  </sheetPr>
  <dimension ref="A1:XDG495"/>
  <sheetViews>
    <sheetView zoomScale="70" zoomScaleNormal="70" workbookViewId="0">
      <pane xSplit="10" ySplit="7" topLeftCell="AJ56"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517</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517</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557</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569</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1.056406431474342</v>
      </c>
      <c r="AK23" s="216">
        <v>1.8548086977444895</v>
      </c>
      <c r="AL23" s="216">
        <v>2.3317897287940208</v>
      </c>
      <c r="AM23" s="216">
        <v>2.8715837974362781</v>
      </c>
      <c r="AN23" s="216">
        <v>2.7470096948562706</v>
      </c>
      <c r="AO23" s="216">
        <v>1.6289069904378128</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18.419269843782072</v>
      </c>
      <c r="AK25" s="216">
        <v>20.499818545492463</v>
      </c>
      <c r="AL25" s="216">
        <v>25.242858582578467</v>
      </c>
      <c r="AM25" s="216">
        <v>19.728272324654863</v>
      </c>
      <c r="AN25" s="216">
        <v>14.778369829009277</v>
      </c>
      <c r="AO25" s="216">
        <v>13.950539679676663</v>
      </c>
      <c r="AP25" s="216">
        <v>14.715213507162684</v>
      </c>
      <c r="AQ25" s="216">
        <v>13.194590161650607</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28.096470520241958</v>
      </c>
      <c r="AK34" s="216">
        <v>28.096470520241958</v>
      </c>
      <c r="AL34" s="216">
        <v>28.096470520241958</v>
      </c>
      <c r="AM34" s="216">
        <v>28.096470520241958</v>
      </c>
      <c r="AN34" s="216">
        <v>28.096470520241958</v>
      </c>
      <c r="AO34" s="216">
        <v>28.096470520241958</v>
      </c>
      <c r="AP34" s="216">
        <v>28.096470520241958</v>
      </c>
      <c r="AQ34" s="216">
        <v>28.096470520241958</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0.8</v>
      </c>
      <c r="AK66" s="229">
        <v>0.8</v>
      </c>
      <c r="AL66" s="229">
        <v>0.8</v>
      </c>
      <c r="AM66" s="229">
        <v>0.8</v>
      </c>
      <c r="AN66" s="229">
        <v>0.8</v>
      </c>
      <c r="AO66" s="229">
        <v>0.8</v>
      </c>
      <c r="AP66" s="229">
        <v>0.8</v>
      </c>
      <c r="AQ66" s="229">
        <v>0.8</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-9.1861426614692644E-3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0.53504574557495777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9"/>
      <c r="I75" s="227">
        <v>1504.7586228342602</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1563.2202332630775</v>
      </c>
      <c r="J76" s="88"/>
      <c r="K76" s="103"/>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SPMW!I75</f>
        <v>3085.8929334015838</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SPMW!I76</f>
        <v>3486.7767371141863</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68.538279132083602</v>
      </c>
      <c r="AK98" s="227">
        <v>68.627463998030436</v>
      </c>
      <c r="AL98" s="227">
        <v>68.722622489022314</v>
      </c>
      <c r="AM98" s="227">
        <v>65.978730892913461</v>
      </c>
      <c r="AN98" s="227">
        <v>64.116724837786691</v>
      </c>
      <c r="AO98" s="227">
        <v>62.565010621918034</v>
      </c>
      <c r="AP98" s="227">
        <v>55.117521404364432</v>
      </c>
      <c r="AQ98" s="227">
        <v>52.729316043619754</v>
      </c>
    </row>
    <row r="99" spans="4:43" s="269" customFormat="1" ht="15" customHeight="1">
      <c r="E99" s="161" t="s">
        <v>797</v>
      </c>
      <c r="G99" s="269" t="s">
        <v>657</v>
      </c>
      <c r="I99" s="356"/>
      <c r="AJ99" s="227">
        <v>17.019566338071176</v>
      </c>
      <c r="AK99" s="227">
        <v>10.667373579352928</v>
      </c>
      <c r="AL99" s="227">
        <v>9.6236718978006728</v>
      </c>
      <c r="AM99" s="227">
        <v>9.4976133272736813</v>
      </c>
      <c r="AN99" s="227">
        <v>10.874352373553617</v>
      </c>
      <c r="AO99" s="227">
        <v>6.6238622605373969</v>
      </c>
      <c r="AP99" s="227">
        <v>6.4522992007471629</v>
      </c>
      <c r="AQ99" s="227">
        <v>5.8796403265532264</v>
      </c>
    </row>
    <row r="100" spans="4:43" s="269" customFormat="1" ht="15" customHeight="1">
      <c r="E100" s="161" t="str">
        <f>Input!E100</f>
        <v>Non-variant allowed faults</v>
      </c>
      <c r="G100" s="269" t="s">
        <v>657</v>
      </c>
      <c r="I100" s="356"/>
      <c r="AJ100" s="227">
        <v>23.392405597155225</v>
      </c>
      <c r="AK100" s="227">
        <v>22.888223330957207</v>
      </c>
      <c r="AL100" s="227">
        <v>22.346406685332955</v>
      </c>
      <c r="AM100" s="227">
        <v>21.815794339202881</v>
      </c>
      <c r="AN100" s="227">
        <v>21.284021068041106</v>
      </c>
      <c r="AO100" s="227">
        <v>20.798646074816531</v>
      </c>
      <c r="AP100" s="227">
        <v>20.481886872199759</v>
      </c>
      <c r="AQ100" s="227">
        <v>20.033149865790548</v>
      </c>
    </row>
    <row r="101" spans="4:43" s="269" customFormat="1" ht="15" customHeight="1">
      <c r="E101" s="161" t="s">
        <v>726</v>
      </c>
      <c r="G101" s="269" t="s">
        <v>657</v>
      </c>
      <c r="I101" s="356"/>
      <c r="AJ101" s="227">
        <v>6.5186738728521991</v>
      </c>
      <c r="AK101" s="227">
        <v>6.9183578883683623</v>
      </c>
      <c r="AL101" s="227">
        <v>7.2104426322030246</v>
      </c>
      <c r="AM101" s="227">
        <v>6.406195806692951</v>
      </c>
      <c r="AN101" s="227">
        <v>6.7883403347943911</v>
      </c>
      <c r="AO101" s="227">
        <v>7.0705012083540604</v>
      </c>
      <c r="AP101" s="227">
        <v>6.2897272554224424</v>
      </c>
      <c r="AQ101" s="227">
        <v>6.6586742244203601</v>
      </c>
    </row>
    <row r="102" spans="4:43" s="269" customFormat="1" ht="15" customHeight="1">
      <c r="E102" s="161" t="str">
        <f>Input!E102</f>
        <v>Non-variant allowed 100% ‘revenue pool’ expenditure</v>
      </c>
      <c r="G102" s="269" t="s">
        <v>657</v>
      </c>
      <c r="I102" s="356"/>
      <c r="AJ102" s="227">
        <v>11.279459406461084</v>
      </c>
      <c r="AK102" s="227">
        <v>11.04406692378155</v>
      </c>
      <c r="AL102" s="227">
        <v>10.845713679718607</v>
      </c>
      <c r="AM102" s="227">
        <v>10.524886329455374</v>
      </c>
      <c r="AN102" s="227">
        <v>10.572283306901477</v>
      </c>
      <c r="AO102" s="227">
        <v>10.207921995138292</v>
      </c>
      <c r="AP102" s="227">
        <v>9.7245963692786574</v>
      </c>
      <c r="AQ102" s="227">
        <v>9.5414186891313086</v>
      </c>
    </row>
    <row r="103" spans="4:43" s="269" customFormat="1" ht="15" customHeight="1">
      <c r="E103" s="161" t="s">
        <v>796</v>
      </c>
      <c r="G103" s="269" t="s">
        <v>657</v>
      </c>
      <c r="I103" s="356"/>
      <c r="AJ103" s="227">
        <v>60.050329673263384</v>
      </c>
      <c r="AK103" s="227">
        <v>59.676510925816771</v>
      </c>
      <c r="AL103" s="227">
        <v>59.130553515837569</v>
      </c>
      <c r="AM103" s="227">
        <v>58.563506372818814</v>
      </c>
      <c r="AN103" s="227">
        <v>58.491239005071222</v>
      </c>
      <c r="AO103" s="227">
        <v>58.775225624022028</v>
      </c>
      <c r="AP103" s="227">
        <v>59.253393342191039</v>
      </c>
      <c r="AQ103" s="227">
        <v>58.737986687594443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0.92886218342680327</v>
      </c>
      <c r="AK109" s="229">
        <v>0.93031953869587691</v>
      </c>
      <c r="AL109" s="229">
        <v>0.93206302574473443</v>
      </c>
      <c r="AM109" s="229">
        <v>0.93470194798039308</v>
      </c>
      <c r="AN109" s="229">
        <v>0.93234770968628</v>
      </c>
      <c r="AO109" s="229">
        <v>0.93163476494621744</v>
      </c>
      <c r="AP109" s="229">
        <v>0.92906570644157427</v>
      </c>
      <c r="AQ109" s="229">
        <v>0.92900981365451041</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7.1137816573196733E-2</v>
      </c>
      <c r="AK113" s="229">
        <v>6.9680461304123087E-2</v>
      </c>
      <c r="AL113" s="229">
        <v>6.793697425526557E-2</v>
      </c>
      <c r="AM113" s="229">
        <v>6.5298052019606923E-2</v>
      </c>
      <c r="AN113" s="229">
        <v>6.7652290313719998E-2</v>
      </c>
      <c r="AO113" s="229">
        <v>6.8365235053782558E-2</v>
      </c>
      <c r="AP113" s="229">
        <v>7.0934293558425732E-2</v>
      </c>
      <c r="AQ113" s="229">
        <v>7.0990186345489592E-2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0.24527778329299962</v>
      </c>
      <c r="AK117" s="229">
        <v>0.24619164733371995</v>
      </c>
      <c r="AL117" s="229">
        <v>0.24612608561542029</v>
      </c>
      <c r="AM117" s="229">
        <v>0.24604581848452978</v>
      </c>
      <c r="AN117" s="229">
        <v>0.24597394563695396</v>
      </c>
      <c r="AO117" s="229">
        <v>0.24541680294476911</v>
      </c>
      <c r="AP117" s="229">
        <v>0.24615347240926802</v>
      </c>
      <c r="AQ117" s="229">
        <v>0.2460983980634491</v>
      </c>
    </row>
    <row r="118" spans="5:43" s="269" customFormat="1" ht="15" customHeight="1">
      <c r="E118" s="357" t="str">
        <f>Input!E118</f>
        <v>Allocation to non-load related capex - asset replacement</v>
      </c>
      <c r="G118" s="269" t="s">
        <v>47</v>
      </c>
      <c r="I118" s="147"/>
      <c r="AJ118" s="229">
        <v>0.73638954699833614</v>
      </c>
      <c r="AK118" s="229">
        <v>0.73974106973128673</v>
      </c>
      <c r="AL118" s="229">
        <v>0.74006386931670509</v>
      </c>
      <c r="AM118" s="229">
        <v>0.73976963722706013</v>
      </c>
      <c r="AN118" s="229">
        <v>0.73937961882426029</v>
      </c>
      <c r="AO118" s="229">
        <v>0.73857065112160547</v>
      </c>
      <c r="AP118" s="229">
        <v>0.74043686891086846</v>
      </c>
      <c r="AQ118" s="229">
        <v>0.74033593395636998</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1.8332669708664207E-2</v>
      </c>
      <c r="AK122" s="229">
        <v>1.4067282934993264E-2</v>
      </c>
      <c r="AL122" s="229">
        <v>1.3810045067874643E-2</v>
      </c>
      <c r="AM122" s="229">
        <v>1.4184544288410095E-2</v>
      </c>
      <c r="AN122" s="229">
        <v>1.4646435538785751E-2</v>
      </c>
      <c r="AO122" s="229">
        <v>1.6012545933625444E-2</v>
      </c>
      <c r="AP122" s="229">
        <v>1.3409658679863545E-2</v>
      </c>
      <c r="AQ122" s="229">
        <v>1.3565667980180884E-2</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1</v>
      </c>
      <c r="AK128" s="229">
        <v>1</v>
      </c>
      <c r="AL128" s="229">
        <v>1</v>
      </c>
      <c r="AM128" s="229">
        <v>1</v>
      </c>
      <c r="AN128" s="229">
        <v>1</v>
      </c>
      <c r="AO128" s="229">
        <v>1</v>
      </c>
      <c r="AP128" s="229">
        <v>1</v>
      </c>
      <c r="AQ128" s="229">
        <v>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0</v>
      </c>
      <c r="AK131" s="229">
        <v>0</v>
      </c>
      <c r="AL131" s="229">
        <v>0</v>
      </c>
      <c r="AM131" s="229">
        <v>0</v>
      </c>
      <c r="AN131" s="229">
        <v>0</v>
      </c>
      <c r="AO131" s="229">
        <v>0</v>
      </c>
      <c r="AP131" s="229">
        <v>0</v>
      </c>
      <c r="AQ131" s="229">
        <v>0</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1.056406431474342</v>
      </c>
      <c r="AK143" s="213">
        <f t="shared" si="8"/>
        <v>1.8548086977444895</v>
      </c>
      <c r="AL143" s="213">
        <f t="shared" si="8"/>
        <v>2.3317897287940208</v>
      </c>
      <c r="AM143" s="213">
        <f t="shared" si="8"/>
        <v>2.8715837974362781</v>
      </c>
      <c r="AN143" s="213">
        <f t="shared" si="8"/>
        <v>2.7470096948562706</v>
      </c>
      <c r="AO143" s="213">
        <f t="shared" si="8"/>
        <v>1.6289069904378128</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0.12831107276168702</v>
      </c>
      <c r="AK149" s="229">
        <v>0.1474052849345866</v>
      </c>
      <c r="AL149" s="229">
        <v>0.14985737675321162</v>
      </c>
      <c r="AM149" s="229">
        <v>0.14654323599454719</v>
      </c>
      <c r="AN149" s="229">
        <v>0.1512881394499799</v>
      </c>
      <c r="AO149" s="229">
        <v>0.15581029474499819</v>
      </c>
      <c r="AP149" s="229">
        <v>0</v>
      </c>
      <c r="AQ149" s="229">
        <v>0</v>
      </c>
    </row>
    <row r="150" spans="5:43" s="269" customFormat="1" ht="15" customHeight="1">
      <c r="E150" s="357" t="str">
        <f>Input!E150</f>
        <v>Allocation to controllable opex</v>
      </c>
      <c r="G150" s="269" t="s">
        <v>47</v>
      </c>
      <c r="I150" s="147"/>
      <c r="AJ150" s="229">
        <v>0.87168892723831304</v>
      </c>
      <c r="AK150" s="229">
        <v>0.85259471506541329</v>
      </c>
      <c r="AL150" s="229">
        <v>0.85014262324678846</v>
      </c>
      <c r="AM150" s="229">
        <v>0.85345676400545267</v>
      </c>
      <c r="AN150" s="229">
        <v>0.84871186055002013</v>
      </c>
      <c r="AO150" s="229">
        <v>0.84418970525500192</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0.45631902603113372</v>
      </c>
      <c r="AK153" s="229">
        <v>0.45687519458093739</v>
      </c>
      <c r="AL153" s="229">
        <v>0.45736595913136252</v>
      </c>
      <c r="AM153" s="229">
        <v>0.4578656176886009</v>
      </c>
      <c r="AN153" s="229">
        <v>0.45839392420862146</v>
      </c>
      <c r="AO153" s="229">
        <v>0.45891079806225843</v>
      </c>
      <c r="AP153" s="229">
        <v>0.45941631953581546</v>
      </c>
      <c r="AQ153" s="229">
        <v>0.45991057083874792</v>
      </c>
    </row>
    <row r="154" spans="5:43" s="269" customFormat="1" ht="15" customHeight="1">
      <c r="E154" s="357" t="str">
        <f>Input!E154</f>
        <v>Allocation to non-load related capex - asset replacement</v>
      </c>
      <c r="G154" s="269" t="s">
        <v>47</v>
      </c>
      <c r="I154" s="147"/>
      <c r="AJ154" s="229">
        <v>0.16753135131039965</v>
      </c>
      <c r="AK154" s="229">
        <v>0.16826291341892191</v>
      </c>
      <c r="AL154" s="229">
        <v>0.16903974888796952</v>
      </c>
      <c r="AM154" s="229">
        <v>0.16977868118624667</v>
      </c>
      <c r="AN154" s="229">
        <v>0.170529840512921</v>
      </c>
      <c r="AO154" s="229">
        <v>0.1712806947494353</v>
      </c>
      <c r="AP154" s="229">
        <v>0.17203120315494957</v>
      </c>
      <c r="AQ154" s="229">
        <v>0.17278132559463194</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0.33216401160603071</v>
      </c>
      <c r="AK156" s="229">
        <v>0.3309070680439925</v>
      </c>
      <c r="AL156" s="229">
        <v>0.32965272362438575</v>
      </c>
      <c r="AM156" s="229">
        <v>0.3284307045198992</v>
      </c>
      <c r="AN156" s="229">
        <v>0.3271905114409816</v>
      </c>
      <c r="AO156" s="229">
        <v>0.32596224281883884</v>
      </c>
      <c r="AP156" s="229">
        <v>0.32474584449830485</v>
      </c>
      <c r="AQ156" s="229">
        <v>0.32354125996387234</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4.3985611052435987E-2</v>
      </c>
      <c r="AK159" s="229">
        <v>4.3954823956148199E-2</v>
      </c>
      <c r="AL159" s="229">
        <v>4.3941568356282219E-2</v>
      </c>
      <c r="AM159" s="229">
        <v>4.3924996605253258E-2</v>
      </c>
      <c r="AN159" s="229">
        <v>4.3885723837476028E-2</v>
      </c>
      <c r="AO159" s="229">
        <v>4.3846264369467397E-2</v>
      </c>
      <c r="AP159" s="229">
        <v>4.3806632810930071E-2</v>
      </c>
      <c r="AQ159" s="229">
        <v>4.3766843602747837E-2</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18.419269843782072</v>
      </c>
      <c r="AK161" s="213">
        <f t="shared" ref="AK161:AQ161" si="10">AK25</f>
        <v>20.499818545492463</v>
      </c>
      <c r="AL161" s="213">
        <f t="shared" si="10"/>
        <v>25.242858582578467</v>
      </c>
      <c r="AM161" s="213">
        <f t="shared" si="10"/>
        <v>19.728272324654863</v>
      </c>
      <c r="AN161" s="213">
        <f t="shared" si="10"/>
        <v>14.778369829009277</v>
      </c>
      <c r="AO161" s="213">
        <f t="shared" si="10"/>
        <v>13.950539679676663</v>
      </c>
      <c r="AP161" s="213">
        <f t="shared" si="10"/>
        <v>14.715213507162684</v>
      </c>
      <c r="AQ161" s="213">
        <f t="shared" si="10"/>
        <v>13.194590161650607</v>
      </c>
    </row>
    <row r="162" spans="5:43" s="269" customFormat="1" ht="15" customHeight="1">
      <c r="E162" s="357" t="str">
        <f>Input!E162</f>
        <v>Allocation to load related capex</v>
      </c>
      <c r="G162" s="269" t="s">
        <v>47</v>
      </c>
      <c r="I162" s="147"/>
      <c r="AJ162" s="229">
        <v>0.97890417040702415</v>
      </c>
      <c r="AK162" s="229">
        <v>0.97853558779790595</v>
      </c>
      <c r="AL162" s="229">
        <v>0.97947358099192927</v>
      </c>
      <c r="AM162" s="229">
        <v>0.97844381066500385</v>
      </c>
      <c r="AN162" s="229">
        <v>0.97669500727072123</v>
      </c>
      <c r="AO162" s="229">
        <v>0.97669848009359317</v>
      </c>
      <c r="AP162" s="229">
        <v>0.97482843286221088</v>
      </c>
      <c r="AQ162" s="229">
        <v>0.97348916019503695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2.1095829592975845E-2</v>
      </c>
      <c r="AK167" s="229">
        <v>2.1464412202094052E-2</v>
      </c>
      <c r="AL167" s="229">
        <v>2.0526419008070729E-2</v>
      </c>
      <c r="AM167" s="229">
        <v>2.1556189334996145E-2</v>
      </c>
      <c r="AN167" s="229">
        <v>2.3304992729278773E-2</v>
      </c>
      <c r="AO167" s="229">
        <v>2.3301519906406831E-2</v>
      </c>
      <c r="AP167" s="229">
        <v>2.5171567137789119E-2</v>
      </c>
      <c r="AQ167" s="229">
        <v>2.6510839804963049E-2</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0.98898325010819765</v>
      </c>
      <c r="AK172" s="229">
        <v>0.98542697090572817</v>
      </c>
      <c r="AL172" s="229">
        <v>0.98670726225611638</v>
      </c>
      <c r="AM172" s="229">
        <v>0.98665629884913453</v>
      </c>
      <c r="AN172" s="229">
        <v>0.9851029321051884</v>
      </c>
      <c r="AO172" s="229">
        <v>0.986783277778435</v>
      </c>
      <c r="AP172" s="229">
        <v>0.98606378359262548</v>
      </c>
      <c r="AQ172" s="229">
        <v>0.98547753515873304</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1.1016749891802347E-2</v>
      </c>
      <c r="AK176" s="229">
        <v>1.4573029094271828E-2</v>
      </c>
      <c r="AL176" s="229">
        <v>1.329273774388362E-2</v>
      </c>
      <c r="AM176" s="229">
        <v>1.3343701150865472E-2</v>
      </c>
      <c r="AN176" s="229">
        <v>1.48970678948116E-2</v>
      </c>
      <c r="AO176" s="229">
        <v>1.3216722221565003E-2</v>
      </c>
      <c r="AP176" s="229">
        <v>1.3936216407374524E-2</v>
      </c>
      <c r="AQ176" s="229">
        <v>1.4522464841266958E-2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0.98898325010819765</v>
      </c>
      <c r="AK226" s="229">
        <v>0.98542697090572817</v>
      </c>
      <c r="AL226" s="229">
        <v>0.98670726225611638</v>
      </c>
      <c r="AM226" s="229">
        <v>0.98665629884913453</v>
      </c>
      <c r="AN226" s="229">
        <v>0.9851029321051884</v>
      </c>
      <c r="AO226" s="229">
        <v>0.986783277778435</v>
      </c>
      <c r="AP226" s="229">
        <v>0.98606378359262548</v>
      </c>
      <c r="AQ226" s="229">
        <v>0.98547753515873304</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1.1016749891802347E-2</v>
      </c>
      <c r="AK230" s="229">
        <v>1.4573029094271828E-2</v>
      </c>
      <c r="AL230" s="229">
        <v>1.329273774388362E-2</v>
      </c>
      <c r="AM230" s="229">
        <v>1.3343701150865472E-2</v>
      </c>
      <c r="AN230" s="229">
        <v>1.48970678948116E-2</v>
      </c>
      <c r="AO230" s="229">
        <v>1.3216722221565003E-2</v>
      </c>
      <c r="AP230" s="229">
        <v>1.3936216407374524E-2</v>
      </c>
      <c r="AQ230" s="229">
        <v>1.4522464841266958E-2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18.030700065930606</v>
      </c>
      <c r="AK242" s="150">
        <f t="shared" ref="AK242:AQ242" si="19">(AK$107*AK108)+(AK$116*AK117)+(AK$125*AK126)+(AK$134*AK135)+(AK$143*AK144)+(AK$152*AK153)+(AK$161*AK162)+(AK$170*AK171)+(AK$179*AK180)+(AK$197*AK198)+(AK$188*AK189)+(AK206*AK207)+(AK215*AK216)+(AK$224*AK225)+(AK$233*AK234)</f>
        <v>20.05980199016388</v>
      </c>
      <c r="AL242" s="150">
        <f t="shared" si="19"/>
        <v>24.724713090350988</v>
      </c>
      <c r="AM242" s="150">
        <f t="shared" si="19"/>
        <v>19.303005951172238</v>
      </c>
      <c r="AN242" s="150">
        <f t="shared" si="19"/>
        <v>14.433960027593622</v>
      </c>
      <c r="AO242" s="150">
        <f t="shared" si="19"/>
        <v>13.625470901625558</v>
      </c>
      <c r="AP242" s="150">
        <f t="shared" si="19"/>
        <v>14.344808522420237</v>
      </c>
      <c r="AQ242" s="150">
        <f t="shared" si="19"/>
        <v>12.844790495582947</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0.52411842034628386</v>
      </c>
      <c r="AK247" s="150">
        <f t="shared" ref="AK247:AQ247" si="24">(AK$107*AK113)+(AK$116*AK122)+(AK$125*AK131)+(AK$134*AK140)+(AK$143*AK149)+(AK$152*AK158)+(AK$161*AK167)+(AK$170*AK176)+(AK$179*AK185)+(AK$197*AK203)+(AK$188*AK194)+(AK206*AK212)+(AK215*AK221)+(AK$224*AK230)+(AK$233*AK239)</f>
        <v>0.71342515991875843</v>
      </c>
      <c r="AL247" s="150">
        <f t="shared" si="24"/>
        <v>0.8675813841246347</v>
      </c>
      <c r="AM247" s="150">
        <f t="shared" si="24"/>
        <v>0.84607755558844722</v>
      </c>
      <c r="AN247" s="150">
        <f t="shared" si="24"/>
        <v>0.75999978720151617</v>
      </c>
      <c r="AO247" s="150">
        <f t="shared" si="24"/>
        <v>0.57886925634340769</v>
      </c>
      <c r="AP247" s="150">
        <f t="shared" si="24"/>
        <v>0.37040498474244676</v>
      </c>
      <c r="AQ247" s="150">
        <f t="shared" si="24"/>
        <v>0.34979966606766077</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0.92085778897952364</v>
      </c>
      <c r="AK248" s="150">
        <f t="shared" ref="AK248:AQ248" si="25">(AK$107*AK114)+(AK$116*AK123)+(AK$125*AK132)+(AK$134*AK141)+(AK$143*AK150)+(AK$152*AK159)+(AK$161*AK168)+(AK$170*AK177)+(AK$179*AK186)+(AK$197*AK204)+(AK$188*AK195)+(AK206*AK213)+(AK215*AK222)+(AK$224*AK231)+(AK$233*AK240)</f>
        <v>1.5814000931543133</v>
      </c>
      <c r="AL248" s="150">
        <f t="shared" si="25"/>
        <v>1.9823538368968663</v>
      </c>
      <c r="AM248" s="150">
        <f t="shared" si="25"/>
        <v>2.4507726153304552</v>
      </c>
      <c r="AN248" s="150">
        <f t="shared" si="25"/>
        <v>2.3314197090704085</v>
      </c>
      <c r="AO248" s="150">
        <f t="shared" si="25"/>
        <v>1.3751065121455095</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42.153818838946499</v>
      </c>
      <c r="AK262" s="227">
        <v>41.615113901808883</v>
      </c>
      <c r="AL262" s="227">
        <v>41.436404767957811</v>
      </c>
      <c r="AM262" s="227">
        <v>41.111549366471792</v>
      </c>
      <c r="AN262" s="227">
        <v>40.92098356893252</v>
      </c>
      <c r="AO262" s="227">
        <v>40.658848200000001</v>
      </c>
      <c r="AP262" s="227">
        <v>40.26</v>
      </c>
      <c r="AQ262" s="227">
        <v>40.26</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21.648252885683096</v>
      </c>
      <c r="AK263" s="227">
        <v>22.133587222888451</v>
      </c>
      <c r="AL263" s="227">
        <v>22.36506464825133</v>
      </c>
      <c r="AM263" s="227">
        <v>22.092184796541588</v>
      </c>
      <c r="AN263" s="227">
        <v>21.809583718332956</v>
      </c>
      <c r="AO263" s="227">
        <v>22.119093808513639</v>
      </c>
      <c r="AP263" s="227">
        <v>21.830140298712603</v>
      </c>
      <c r="AQ263" s="227">
        <v>21.525744540851314</v>
      </c>
    </row>
    <row r="264" spans="2:44" ht="15" customHeight="1">
      <c r="E264" s="19" t="s">
        <v>105</v>
      </c>
      <c r="G264" s="19" t="s">
        <v>657</v>
      </c>
      <c r="AJ264" s="165">
        <f>SUM(AJ262:AJ263)</f>
        <v>63.802071724629599</v>
      </c>
      <c r="AK264" s="165">
        <f t="shared" ref="AK264:AQ264" si="31">SUM(AK262:AK263)</f>
        <v>63.748701124697334</v>
      </c>
      <c r="AL264" s="165">
        <f t="shared" si="31"/>
        <v>63.801469416209144</v>
      </c>
      <c r="AM264" s="165">
        <f t="shared" si="31"/>
        <v>63.20373416301338</v>
      </c>
      <c r="AN264" s="165">
        <f t="shared" si="31"/>
        <v>62.730567287265472</v>
      </c>
      <c r="AO264" s="165">
        <f t="shared" si="31"/>
        <v>62.777942008513641</v>
      </c>
      <c r="AP264" s="165">
        <f t="shared" si="31"/>
        <v>62.090140298712598</v>
      </c>
      <c r="AQ264" s="165">
        <f t="shared" si="31"/>
        <v>61.785744540851312</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28.096470520241958</v>
      </c>
      <c r="AK268" s="213">
        <f t="shared" si="33"/>
        <v>28.096470520241958</v>
      </c>
      <c r="AL268" s="213">
        <f t="shared" si="33"/>
        <v>28.096470520241958</v>
      </c>
      <c r="AM268" s="213">
        <f t="shared" si="33"/>
        <v>28.096470520241958</v>
      </c>
      <c r="AN268" s="213">
        <f t="shared" si="33"/>
        <v>28.096470520241958</v>
      </c>
      <c r="AO268" s="213">
        <f t="shared" si="33"/>
        <v>28.096470520241958</v>
      </c>
      <c r="AP268" s="213">
        <f t="shared" si="33"/>
        <v>28.096470520241958</v>
      </c>
      <c r="AQ268" s="213">
        <f t="shared" si="33"/>
        <v>28.096470520241958</v>
      </c>
      <c r="AR268" s="155"/>
    </row>
    <row r="269" spans="2:44" ht="15" customHeight="1">
      <c r="E269" s="378"/>
    </row>
    <row r="270" spans="2:44" ht="15" customHeight="1">
      <c r="E270" s="378" t="str">
        <f>Input!E270</f>
        <v>Other legacy adjustments' Revenue adjustment from previous controls</v>
      </c>
      <c r="G270" s="19" t="s">
        <v>657</v>
      </c>
      <c r="H270" s="378"/>
      <c r="I270" s="219">
        <v>30.830546153074231</v>
      </c>
      <c r="AJ270" s="421">
        <f>($I$270/8)</f>
        <v>3.8538182691342788</v>
      </c>
      <c r="AK270" s="423">
        <f>($I$270/8)*(1+$AK$53)</f>
        <v>3.9986254905969991</v>
      </c>
      <c r="AL270" s="423">
        <f>($I$270/8)*(1+$AK$53)*(1+$AL$53)</f>
        <v>4.1488738434061814</v>
      </c>
      <c r="AM270" s="423">
        <f>($I$270/8)*(1+$AK$53)*(1+$AL$53)*(1+$AM$53)</f>
        <v>4.3047677780721685</v>
      </c>
      <c r="AN270" s="423">
        <f>($I$270/8)*(1+$AK$53)*(1+$AL$53)*(1+$AM$53)*(1+$AN$53)</f>
        <v>4.46651942733323</v>
      </c>
      <c r="AO270" s="423">
        <f>($I$270/8)*(1+$AK$53)*(1+$AL$53)*(1+$AM$53)*(1+$AN$53)*(1+$AO$53)</f>
        <v>4.6343488948152753</v>
      </c>
      <c r="AP270" s="423">
        <f>($I$270/8)*(1+$AK$53)*(1+$AL$53)*(1+$AM$53)*(1+$AN$53)*(1+$AO$53)*(1+$AP$53)</f>
        <v>4.8084845545379586</v>
      </c>
      <c r="AQ270" s="424">
        <f>($I$270/8)*(1+$AK$53)*(1+$AL$53)*(1+$AM$53)*(1+$AN$53)*(1+$AO$53)*(1+$AP$53)*(1+$AQ$53)</f>
        <v>4.9891633616747217</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3.8538182691342788</v>
      </c>
      <c r="AK272" s="165">
        <f t="shared" ref="AK272:AQ272" si="34">AK270+AK271</f>
        <v>3.9986254905969991</v>
      </c>
      <c r="AL272" s="165">
        <f t="shared" si="34"/>
        <v>4.1488738434061814</v>
      </c>
      <c r="AM272" s="165">
        <f t="shared" si="34"/>
        <v>4.3047677780721685</v>
      </c>
      <c r="AN272" s="165">
        <f t="shared" si="34"/>
        <v>4.46651942733323</v>
      </c>
      <c r="AO272" s="165">
        <f t="shared" si="34"/>
        <v>4.6343488948152753</v>
      </c>
      <c r="AP272" s="165">
        <f t="shared" si="34"/>
        <v>4.8084845545379586</v>
      </c>
      <c r="AQ272" s="165">
        <f t="shared" si="34"/>
        <v>4.9891633616747217</v>
      </c>
    </row>
    <row r="273" spans="5:43" ht="15" customHeight="1">
      <c r="E273" s="378"/>
    </row>
    <row r="274" spans="5:43" ht="15" customHeight="1">
      <c r="E274" s="378" t="str">
        <f>Input!E274</f>
        <v>RAV Rolling Incentive legacy adjustments' price control allowed revenue</v>
      </c>
      <c r="G274" s="378" t="str">
        <f>Input!G274</f>
        <v>£m 12/13 prices</v>
      </c>
      <c r="I274" s="219">
        <v>12.214021286861913</v>
      </c>
      <c r="AJ274" s="422">
        <f>($I$274/8)</f>
        <v>1.5267526608577391</v>
      </c>
      <c r="AK274" s="423">
        <f>($I$274/8)*(1+$AK$53)</f>
        <v>1.5841203920894684</v>
      </c>
      <c r="AL274" s="423">
        <f>($I$274/8)*(1+$AK$53)*(1+$AL$53)</f>
        <v>1.6436437158222301</v>
      </c>
      <c r="AM274" s="423">
        <f>($I$274/8)*(1+$AK$53)*(1+$AL$53)*(1+$AM$53)</f>
        <v>1.7054036284442502</v>
      </c>
      <c r="AN274" s="423">
        <f>($I$274/8)*(1+$AK$53)*(1+$AL$53)*(1+$AM$53)*(1+$AN$53)</f>
        <v>1.7694841697830428</v>
      </c>
      <c r="AO274" s="423">
        <f>($I$274/8)*(1+$AK$53)*(1+$AL$53)*(1+$AM$53)*(1+$AN$53)*(1+$AO$53)</f>
        <v>1.8359725374626406</v>
      </c>
      <c r="AP274" s="423">
        <f>($I$274/8)*(1+$AK$53)*(1+$AL$53)*(1+$AM$53)*(1+$AN$53)*(1+$AO$53)*(1+$AP$53)</f>
        <v>1.9049592055577991</v>
      </c>
      <c r="AQ274" s="424">
        <f>($I$274/8)*(1+$AK$53)*(1+$AL$53)*(1+$AM$53)*(1+$AN$53)*(1+$AO$53)*(1+$AP$53)*(1+$AQ$53)</f>
        <v>1.9765380477066332</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1.5267526608577391</v>
      </c>
      <c r="AK276" s="165">
        <f t="shared" ref="AK276:AQ276" si="35">AK274+AK275</f>
        <v>1.5841203920894684</v>
      </c>
      <c r="AL276" s="165">
        <f t="shared" si="35"/>
        <v>1.6436437158222301</v>
      </c>
      <c r="AM276" s="165">
        <f t="shared" si="35"/>
        <v>1.7054036284442502</v>
      </c>
      <c r="AN276" s="165">
        <f t="shared" si="35"/>
        <v>1.7694841697830428</v>
      </c>
      <c r="AO276" s="165">
        <f t="shared" si="35"/>
        <v>1.8359725374626406</v>
      </c>
      <c r="AP276" s="165">
        <f t="shared" si="35"/>
        <v>1.9049592055577991</v>
      </c>
      <c r="AQ276" s="165">
        <f t="shared" si="35"/>
        <v>1.9765380477066332</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v>2.6370504477544512</v>
      </c>
      <c r="AK278" s="227">
        <v>2.7362035445900186</v>
      </c>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10.655040327775916</v>
      </c>
      <c r="AK280" s="227">
        <v>-17.174771713653442</v>
      </c>
      <c r="AL280" s="227">
        <v>0</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0.7</v>
      </c>
      <c r="AK283" s="219">
        <v>0.7</v>
      </c>
      <c r="AL283" s="219">
        <v>0.7</v>
      </c>
      <c r="AM283" s="219">
        <v>0.7</v>
      </c>
      <c r="AN283" s="219">
        <v>0.7</v>
      </c>
      <c r="AO283" s="219">
        <v>0.7</v>
      </c>
      <c r="AP283" s="219">
        <v>0.7</v>
      </c>
      <c r="AQ283" s="219">
        <v>0.7</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0.7</v>
      </c>
      <c r="AK285" s="165">
        <f t="shared" ref="AK285:AQ285" si="36">SUM(AK283,AK284)</f>
        <v>0.7</v>
      </c>
      <c r="AL285" s="165">
        <f t="shared" si="36"/>
        <v>0.7</v>
      </c>
      <c r="AM285" s="165">
        <f t="shared" si="36"/>
        <v>0.7</v>
      </c>
      <c r="AN285" s="165">
        <f t="shared" si="36"/>
        <v>0.7</v>
      </c>
      <c r="AO285" s="165">
        <f t="shared" si="36"/>
        <v>0.7</v>
      </c>
      <c r="AP285" s="165">
        <f t="shared" si="36"/>
        <v>0.7</v>
      </c>
      <c r="AQ285" s="165">
        <f t="shared" si="36"/>
        <v>0.7</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1.69</v>
      </c>
      <c r="AK287" s="219">
        <v>1.69</v>
      </c>
      <c r="AL287" s="219">
        <v>1.69</v>
      </c>
      <c r="AM287" s="219">
        <v>1.69</v>
      </c>
      <c r="AN287" s="219">
        <v>1.69</v>
      </c>
      <c r="AO287" s="219">
        <v>1.69</v>
      </c>
      <c r="AP287" s="219">
        <v>1.69</v>
      </c>
      <c r="AQ287" s="219">
        <v>1.69</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-1.26</v>
      </c>
      <c r="AK288" s="219">
        <v>-1.26</v>
      </c>
      <c r="AL288" s="219">
        <v>-1.26</v>
      </c>
      <c r="AM288" s="219">
        <v>-1.26</v>
      </c>
      <c r="AN288" s="219">
        <v>-1.26</v>
      </c>
      <c r="AO288" s="219">
        <v>-1.26</v>
      </c>
      <c r="AP288" s="219">
        <v>-1.26</v>
      </c>
      <c r="AQ288" s="219">
        <v>-1.26</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0.42999999999999994</v>
      </c>
      <c r="AK289" s="165">
        <f t="shared" ref="AK289:AQ289" si="37">SUM(AK287,AK288)</f>
        <v>0.42999999999999994</v>
      </c>
      <c r="AL289" s="165">
        <f t="shared" si="37"/>
        <v>0.42999999999999994</v>
      </c>
      <c r="AM289" s="165">
        <f t="shared" si="37"/>
        <v>0.42999999999999994</v>
      </c>
      <c r="AN289" s="165">
        <f t="shared" si="37"/>
        <v>0.42999999999999994</v>
      </c>
      <c r="AO289" s="165">
        <f t="shared" si="37"/>
        <v>0.42999999999999994</v>
      </c>
      <c r="AP289" s="165">
        <f t="shared" si="37"/>
        <v>0.42999999999999994</v>
      </c>
      <c r="AQ289" s="165">
        <f t="shared" si="37"/>
        <v>0.42999999999999994</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61.715219814624199</v>
      </c>
      <c r="AK293" s="219">
        <v>39.796724600056564</v>
      </c>
      <c r="AL293" s="219">
        <v>31.268829570683096</v>
      </c>
      <c r="AM293" s="219">
        <v>29.16005130826699</v>
      </c>
      <c r="AN293" s="219">
        <v>27.323982445717043</v>
      </c>
      <c r="AO293" s="219">
        <v>23.959211393741931</v>
      </c>
      <c r="AP293" s="219">
        <v>25.460327638763047</v>
      </c>
      <c r="AQ293" s="219">
        <v>23.342307119694844</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-59.847270820894195</v>
      </c>
      <c r="AK294" s="219">
        <v>-38.59942858085347</v>
      </c>
      <c r="AL294" s="219">
        <v>-30.401327851547318</v>
      </c>
      <c r="AM294" s="219">
        <v>-28.372026090460068</v>
      </c>
      <c r="AN294" s="219">
        <v>-26.608002118634904</v>
      </c>
      <c r="AO294" s="219">
        <v>-23.373112746448012</v>
      </c>
      <c r="AP294" s="219">
        <v>-24.812366176114907</v>
      </c>
      <c r="AQ294" s="219">
        <v>-22.771363329198355</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1.8679489937300033</v>
      </c>
      <c r="AK295" s="165">
        <f t="shared" si="38"/>
        <v>1.1972960192030939</v>
      </c>
      <c r="AL295" s="165">
        <f t="shared" si="38"/>
        <v>0.86750171913577745</v>
      </c>
      <c r="AM295" s="165">
        <f t="shared" si="38"/>
        <v>0.78802521780692203</v>
      </c>
      <c r="AN295" s="165">
        <f t="shared" si="38"/>
        <v>0.71598032708213921</v>
      </c>
      <c r="AO295" s="165">
        <f t="shared" si="38"/>
        <v>0.58609864729391958</v>
      </c>
      <c r="AP295" s="165">
        <f t="shared" si="38"/>
        <v>0.6479614626481407</v>
      </c>
      <c r="AQ295" s="165">
        <f t="shared" si="38"/>
        <v>0.57094379049648936</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1.5771412799999998</v>
      </c>
      <c r="AK297" s="219">
        <v>1.4712908364000001</v>
      </c>
      <c r="AL297" s="219">
        <v>1.4565779280359996</v>
      </c>
      <c r="AM297" s="219">
        <v>1.3390112809873798</v>
      </c>
      <c r="AN297" s="219">
        <v>1.165381246749456</v>
      </c>
      <c r="AO297" s="219">
        <v>0.98066831913966712</v>
      </c>
      <c r="AP297" s="219">
        <v>0.97086163594827068</v>
      </c>
      <c r="AQ297" s="219">
        <v>1.0035568292765285</v>
      </c>
    </row>
    <row r="298" spans="4:43" ht="15" customHeight="1">
      <c r="E298" s="378" t="str">
        <f>Input!E298</f>
        <v>Connection projects UMC (DRS 1) costs</v>
      </c>
      <c r="G298" s="147" t="str">
        <f>Input!G298</f>
        <v>£m 12/13 prices</v>
      </c>
      <c r="AE298" s="219">
        <v>0</v>
      </c>
      <c r="AF298" s="219">
        <v>0</v>
      </c>
      <c r="AG298" s="219">
        <v>0</v>
      </c>
      <c r="AH298" s="219">
        <v>0</v>
      </c>
      <c r="AI298" s="219">
        <v>0</v>
      </c>
      <c r="AJ298" s="219">
        <v>-1.5238080000000001</v>
      </c>
      <c r="AK298" s="219">
        <v>-1.42153704</v>
      </c>
      <c r="AL298" s="219">
        <v>-1.4073216695999997</v>
      </c>
      <c r="AM298" s="219">
        <v>-1.2937307062679999</v>
      </c>
      <c r="AN298" s="219">
        <v>-1.1259722190815999</v>
      </c>
      <c r="AO298" s="219">
        <v>-0.94750562235716618</v>
      </c>
      <c r="AP298" s="219">
        <v>-0.9380305661335947</v>
      </c>
      <c r="AQ298" s="219">
        <v>-0.96962012490485838</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5.3333279999999705E-2</v>
      </c>
      <c r="AK299" s="165">
        <f t="shared" si="39"/>
        <v>4.9753796400000105E-2</v>
      </c>
      <c r="AL299" s="165">
        <f t="shared" si="39"/>
        <v>4.92562584359999E-2</v>
      </c>
      <c r="AM299" s="165">
        <f t="shared" si="39"/>
        <v>4.5280574719379851E-2</v>
      </c>
      <c r="AN299" s="165">
        <f t="shared" si="39"/>
        <v>3.9409027667856034E-2</v>
      </c>
      <c r="AO299" s="165">
        <f t="shared" si="39"/>
        <v>3.3162696782500944E-2</v>
      </c>
      <c r="AP299" s="165">
        <f t="shared" si="39"/>
        <v>3.2831069814675984E-2</v>
      </c>
      <c r="AQ299" s="165">
        <f t="shared" si="39"/>
        <v>3.3936704371670068E-2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6.93</v>
      </c>
      <c r="AK301" s="219">
        <v>6.8606999999999987</v>
      </c>
      <c r="AL301" s="219">
        <v>6.7920929999999986</v>
      </c>
      <c r="AM301" s="219">
        <v>6.7241720699999989</v>
      </c>
      <c r="AN301" s="219">
        <v>6.6569303492999987</v>
      </c>
      <c r="AO301" s="219">
        <v>6.5903610458069979</v>
      </c>
      <c r="AP301" s="219">
        <v>6.5244574353489284</v>
      </c>
      <c r="AQ301" s="219">
        <v>5.9978405137814788</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-7.179993780935245</v>
      </c>
      <c r="AK302" s="219">
        <v>-7.106590425664578</v>
      </c>
      <c r="AL302" s="219">
        <v>-7.0339235762791832</v>
      </c>
      <c r="AM302" s="219">
        <v>-6.9619858868926272</v>
      </c>
      <c r="AN302" s="219">
        <v>-6.8907700851716385</v>
      </c>
      <c r="AO302" s="219">
        <v>-6.8202689716000107</v>
      </c>
      <c r="AP302" s="219">
        <v>-6.7504754187497982</v>
      </c>
      <c r="AQ302" s="219">
        <v>-6.2442561515716815</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-0.24999378093524527</v>
      </c>
      <c r="AK303" s="165">
        <f t="shared" ref="AK303:AQ303" si="41">SUM(AK301,AK302)</f>
        <v>-0.2458904256645793</v>
      </c>
      <c r="AL303" s="165">
        <f t="shared" si="41"/>
        <v>-0.24183057627918458</v>
      </c>
      <c r="AM303" s="165">
        <f t="shared" si="41"/>
        <v>-0.23781381689262826</v>
      </c>
      <c r="AN303" s="165">
        <f t="shared" si="41"/>
        <v>-0.23383973587163975</v>
      </c>
      <c r="AO303" s="165">
        <f t="shared" si="41"/>
        <v>-0.22990792579301278</v>
      </c>
      <c r="AP303" s="165">
        <f t="shared" si="41"/>
        <v>-0.22601798340086976</v>
      </c>
      <c r="AQ303" s="165">
        <f t="shared" si="41"/>
        <v>-0.2464156377902027</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3.4649999999999999</v>
      </c>
      <c r="AK305" s="219">
        <v>3.4303499999999993</v>
      </c>
      <c r="AL305" s="219">
        <v>3.3960464999999993</v>
      </c>
      <c r="AM305" s="219">
        <v>3.3620860349999995</v>
      </c>
      <c r="AN305" s="219">
        <v>3.3284651746499994</v>
      </c>
      <c r="AO305" s="219">
        <v>3.2951805229034989</v>
      </c>
      <c r="AP305" s="219">
        <v>3.2622287176744642</v>
      </c>
      <c r="AQ305" s="219">
        <v>3.2296064304977192</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-2.9695036007571702</v>
      </c>
      <c r="AK306" s="219">
        <v>-2.9391454229600424</v>
      </c>
      <c r="AL306" s="219">
        <v>-2.9090918494487989</v>
      </c>
      <c r="AM306" s="219">
        <v>-2.8793398421099141</v>
      </c>
      <c r="AN306" s="219">
        <v>-2.8498863932499998</v>
      </c>
      <c r="AO306" s="219">
        <v>-2.8207285252913636</v>
      </c>
      <c r="AP306" s="219">
        <v>-2.7918632904705958</v>
      </c>
      <c r="AQ306" s="219">
        <v>-2.7446636692475339</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0.49549639924282962</v>
      </c>
      <c r="AK307" s="165">
        <f t="shared" ref="AK307:AQ307" si="43">SUM(AK305,AK306)</f>
        <v>0.4912045770399569</v>
      </c>
      <c r="AL307" s="165">
        <f t="shared" si="43"/>
        <v>0.48695465055120035</v>
      </c>
      <c r="AM307" s="165">
        <f t="shared" si="43"/>
        <v>0.48274619289008536</v>
      </c>
      <c r="AN307" s="165">
        <f t="shared" si="43"/>
        <v>0.47857878139999954</v>
      </c>
      <c r="AO307" s="165">
        <f t="shared" si="43"/>
        <v>0.4744519976121353</v>
      </c>
      <c r="AP307" s="165">
        <f t="shared" si="43"/>
        <v>0.47036542720386842</v>
      </c>
      <c r="AQ307" s="165">
        <f t="shared" si="43"/>
        <v>0.48494276125018532</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0.59</v>
      </c>
      <c r="AK313" s="219">
        <v>0.59</v>
      </c>
      <c r="AL313" s="219">
        <v>0.59</v>
      </c>
      <c r="AM313" s="219">
        <v>0.59</v>
      </c>
      <c r="AN313" s="219">
        <v>0.59</v>
      </c>
      <c r="AO313" s="219">
        <v>0.59</v>
      </c>
      <c r="AP313" s="219">
        <v>0.59</v>
      </c>
      <c r="AQ313" s="219">
        <v>0.59</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-0.83550261830758366</v>
      </c>
      <c r="AK314" s="219">
        <v>-0.83531415137537379</v>
      </c>
      <c r="AL314" s="219">
        <v>-0.8351240742720174</v>
      </c>
      <c r="AM314" s="219">
        <v>-0.83493237599745995</v>
      </c>
      <c r="AN314" s="219">
        <v>-0.83473904552835698</v>
      </c>
      <c r="AO314" s="219">
        <v>-0.83454407181912349</v>
      </c>
      <c r="AP314" s="219">
        <v>-0.83434744380300097</v>
      </c>
      <c r="AQ314" s="219">
        <v>-0.82852712345997992</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-0.24550261830758369</v>
      </c>
      <c r="AK315" s="165">
        <f t="shared" ref="AK315:AQ315" si="47">SUM(AK313,AK314)</f>
        <v>-0.24531415137537382</v>
      </c>
      <c r="AL315" s="165">
        <f t="shared" si="47"/>
        <v>-0.24512407427201743</v>
      </c>
      <c r="AM315" s="165">
        <f t="shared" si="47"/>
        <v>-0.24493237599745998</v>
      </c>
      <c r="AN315" s="165">
        <f t="shared" si="47"/>
        <v>-0.24473904552835701</v>
      </c>
      <c r="AO315" s="165">
        <f t="shared" si="47"/>
        <v>-0.24454407181912352</v>
      </c>
      <c r="AP315" s="165">
        <f t="shared" si="47"/>
        <v>-0.244347443803001</v>
      </c>
      <c r="AQ315" s="165">
        <f t="shared" si="47"/>
        <v>-0.23852712345997995</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8.1970337146398133</v>
      </c>
      <c r="AK317" s="219">
        <v>6.1664724920826508</v>
      </c>
      <c r="AL317" s="219">
        <v>4.1569262779024232</v>
      </c>
      <c r="AM317" s="219">
        <v>2.18060626411047</v>
      </c>
      <c r="AN317" s="219">
        <v>0.76448244528219611</v>
      </c>
      <c r="AO317" s="219">
        <v>0.16188296796079901</v>
      </c>
      <c r="AP317" s="219">
        <v>0.15614465199980612</v>
      </c>
      <c r="AQ317" s="219">
        <v>0.15122968716688243</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-3.5139585909585431</v>
      </c>
      <c r="AK318" s="219">
        <v>-3.7517736614880284</v>
      </c>
      <c r="AL318" s="219">
        <v>-2.7087939907494052</v>
      </c>
      <c r="AM318" s="219">
        <v>-1.9467758443568957</v>
      </c>
      <c r="AN318" s="219">
        <v>-1.5343324558415126</v>
      </c>
      <c r="AO318" s="219">
        <v>-1.3358586367035177</v>
      </c>
      <c r="AP318" s="219">
        <v>-0.91321549818206116</v>
      </c>
      <c r="AQ318" s="219">
        <v>-0.86347180322235717</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4.6830751236812702</v>
      </c>
      <c r="AK319" s="165">
        <f t="shared" ref="AK319:AQ319" si="49">SUM(AK317,AK318)</f>
        <v>2.4146988305946224</v>
      </c>
      <c r="AL319" s="165">
        <f t="shared" si="49"/>
        <v>1.448132287153018</v>
      </c>
      <c r="AM319" s="165">
        <f t="shared" si="49"/>
        <v>0.23383041975357433</v>
      </c>
      <c r="AN319" s="165">
        <f t="shared" si="49"/>
        <v>-0.76985001055931646</v>
      </c>
      <c r="AO319" s="165">
        <f t="shared" si="49"/>
        <v>-1.1739756687427187</v>
      </c>
      <c r="AP319" s="165">
        <f t="shared" si="49"/>
        <v>-0.75707084618225506</v>
      </c>
      <c r="AQ319" s="165">
        <f t="shared" si="49"/>
        <v>-0.71224211605547472</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2.1009204058530613</v>
      </c>
      <c r="AK321" s="219">
        <v>1.5804824454497548</v>
      </c>
      <c r="AL321" s="219">
        <v>1.0654306846724697</v>
      </c>
      <c r="AM321" s="219">
        <v>0.55889488281822963</v>
      </c>
      <c r="AN321" s="219">
        <v>0.19593877799249562</v>
      </c>
      <c r="AO321" s="219">
        <v>4.1491012796675365E-2</v>
      </c>
      <c r="AP321" s="219">
        <v>4.0020267949530133E-2</v>
      </c>
      <c r="AQ321" s="219">
        <v>3.8760550072184145E-2</v>
      </c>
    </row>
    <row r="322" spans="5:43" ht="15" customHeight="1">
      <c r="E322" s="378" t="str">
        <f>Input!E322</f>
        <v>Metering services (legacy)  costs</v>
      </c>
      <c r="G322" s="147" t="str">
        <f>Input!G322</f>
        <v>£m 12/13 prices</v>
      </c>
      <c r="AE322" s="219">
        <v>0</v>
      </c>
      <c r="AF322" s="219">
        <v>0</v>
      </c>
      <c r="AG322" s="219">
        <v>0</v>
      </c>
      <c r="AH322" s="219">
        <v>0</v>
      </c>
      <c r="AI322" s="219">
        <v>0</v>
      </c>
      <c r="AJ322" s="219">
        <v>-0.39864639785939032</v>
      </c>
      <c r="AK322" s="219">
        <v>-0.30289304074694073</v>
      </c>
      <c r="AL322" s="219">
        <v>-0.20642652289451624</v>
      </c>
      <c r="AM322" s="219">
        <v>-0.10957967504673766</v>
      </c>
      <c r="AN322" s="219">
        <v>-3.8857105702239922E-2</v>
      </c>
      <c r="AO322" s="219">
        <v>-8.288392033377244E-3</v>
      </c>
      <c r="AP322" s="219">
        <v>-8.1426139723433481E-3</v>
      </c>
      <c r="AQ322" s="219">
        <v>-7.8863089320516683E-3</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1.7022740079936709</v>
      </c>
      <c r="AK323" s="165">
        <f t="shared" ref="AK323:AQ323" si="51">SUM(AK321,AK322)</f>
        <v>1.277589404702814</v>
      </c>
      <c r="AL323" s="165">
        <f t="shared" si="51"/>
        <v>0.85900416177795347</v>
      </c>
      <c r="AM323" s="165">
        <f t="shared" si="51"/>
        <v>0.44931520777149198</v>
      </c>
      <c r="AN323" s="165">
        <f t="shared" si="51"/>
        <v>0.15708167229025571</v>
      </c>
      <c r="AO323" s="165">
        <f t="shared" si="51"/>
        <v>3.3202620763298121E-2</v>
      </c>
      <c r="AP323" s="165">
        <f t="shared" si="51"/>
        <v>3.1877653977186782E-2</v>
      </c>
      <c r="AQ323" s="165">
        <f t="shared" si="51"/>
        <v>3.0874241140132479E-2</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0.15082928792730363</v>
      </c>
      <c r="AK325" s="219">
        <v>0.31769960430571914</v>
      </c>
      <c r="AL325" s="219">
        <v>0.42348815253484318</v>
      </c>
      <c r="AM325" s="219">
        <v>0.53108081690375597</v>
      </c>
      <c r="AN325" s="219">
        <v>0.50627850784543516</v>
      </c>
      <c r="AO325" s="219">
        <v>0.30687962410717406</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-0.15082928792730363</v>
      </c>
      <c r="AK326" s="219">
        <v>-0.31769960430571914</v>
      </c>
      <c r="AL326" s="219">
        <v>-0.42348815253484318</v>
      </c>
      <c r="AM326" s="219">
        <v>-0.53108081690375597</v>
      </c>
      <c r="AN326" s="219">
        <v>-0.50627850784543516</v>
      </c>
      <c r="AO326" s="219">
        <v>-0.30687962410717406</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0.2</v>
      </c>
      <c r="AK329" s="219">
        <v>0.2</v>
      </c>
      <c r="AL329" s="219">
        <v>0.2</v>
      </c>
      <c r="AM329" s="219">
        <v>0.2</v>
      </c>
      <c r="AN329" s="219">
        <v>0.2</v>
      </c>
      <c r="AO329" s="219">
        <v>0.2</v>
      </c>
      <c r="AP329" s="219">
        <v>0.2</v>
      </c>
      <c r="AQ329" s="219">
        <v>0.2</v>
      </c>
    </row>
    <row r="330" spans="5:43" ht="15" customHeight="1">
      <c r="E330" s="378" t="str">
        <f>Input!E330</f>
        <v>De Minimis Activities costs</v>
      </c>
      <c r="G330" s="147" t="str">
        <f>Input!G330</f>
        <v>£m 12/13 prices</v>
      </c>
      <c r="AE330" s="219">
        <v>0</v>
      </c>
      <c r="AF330" s="219">
        <v>0</v>
      </c>
      <c r="AG330" s="219">
        <v>0</v>
      </c>
      <c r="AH330" s="219">
        <v>0</v>
      </c>
      <c r="AI330" s="219">
        <v>0</v>
      </c>
      <c r="AJ330" s="219">
        <v>0</v>
      </c>
      <c r="AK330" s="219">
        <v>0</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0.2</v>
      </c>
      <c r="AK331" s="165">
        <f t="shared" ref="AK331:AQ331" si="55">SUM(AK329,AK330)</f>
        <v>0.2</v>
      </c>
      <c r="AL331" s="165">
        <f t="shared" si="55"/>
        <v>0.2</v>
      </c>
      <c r="AM331" s="165">
        <f t="shared" si="55"/>
        <v>0.2</v>
      </c>
      <c r="AN331" s="165">
        <f t="shared" si="55"/>
        <v>0.2</v>
      </c>
      <c r="AO331" s="165">
        <f t="shared" si="55"/>
        <v>0.2</v>
      </c>
      <c r="AP331" s="165">
        <f t="shared" si="55"/>
        <v>0.2</v>
      </c>
      <c r="AQ331" s="165">
        <f t="shared" si="55"/>
        <v>0.2</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8.5066314054049439</v>
      </c>
      <c r="AK345" s="165">
        <f t="shared" ref="AK345:AQ345" si="63">AK295+AK299+AK303+AK307+AK311+AK315+AK319+AK323+AK327+AK331+AK335+AK339+AK343</f>
        <v>5.1393380509005349</v>
      </c>
      <c r="AL345" s="165">
        <f t="shared" si="63"/>
        <v>3.4238944265027471</v>
      </c>
      <c r="AM345" s="165">
        <f t="shared" si="63"/>
        <v>1.7164514200513652</v>
      </c>
      <c r="AN345" s="165">
        <f t="shared" si="63"/>
        <v>0.34262101648093729</v>
      </c>
      <c r="AO345" s="165">
        <f t="shared" si="63"/>
        <v>-0.32151170390300104</v>
      </c>
      <c r="AP345" s="165">
        <f t="shared" si="63"/>
        <v>0.15559934025774608</v>
      </c>
      <c r="AQ345" s="165">
        <f t="shared" si="63"/>
        <v>0.12351261995281987</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20</v>
      </c>
    </row>
    <row r="352" spans="2:43" ht="15" customHeight="1">
      <c r="E352" s="25" t="str">
        <f>Input!E352</f>
        <v>Pre vesting asset depn in first year (mths)</v>
      </c>
      <c r="G352" s="147" t="s">
        <v>551</v>
      </c>
      <c r="I352" s="227">
        <v>12</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29.909515708354693</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38</v>
      </c>
      <c r="L359" s="227">
        <v>38</v>
      </c>
      <c r="M359" s="227">
        <v>38</v>
      </c>
      <c r="N359" s="227">
        <v>38</v>
      </c>
      <c r="O359" s="227">
        <v>38</v>
      </c>
      <c r="P359" s="227">
        <v>38</v>
      </c>
      <c r="Q359" s="227">
        <v>38</v>
      </c>
      <c r="R359" s="227">
        <v>38</v>
      </c>
      <c r="S359" s="227">
        <v>38</v>
      </c>
      <c r="T359" s="227">
        <v>38</v>
      </c>
      <c r="U359" s="227">
        <v>38</v>
      </c>
      <c r="V359" s="227">
        <v>38</v>
      </c>
      <c r="W359" s="227">
        <v>38</v>
      </c>
      <c r="X359" s="227">
        <v>38</v>
      </c>
      <c r="Y359" s="227">
        <v>38</v>
      </c>
      <c r="Z359" s="227">
        <v>38</v>
      </c>
      <c r="AA359" s="227">
        <v>38</v>
      </c>
      <c r="AB359" s="227">
        <v>38</v>
      </c>
      <c r="AC359" s="227">
        <v>38</v>
      </c>
      <c r="AD359" s="227">
        <v>38</v>
      </c>
      <c r="AE359" s="227">
        <v>38</v>
      </c>
      <c r="AF359" s="227">
        <v>38</v>
      </c>
      <c r="AG359" s="227">
        <v>38</v>
      </c>
      <c r="AH359" s="227">
        <v>38</v>
      </c>
      <c r="AI359" s="287">
        <v>38</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117.86306868867081</v>
      </c>
      <c r="L363" s="219">
        <v>99.06660544681742</v>
      </c>
      <c r="M363" s="219">
        <v>95.523009917615553</v>
      </c>
      <c r="N363" s="219">
        <v>101.3776460093404</v>
      </c>
      <c r="O363" s="219">
        <v>91.517206275909103</v>
      </c>
      <c r="P363" s="219">
        <v>97.371842367633931</v>
      </c>
      <c r="Q363" s="219">
        <v>75.493991709083275</v>
      </c>
      <c r="R363" s="219">
        <v>83.505598992496189</v>
      </c>
      <c r="S363" s="219">
        <v>92.486178820416256</v>
      </c>
      <c r="T363" s="219">
        <v>85.750240456868042</v>
      </c>
      <c r="U363" s="219">
        <v>90.690898920128433</v>
      </c>
      <c r="V363" s="219">
        <v>117.92244428468726</v>
      </c>
      <c r="W363" s="219">
        <v>109.16284074201347</v>
      </c>
      <c r="X363" s="219">
        <v>109.28079188929992</v>
      </c>
      <c r="Y363" s="219">
        <v>96.804620302078717</v>
      </c>
      <c r="Z363" s="219">
        <v>98.321926090178408</v>
      </c>
      <c r="AA363" s="219">
        <v>111.27326129074613</v>
      </c>
      <c r="AB363" s="219">
        <v>120.46559139217909</v>
      </c>
      <c r="AC363" s="219">
        <v>118.1320594397455</v>
      </c>
      <c r="AD363" s="219">
        <v>97.965333403213322</v>
      </c>
      <c r="AE363" s="219">
        <v>121.81292040003692</v>
      </c>
      <c r="AF363" s="219">
        <v>133.90374751586461</v>
      </c>
      <c r="AG363" s="219">
        <v>129.57473626123698</v>
      </c>
      <c r="AH363" s="419">
        <v>149.35185847288119</v>
      </c>
      <c r="AI363" s="227">
        <v>156.36263602401223</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E371" s="19"/>
      <c r="AF371" s="19"/>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F374" s="363"/>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c r="AH384" s="378"/>
      <c r="AI384" s="378"/>
      <c r="AJ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24.428082895958628</v>
      </c>
      <c r="AI385" s="378"/>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2.7599244345720209</v>
      </c>
      <c r="AI386" s="227">
        <v>2.5342585558475363</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913.99000469817338</v>
      </c>
      <c r="AI389" s="227"/>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27">
        <v>71.782415855389317</v>
      </c>
      <c r="AI390" s="227">
        <v>71.528982121378419</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0</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0</v>
      </c>
      <c r="AI394" s="227">
        <v>0</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416">
        <v>0</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416">
        <v>0</v>
      </c>
      <c r="AI398" s="416">
        <v>0</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416">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43" s="155" customFormat="1">
      <c r="E409" s="93" t="str">
        <f>Input!E409</f>
        <v>Non-Load Related capex - other</v>
      </c>
      <c r="G409" s="155" t="s">
        <v>47</v>
      </c>
      <c r="AJ409" s="289">
        <v>0.90532770535101126</v>
      </c>
      <c r="AK409" s="289">
        <v>0.90532770535101126</v>
      </c>
      <c r="AL409" s="289">
        <v>0.90532770535101126</v>
      </c>
      <c r="AM409" s="289">
        <v>0.90532770535101126</v>
      </c>
      <c r="AN409" s="289">
        <v>0.90532770535101126</v>
      </c>
      <c r="AO409" s="289">
        <v>0.90532770535101126</v>
      </c>
      <c r="AP409" s="289">
        <v>0.90532770535101126</v>
      </c>
      <c r="AQ409" s="289">
        <v>0.90532770535101126</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4.442182204535694E-2</v>
      </c>
      <c r="AK413" s="289">
        <v>4.442182204535694E-2</v>
      </c>
      <c r="AL413" s="289">
        <v>4.442182204535694E-2</v>
      </c>
      <c r="AM413" s="289">
        <v>4.442182204535694E-2</v>
      </c>
      <c r="AN413" s="289">
        <v>4.442182204535694E-2</v>
      </c>
      <c r="AO413" s="289">
        <v>4.442182204535694E-2</v>
      </c>
      <c r="AP413" s="289">
        <v>4.442182204535694E-2</v>
      </c>
      <c r="AQ413" s="289">
        <v>4.442182204535694E-2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0.89717064392856394</v>
      </c>
      <c r="AK417" s="289">
        <v>0.89717064392856394</v>
      </c>
      <c r="AL417" s="289">
        <v>0.89717064392856394</v>
      </c>
      <c r="AM417" s="289">
        <v>0.89717064392856394</v>
      </c>
      <c r="AN417" s="289">
        <v>0.89717064392856394</v>
      </c>
      <c r="AO417" s="289">
        <v>0.89717064392856394</v>
      </c>
      <c r="AP417" s="289">
        <v>0.89717064392856394</v>
      </c>
      <c r="AQ417" s="289">
        <v>0.89717064392856394</v>
      </c>
    </row>
    <row r="418" spans="4:43" s="155" customFormat="1">
      <c r="E418" s="93" t="str">
        <f>Input!E418</f>
        <v>Non-load related capex - asset replacement</v>
      </c>
      <c r="G418" s="155" t="s">
        <v>47</v>
      </c>
      <c r="AJ418" s="289">
        <v>0.94787790184526066</v>
      </c>
      <c r="AK418" s="289">
        <v>0.94787790184526066</v>
      </c>
      <c r="AL418" s="289">
        <v>0.94787790184526066</v>
      </c>
      <c r="AM418" s="289">
        <v>0.94787790184526066</v>
      </c>
      <c r="AN418" s="289">
        <v>0.94787790184526066</v>
      </c>
      <c r="AO418" s="289">
        <v>0.94787790184526066</v>
      </c>
      <c r="AP418" s="289">
        <v>0.94787790184526066</v>
      </c>
      <c r="AQ418" s="289">
        <v>0.94787790184526066</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0.76813875208824334</v>
      </c>
      <c r="AK420" s="289">
        <v>0.76813875208824334</v>
      </c>
      <c r="AL420" s="289">
        <v>0.76813875208824334</v>
      </c>
      <c r="AM420" s="289">
        <v>0.76813875208824334</v>
      </c>
      <c r="AN420" s="289">
        <v>0.76813875208824334</v>
      </c>
      <c r="AO420" s="289">
        <v>0.76813875208824334</v>
      </c>
      <c r="AP420" s="289">
        <v>0.76813875208824334</v>
      </c>
      <c r="AQ420" s="289">
        <v>0.76813875208824334</v>
      </c>
    </row>
    <row r="421" spans="4:43" s="155" customFormat="1">
      <c r="E421" s="269" t="s">
        <v>719</v>
      </c>
      <c r="G421" s="155" t="s">
        <v>47</v>
      </c>
      <c r="AJ421" s="289">
        <v>0.35916270502758246</v>
      </c>
      <c r="AK421" s="289">
        <v>0.35916270502758246</v>
      </c>
      <c r="AL421" s="289">
        <v>0.35916270502758246</v>
      </c>
      <c r="AM421" s="289">
        <v>0.35916270502758246</v>
      </c>
      <c r="AN421" s="289">
        <v>0.35916270502758246</v>
      </c>
      <c r="AO421" s="289">
        <v>0.35916270502758246</v>
      </c>
      <c r="AP421" s="289">
        <v>0.35916270502758246</v>
      </c>
      <c r="AQ421" s="289">
        <v>0.35916270502758246</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0.48865066755915754</v>
      </c>
      <c r="AK423" s="289">
        <v>0.48865066755915754</v>
      </c>
      <c r="AL423" s="289">
        <v>0.48865066755915754</v>
      </c>
      <c r="AM423" s="289">
        <v>0.48865066755915754</v>
      </c>
      <c r="AN423" s="289">
        <v>0.48865066755915754</v>
      </c>
      <c r="AO423" s="289">
        <v>0.48865066755915754</v>
      </c>
      <c r="AP423" s="289">
        <v>0.48865066755915754</v>
      </c>
      <c r="AQ423" s="289">
        <v>0.48865066755915754</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0"/>
      <c r="AL426" s="230"/>
      <c r="AM426" s="230"/>
      <c r="AN426" s="230"/>
      <c r="AO426" s="230"/>
      <c r="AP426" s="230"/>
      <c r="AQ426" s="230"/>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v>
      </c>
      <c r="AK428" s="289">
        <v>0</v>
      </c>
      <c r="AL428" s="289">
        <v>0</v>
      </c>
      <c r="AM428" s="289">
        <v>0</v>
      </c>
      <c r="AN428" s="289">
        <v>0</v>
      </c>
      <c r="AO428" s="289">
        <v>0</v>
      </c>
      <c r="AP428" s="289">
        <v>0</v>
      </c>
      <c r="AQ428" s="289">
        <v>0</v>
      </c>
    </row>
    <row r="429" spans="4:43" s="155" customFormat="1">
      <c r="E429" s="93" t="str">
        <f>Input!E429</f>
        <v>Non-Load Related capex - other</v>
      </c>
      <c r="G429" s="155" t="s">
        <v>47</v>
      </c>
      <c r="AJ429" s="289">
        <v>0</v>
      </c>
      <c r="AK429" s="289">
        <v>0</v>
      </c>
      <c r="AL429" s="289">
        <v>0</v>
      </c>
      <c r="AM429" s="289">
        <v>0</v>
      </c>
      <c r="AN429" s="289">
        <v>0</v>
      </c>
      <c r="AO429" s="289">
        <v>0</v>
      </c>
      <c r="AP429" s="289">
        <v>0</v>
      </c>
      <c r="AQ429" s="289">
        <v>0</v>
      </c>
    </row>
    <row r="430" spans="4:43" s="155" customFormat="1">
      <c r="E430" s="155" t="str">
        <f>Input!E430</f>
        <v>Faults</v>
      </c>
      <c r="G430" s="155" t="s">
        <v>47</v>
      </c>
      <c r="AJ430" s="289">
        <v>0</v>
      </c>
      <c r="AK430" s="289">
        <v>0</v>
      </c>
      <c r="AL430" s="289">
        <v>0</v>
      </c>
      <c r="AM430" s="289">
        <v>0</v>
      </c>
      <c r="AN430" s="289">
        <v>0</v>
      </c>
      <c r="AO430" s="289">
        <v>0</v>
      </c>
      <c r="AP430" s="289">
        <v>0</v>
      </c>
      <c r="AQ430" s="289">
        <v>0</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v>
      </c>
      <c r="AK433" s="289">
        <v>0</v>
      </c>
      <c r="AL433" s="289">
        <v>0</v>
      </c>
      <c r="AM433" s="289">
        <v>0</v>
      </c>
      <c r="AN433" s="289">
        <v>0</v>
      </c>
      <c r="AO433" s="289">
        <v>0</v>
      </c>
      <c r="AP433" s="289">
        <v>0</v>
      </c>
      <c r="AQ433" s="289">
        <v>0</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0"/>
      <c r="AL436" s="230"/>
      <c r="AM436" s="230"/>
      <c r="AN436" s="230"/>
      <c r="AO436" s="230"/>
      <c r="AP436" s="230"/>
      <c r="AQ436" s="230"/>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0.23186124791175658</v>
      </c>
      <c r="AK440" s="289">
        <v>0.23186124791175658</v>
      </c>
      <c r="AL440" s="289">
        <v>0.23186124791175658</v>
      </c>
      <c r="AM440" s="289">
        <v>0.23186124791175658</v>
      </c>
      <c r="AN440" s="289">
        <v>0.23186124791175658</v>
      </c>
      <c r="AO440" s="289">
        <v>0.23186124791175658</v>
      </c>
      <c r="AP440" s="289">
        <v>0.23186124791175658</v>
      </c>
      <c r="AQ440" s="289">
        <v>0.23186124791175658</v>
      </c>
    </row>
    <row r="441" spans="4:43" s="155" customFormat="1">
      <c r="E441" s="269" t="s">
        <v>719</v>
      </c>
      <c r="G441" s="155" t="s">
        <v>47</v>
      </c>
      <c r="AJ441" s="289">
        <v>0.64083729497241748</v>
      </c>
      <c r="AK441" s="289">
        <v>0.64083729497241748</v>
      </c>
      <c r="AL441" s="289">
        <v>0.64083729497241748</v>
      </c>
      <c r="AM441" s="289">
        <v>0.64083729497241748</v>
      </c>
      <c r="AN441" s="289">
        <v>0.64083729497241748</v>
      </c>
      <c r="AO441" s="289">
        <v>0.64083729497241748</v>
      </c>
      <c r="AP441" s="289">
        <v>0.64083729497241748</v>
      </c>
      <c r="AQ441" s="289">
        <v>0.64083729497241748</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0.43575609172914587</v>
      </c>
      <c r="AK443" s="289">
        <v>0.43575609172914587</v>
      </c>
      <c r="AL443" s="289">
        <v>0.43575609172914587</v>
      </c>
      <c r="AM443" s="289">
        <v>0.43575609172914587</v>
      </c>
      <c r="AN443" s="289">
        <v>0.43575609172914587</v>
      </c>
      <c r="AO443" s="289">
        <v>0.43575609172914587</v>
      </c>
      <c r="AP443" s="289">
        <v>0.43575609172914587</v>
      </c>
      <c r="AQ443" s="289">
        <v>0.43575609172914587</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0"/>
      <c r="AL446" s="230"/>
      <c r="AM446" s="230"/>
      <c r="AN446" s="230"/>
      <c r="AO446" s="230"/>
      <c r="AP446" s="230"/>
      <c r="AQ446" s="230"/>
    </row>
    <row r="447" spans="4:43" s="155" customFormat="1">
      <c r="E447" s="93" t="str">
        <f>Input!E447</f>
        <v>Load Related</v>
      </c>
      <c r="G447" s="155" t="s">
        <v>47</v>
      </c>
      <c r="AJ447" s="289">
        <v>0.10282935607143617</v>
      </c>
      <c r="AK447" s="289">
        <v>0.10282935607143617</v>
      </c>
      <c r="AL447" s="289">
        <v>0.10282935607143617</v>
      </c>
      <c r="AM447" s="289">
        <v>0.10282935607143617</v>
      </c>
      <c r="AN447" s="289">
        <v>0.10282935607143617</v>
      </c>
      <c r="AO447" s="289">
        <v>0.10282935607143617</v>
      </c>
      <c r="AP447" s="289">
        <v>0.10282935607143617</v>
      </c>
      <c r="AQ447" s="289">
        <v>0.10282935607143617</v>
      </c>
    </row>
    <row r="448" spans="4:43" s="155" customFormat="1">
      <c r="E448" s="93" t="str">
        <f>Input!E448</f>
        <v>Non-load related capex - asset replacement</v>
      </c>
      <c r="G448" s="155" t="s">
        <v>47</v>
      </c>
      <c r="AJ448" s="289">
        <v>5.2122098154739373E-2</v>
      </c>
      <c r="AK448" s="289">
        <v>5.2122098154739373E-2</v>
      </c>
      <c r="AL448" s="289">
        <v>5.2122098154739373E-2</v>
      </c>
      <c r="AM448" s="289">
        <v>5.2122098154739373E-2</v>
      </c>
      <c r="AN448" s="289">
        <v>5.2122098154739373E-2</v>
      </c>
      <c r="AO448" s="289">
        <v>5.2122098154739373E-2</v>
      </c>
      <c r="AP448" s="289">
        <v>5.2122098154739373E-2</v>
      </c>
      <c r="AQ448" s="289">
        <v>5.2122098154739373E-2</v>
      </c>
    </row>
    <row r="449" spans="4:45" s="155" customFormat="1">
      <c r="E449" s="93" t="str">
        <f>Input!E449</f>
        <v>Non-Load Related capex - other</v>
      </c>
      <c r="G449" s="155" t="s">
        <v>47</v>
      </c>
      <c r="AJ449" s="289">
        <v>9.4672294648988825E-2</v>
      </c>
      <c r="AK449" s="289">
        <v>9.4672294648988825E-2</v>
      </c>
      <c r="AL449" s="289">
        <v>9.4672294648988825E-2</v>
      </c>
      <c r="AM449" s="289">
        <v>9.4672294648988825E-2</v>
      </c>
      <c r="AN449" s="289">
        <v>9.4672294648988825E-2</v>
      </c>
      <c r="AO449" s="289">
        <v>9.4672294648988825E-2</v>
      </c>
      <c r="AP449" s="289">
        <v>9.4672294648988825E-2</v>
      </c>
      <c r="AQ449" s="289">
        <v>9.4672294648988825E-2</v>
      </c>
    </row>
    <row r="450" spans="4:45" s="155" customFormat="1">
      <c r="E450" s="155" t="str">
        <f>Input!E450</f>
        <v>Faults</v>
      </c>
      <c r="G450" s="155" t="s">
        <v>47</v>
      </c>
      <c r="AJ450" s="289">
        <v>0</v>
      </c>
      <c r="AK450" s="289">
        <v>0</v>
      </c>
      <c r="AL450" s="289">
        <v>0</v>
      </c>
      <c r="AM450" s="289">
        <v>0</v>
      </c>
      <c r="AN450" s="289">
        <v>0</v>
      </c>
      <c r="AO450" s="289">
        <v>0</v>
      </c>
      <c r="AP450" s="289">
        <v>0</v>
      </c>
      <c r="AQ450" s="289">
        <v>0</v>
      </c>
    </row>
    <row r="451" spans="4:45" s="155" customFormat="1">
      <c r="E451" s="269" t="s">
        <v>719</v>
      </c>
      <c r="G451" s="155" t="s">
        <v>47</v>
      </c>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J453" s="289">
        <v>3.117141866633967E-2</v>
      </c>
      <c r="AK453" s="289">
        <v>3.117141866633967E-2</v>
      </c>
      <c r="AL453" s="289">
        <v>3.117141866633967E-2</v>
      </c>
      <c r="AM453" s="289">
        <v>3.117141866633967E-2</v>
      </c>
      <c r="AN453" s="289">
        <v>3.117141866633967E-2</v>
      </c>
      <c r="AO453" s="289">
        <v>3.117141866633967E-2</v>
      </c>
      <c r="AP453" s="289">
        <v>3.117141866633967E-2</v>
      </c>
      <c r="AQ453" s="289">
        <v>3.117141866633967E-2</v>
      </c>
    </row>
    <row r="454" spans="4:45" s="155" customFormat="1">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0.99999999999999989</v>
      </c>
      <c r="AK461" s="209">
        <f t="shared" si="66"/>
        <v>0.99999999999999989</v>
      </c>
      <c r="AL461" s="209">
        <f t="shared" si="66"/>
        <v>0.99999999999999989</v>
      </c>
      <c r="AM461" s="209">
        <f t="shared" si="66"/>
        <v>0.99999999999999989</v>
      </c>
      <c r="AN461" s="209">
        <f t="shared" si="66"/>
        <v>0.99999999999999989</v>
      </c>
      <c r="AO461" s="209">
        <f t="shared" si="66"/>
        <v>0.99999999999999989</v>
      </c>
      <c r="AP461" s="209">
        <f t="shared" si="66"/>
        <v>0.99999999999999989</v>
      </c>
      <c r="AQ461" s="209">
        <f t="shared" si="66"/>
        <v>0.99999999999999989</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1.1164757945665671</v>
      </c>
      <c r="AK468" s="219">
        <v>1.1460653653933126</v>
      </c>
      <c r="AL468" s="219">
        <v>1.1460616818608289</v>
      </c>
      <c r="AM468" s="219">
        <v>1.1460331049268258</v>
      </c>
      <c r="AN468" s="219">
        <v>1.14600712871749</v>
      </c>
      <c r="AO468" s="219">
        <v>1.1459931092446223</v>
      </c>
      <c r="AP468" s="219">
        <v>1.1459743801589992</v>
      </c>
      <c r="AQ468" s="219">
        <v>1.1459665827975871</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-4.3676337838638908</v>
      </c>
      <c r="AK472" s="227">
        <v>-0.34538470416252709</v>
      </c>
      <c r="AL472" s="227">
        <v>-1.7392561485519171</v>
      </c>
      <c r="AM472" s="227">
        <v>-1.5591724354319898</v>
      </c>
      <c r="AN472" s="227">
        <v>-0.746321422679316</v>
      </c>
      <c r="AO472" s="227">
        <v>0.11865555905877967</v>
      </c>
      <c r="AP472" s="227">
        <v>2.5587909719901201</v>
      </c>
      <c r="AQ472" s="227">
        <v>6.1157456795488798</v>
      </c>
      <c r="AS472" s="155"/>
    </row>
    <row r="473" spans="2:45" ht="15" customHeight="1">
      <c r="E473" s="155" t="str">
        <f>Input!E473</f>
        <v>Time Value of Money Profile Adjustment</v>
      </c>
      <c r="G473" s="147" t="s">
        <v>657</v>
      </c>
      <c r="AJ473" s="227">
        <v>0.10266279198071701</v>
      </c>
      <c r="AK473" s="227">
        <v>0.21359616184713898</v>
      </c>
      <c r="AL473" s="227">
        <v>0.2628853721201429</v>
      </c>
      <c r="AM473" s="227">
        <v>0.34072038672395688</v>
      </c>
      <c r="AN473" s="227">
        <v>0.39525998887202712</v>
      </c>
      <c r="AO473" s="227">
        <v>0.41034909838179601</v>
      </c>
      <c r="AP473" s="227">
        <v>0.34766333144859091</v>
      </c>
      <c r="AQ473" s="227">
        <v>0.14380583746858822</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-5.4644200655072268</v>
      </c>
      <c r="AL482" s="227">
        <v>-5.9046415032883601</v>
      </c>
      <c r="AM482" s="227">
        <v>-8.0879455649808278</v>
      </c>
      <c r="AN482" s="227">
        <v>-10.047577293507175</v>
      </c>
      <c r="AO482" s="227">
        <v>-10.990935945699107</v>
      </c>
      <c r="AP482" s="227">
        <v>-10.850732450097212</v>
      </c>
      <c r="AQ482" s="227">
        <v>-7.6543685665026828</v>
      </c>
    </row>
    <row r="483" spans="2:43" ht="15" customHeight="1">
      <c r="E483" s="155" t="str">
        <f>Input!E483</f>
        <v>Profiling Impact on Actual Revenues</v>
      </c>
      <c r="AJ483" s="227">
        <v>-5.4644200655072268</v>
      </c>
      <c r="AK483" s="227">
        <v>-0.44022143778113332</v>
      </c>
      <c r="AL483" s="227">
        <v>-2.1833040616924677</v>
      </c>
      <c r="AM483" s="227">
        <v>-1.9596317285263467</v>
      </c>
      <c r="AN483" s="227">
        <v>-0.94335865219193238</v>
      </c>
      <c r="AO483" s="227">
        <v>0.14020349560189516</v>
      </c>
      <c r="AP483" s="227">
        <v>3.1963638835945289</v>
      </c>
      <c r="AQ483" s="227">
        <v>7.6543365598170112</v>
      </c>
    </row>
    <row r="484" spans="2:43" ht="15" customHeight="1">
      <c r="E484" s="155" t="str">
        <f>Input!E484</f>
        <v>Closing balance</v>
      </c>
      <c r="AJ484" s="227">
        <v>-5.4644200655072268</v>
      </c>
      <c r="AK484" s="227">
        <v>-5.9046415032883601</v>
      </c>
      <c r="AL484" s="227">
        <v>-8.0879455649808278</v>
      </c>
      <c r="AM484" s="227">
        <v>-10.047577293507175</v>
      </c>
      <c r="AN484" s="227">
        <v>-10.990935945699107</v>
      </c>
      <c r="AO484" s="227">
        <v>-10.850732450097212</v>
      </c>
      <c r="AP484" s="227">
        <v>-7.6543685665026828</v>
      </c>
      <c r="AQ484" s="227">
        <v>-3.2006685671603918E-5</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207.89679242808575</v>
      </c>
      <c r="AK490" s="227">
        <v>202.86992249646505</v>
      </c>
      <c r="AL490" s="227">
        <v>205.23183418368808</v>
      </c>
      <c r="AM490" s="227">
        <v>194.31232399011938</v>
      </c>
      <c r="AN490" s="227">
        <v>187.41753609874519</v>
      </c>
      <c r="AO490" s="227">
        <v>178.22912697461618</v>
      </c>
      <c r="AP490" s="227">
        <v>167.53992191292824</v>
      </c>
      <c r="AQ490" s="227">
        <v>161.26116474961231</v>
      </c>
    </row>
    <row r="491" spans="2:43" s="378" customFormat="1" ht="15" customHeight="1">
      <c r="E491" s="155" t="str">
        <f>Input!E491</f>
        <v>DNO Finance Totex Adjustments (DRS8/Disposals)</v>
      </c>
      <c r="G491" s="155" t="str">
        <f>Input!G491</f>
        <v>£m 12/13 prices</v>
      </c>
      <c r="I491" s="227">
        <f>-SUM(SPD!$AJ$285:$AQ$285)+SUM(SPD!$AJ$367:$AQ$367)</f>
        <v>-5.6000000000000005</v>
      </c>
    </row>
    <row r="492" spans="2:43" s="378" customFormat="1" ht="15" customHeight="1">
      <c r="E492" s="155" t="str">
        <f>Input!E492</f>
        <v>Group Finance Totex Adjustments (DRS8/Disposals)</v>
      </c>
      <c r="G492" s="155" t="str">
        <f>Input!G492</f>
        <v>£m 12/13 prices</v>
      </c>
      <c r="I492" s="227">
        <f>SPD!I491+SPMW!I491</f>
        <v>-7.12</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7" priority="1" operator="lessThan">
      <formula>1</formula>
    </cfRule>
    <cfRule type="cellIs" dxfId="6"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pageSetUpPr autoPageBreaks="0" fitToPage="1"/>
  </sheetPr>
  <dimension ref="A1:XDG511"/>
  <sheetViews>
    <sheetView zoomScale="70" zoomScaleNormal="70" workbookViewId="0">
      <pane xSplit="10" ySplit="7" topLeftCell="AJ461"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518</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518</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558</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558</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0.22591273019627856</v>
      </c>
      <c r="AK19" s="216">
        <v>0.22676025312765707</v>
      </c>
      <c r="AL19" s="216">
        <v>0.22750470546527934</v>
      </c>
      <c r="AM19" s="216">
        <v>0.22769275347622536</v>
      </c>
      <c r="AN19" s="216">
        <v>0.22899182296267295</v>
      </c>
      <c r="AO19" s="216">
        <v>0.23031060658169539</v>
      </c>
      <c r="AP19" s="216">
        <v>0.23164921524485929</v>
      </c>
      <c r="AQ19" s="216">
        <v>0.23300776259496264</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0.65132127725037314</v>
      </c>
      <c r="AK23" s="216">
        <v>1.2026410719795562</v>
      </c>
      <c r="AL23" s="216">
        <v>1.526244380377465</v>
      </c>
      <c r="AM23" s="216">
        <v>1.83257063735965</v>
      </c>
      <c r="AN23" s="216">
        <v>1.7544194062688263</v>
      </c>
      <c r="AO23" s="216">
        <v>1.0554112808887175</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28.044966125807392</v>
      </c>
      <c r="AK25" s="216">
        <v>23.648025948692197</v>
      </c>
      <c r="AL25" s="216">
        <v>19.811998664901893</v>
      </c>
      <c r="AM25" s="216">
        <v>15.609423829826806</v>
      </c>
      <c r="AN25" s="216">
        <v>14.281652435821904</v>
      </c>
      <c r="AO25" s="216">
        <v>22.952495674374326</v>
      </c>
      <c r="AP25" s="216">
        <v>23.748186811351104</v>
      </c>
      <c r="AQ25" s="216">
        <v>17.990478067950814</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27.670397132239557</v>
      </c>
      <c r="AK34" s="216">
        <v>27.670397132239557</v>
      </c>
      <c r="AL34" s="216">
        <v>27.670397132239557</v>
      </c>
      <c r="AM34" s="216">
        <v>27.670397132239557</v>
      </c>
      <c r="AN34" s="216">
        <v>27.670397132239557</v>
      </c>
      <c r="AO34" s="216">
        <v>27.670397132239557</v>
      </c>
      <c r="AP34" s="216">
        <v>27.670397132239557</v>
      </c>
      <c r="AQ34" s="216">
        <v>27.670397132239557</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0.8</v>
      </c>
      <c r="AK66" s="229">
        <v>0.8</v>
      </c>
      <c r="AL66" s="229">
        <v>0.8</v>
      </c>
      <c r="AM66" s="229">
        <v>0.8</v>
      </c>
      <c r="AN66" s="229">
        <v>0.8</v>
      </c>
      <c r="AO66" s="229">
        <v>0.8</v>
      </c>
      <c r="AP66" s="229">
        <v>0.8</v>
      </c>
      <c r="AQ66" s="229">
        <v>0.8</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-9.1861426614692661E-3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0.53504574557495777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1581.1343105673238</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1923.556503851109</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SPD!I75</f>
        <v>3085.8929334015838</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SPD!I76</f>
        <v>3486.7767371141863</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88.595224955040194</v>
      </c>
      <c r="AK98" s="227">
        <v>100.57240833978729</v>
      </c>
      <c r="AL98" s="227">
        <v>92.265622375208849</v>
      </c>
      <c r="AM98" s="227">
        <v>84.527156134249338</v>
      </c>
      <c r="AN98" s="227">
        <v>82.596546640518625</v>
      </c>
      <c r="AO98" s="227">
        <v>83.850821949630756</v>
      </c>
      <c r="AP98" s="227">
        <v>69.13244668201925</v>
      </c>
      <c r="AQ98" s="227">
        <v>56.948490621037976</v>
      </c>
    </row>
    <row r="99" spans="4:43" s="269" customFormat="1" ht="15" customHeight="1">
      <c r="E99" s="161" t="s">
        <v>797</v>
      </c>
      <c r="G99" s="269" t="s">
        <v>657</v>
      </c>
      <c r="I99" s="356"/>
      <c r="AJ99" s="227">
        <v>19.628249024994798</v>
      </c>
      <c r="AK99" s="227">
        <v>20.871282922735723</v>
      </c>
      <c r="AL99" s="227">
        <v>14.020093690619813</v>
      </c>
      <c r="AM99" s="227">
        <v>9.1243169593669116</v>
      </c>
      <c r="AN99" s="227">
        <v>11.469395069109527</v>
      </c>
      <c r="AO99" s="227">
        <v>6.8486857614736216</v>
      </c>
      <c r="AP99" s="227">
        <v>6.5532411181085415</v>
      </c>
      <c r="AQ99" s="227">
        <v>6.1804055016831292</v>
      </c>
    </row>
    <row r="100" spans="4:43" s="269" customFormat="1" ht="15" customHeight="1">
      <c r="E100" s="161" t="str">
        <f>Input!E100</f>
        <v>Non-variant allowed faults</v>
      </c>
      <c r="G100" s="269" t="s">
        <v>657</v>
      </c>
      <c r="I100" s="356"/>
      <c r="AJ100" s="227">
        <v>19.217251539407055</v>
      </c>
      <c r="AK100" s="227">
        <v>18.608803525616587</v>
      </c>
      <c r="AL100" s="227">
        <v>18.306190353371875</v>
      </c>
      <c r="AM100" s="227">
        <v>17.718620820372522</v>
      </c>
      <c r="AN100" s="227">
        <v>17.220323775658873</v>
      </c>
      <c r="AO100" s="227">
        <v>16.963914461937954</v>
      </c>
      <c r="AP100" s="227">
        <v>16.544486942309998</v>
      </c>
      <c r="AQ100" s="227">
        <v>16.108630800484384</v>
      </c>
    </row>
    <row r="101" spans="4:43" s="269" customFormat="1" ht="15" customHeight="1">
      <c r="E101" s="161" t="s">
        <v>726</v>
      </c>
      <c r="G101" s="269" t="s">
        <v>657</v>
      </c>
      <c r="I101" s="356"/>
      <c r="AJ101" s="227">
        <v>10.62898766442359</v>
      </c>
      <c r="AK101" s="227">
        <v>10.854297762792866</v>
      </c>
      <c r="AL101" s="227">
        <v>10.35357665134873</v>
      </c>
      <c r="AM101" s="227">
        <v>10.413957249511748</v>
      </c>
      <c r="AN101" s="227">
        <v>10.476732921982585</v>
      </c>
      <c r="AO101" s="227">
        <v>10.163128117603272</v>
      </c>
      <c r="AP101" s="227">
        <v>10.08972918471094</v>
      </c>
      <c r="AQ101" s="227">
        <v>10.290232232841454</v>
      </c>
    </row>
    <row r="102" spans="4:43" s="269" customFormat="1" ht="15" customHeight="1">
      <c r="E102" s="161" t="str">
        <f>Input!E102</f>
        <v>Non-variant allowed 100% ‘revenue pool’ expenditure</v>
      </c>
      <c r="G102" s="269" t="s">
        <v>657</v>
      </c>
      <c r="I102" s="356"/>
      <c r="AJ102" s="227">
        <v>10.313635980329373</v>
      </c>
      <c r="AK102" s="227">
        <v>10.679047086514437</v>
      </c>
      <c r="AL102" s="227">
        <v>9.930998193717981</v>
      </c>
      <c r="AM102" s="227">
        <v>9.2387631777371766</v>
      </c>
      <c r="AN102" s="227">
        <v>9.2781016706844053</v>
      </c>
      <c r="AO102" s="227">
        <v>8.9557630279081017</v>
      </c>
      <c r="AP102" s="227">
        <v>8.4054725654391795</v>
      </c>
      <c r="AQ102" s="227">
        <v>7.963838800953301</v>
      </c>
    </row>
    <row r="103" spans="4:43" s="269" customFormat="1" ht="15" customHeight="1">
      <c r="E103" s="161" t="s">
        <v>796</v>
      </c>
      <c r="G103" s="269" t="s">
        <v>657</v>
      </c>
      <c r="I103" s="356"/>
      <c r="AJ103" s="227">
        <v>58.022003525254952</v>
      </c>
      <c r="AK103" s="227">
        <v>57.168836192964264</v>
      </c>
      <c r="AL103" s="227">
        <v>55.539700951349623</v>
      </c>
      <c r="AM103" s="227">
        <v>53.885862525419242</v>
      </c>
      <c r="AN103" s="227">
        <v>53.70284007050995</v>
      </c>
      <c r="AO103" s="227">
        <v>52.681681282423341</v>
      </c>
      <c r="AP103" s="227">
        <v>53.819812665024429</v>
      </c>
      <c r="AQ103" s="227">
        <v>54.068583959580813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0.22591273019627856</v>
      </c>
      <c r="AK107" s="213">
        <f t="shared" ref="AK107:AQ107" si="4">AK19</f>
        <v>0.22676025312765707</v>
      </c>
      <c r="AL107" s="213">
        <f t="shared" si="4"/>
        <v>0.22750470546527934</v>
      </c>
      <c r="AM107" s="213">
        <f t="shared" si="4"/>
        <v>0.22769275347622536</v>
      </c>
      <c r="AN107" s="213">
        <f t="shared" si="4"/>
        <v>0.22899182296267295</v>
      </c>
      <c r="AO107" s="213">
        <f t="shared" si="4"/>
        <v>0.23031060658169539</v>
      </c>
      <c r="AP107" s="213">
        <f t="shared" si="4"/>
        <v>0.23164921524485929</v>
      </c>
      <c r="AQ107" s="213">
        <f t="shared" si="4"/>
        <v>0.23300776259496264</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1</v>
      </c>
      <c r="AK109" s="229">
        <v>1</v>
      </c>
      <c r="AL109" s="229">
        <v>1</v>
      </c>
      <c r="AM109" s="229">
        <v>1</v>
      </c>
      <c r="AN109" s="229">
        <v>1</v>
      </c>
      <c r="AO109" s="229">
        <v>1</v>
      </c>
      <c r="AP109" s="229">
        <v>1</v>
      </c>
      <c r="AQ109" s="229">
        <v>1</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v>
      </c>
      <c r="AK113" s="229">
        <v>0</v>
      </c>
      <c r="AL113" s="229">
        <v>0</v>
      </c>
      <c r="AM113" s="229">
        <v>0</v>
      </c>
      <c r="AN113" s="229">
        <v>0</v>
      </c>
      <c r="AO113" s="229">
        <v>0</v>
      </c>
      <c r="AP113" s="229">
        <v>0</v>
      </c>
      <c r="AQ113" s="229">
        <v>0</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0.24531198171433122</v>
      </c>
      <c r="AK117" s="229">
        <v>0.24573309876738397</v>
      </c>
      <c r="AL117" s="229">
        <v>0.24537618280056314</v>
      </c>
      <c r="AM117" s="229">
        <v>0.24522338288402243</v>
      </c>
      <c r="AN117" s="229">
        <v>0.24476974729761855</v>
      </c>
      <c r="AO117" s="229">
        <v>0.24473119283273495</v>
      </c>
      <c r="AP117" s="229">
        <v>0.24562419774453112</v>
      </c>
      <c r="AQ117" s="229">
        <v>0.24508472503419831</v>
      </c>
    </row>
    <row r="118" spans="5:43" s="269" customFormat="1" ht="15" customHeight="1">
      <c r="E118" s="357" t="str">
        <f>Input!E118</f>
        <v>Allocation to non-load related capex - asset replacement</v>
      </c>
      <c r="G118" s="269" t="s">
        <v>47</v>
      </c>
      <c r="I118" s="147"/>
      <c r="AJ118" s="229">
        <v>0.73694818345345925</v>
      </c>
      <c r="AK118" s="229">
        <v>0.73748037151475465</v>
      </c>
      <c r="AL118" s="229">
        <v>0.73616409537749039</v>
      </c>
      <c r="AM118" s="229">
        <v>0.73621684315613356</v>
      </c>
      <c r="AN118" s="229">
        <v>0.73599251522451559</v>
      </c>
      <c r="AO118" s="229">
        <v>0.73626361033189314</v>
      </c>
      <c r="AP118" s="229">
        <v>0.73605643298061441</v>
      </c>
      <c r="AQ118" s="229">
        <v>0.73013625700120532</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1.7739834832209533E-2</v>
      </c>
      <c r="AK122" s="229">
        <v>1.678652971786132E-2</v>
      </c>
      <c r="AL122" s="229">
        <v>1.845972182194644E-2</v>
      </c>
      <c r="AM122" s="229">
        <v>1.8559773959843984E-2</v>
      </c>
      <c r="AN122" s="229">
        <v>1.9237737477865835E-2</v>
      </c>
      <c r="AO122" s="229">
        <v>1.900519683537194E-2</v>
      </c>
      <c r="AP122" s="229">
        <v>1.8319369274854447E-2</v>
      </c>
      <c r="AQ122" s="229">
        <v>2.4779017964596362E-2</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0.98658596504233498</v>
      </c>
      <c r="AK128" s="229">
        <v>0.98650252503483049</v>
      </c>
      <c r="AL128" s="229">
        <v>0.98682990149875149</v>
      </c>
      <c r="AM128" s="229">
        <v>0.98718117218542134</v>
      </c>
      <c r="AN128" s="229">
        <v>0.98676153343807937</v>
      </c>
      <c r="AO128" s="229">
        <v>0.9873929693647242</v>
      </c>
      <c r="AP128" s="229">
        <v>0.98829540845875985</v>
      </c>
      <c r="AQ128" s="229">
        <v>0.98897029412184945</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1.3414034957665086E-2</v>
      </c>
      <c r="AK131" s="229">
        <v>1.3497474965169608E-2</v>
      </c>
      <c r="AL131" s="229">
        <v>1.3170098501248598E-2</v>
      </c>
      <c r="AM131" s="229">
        <v>1.281882781457875E-2</v>
      </c>
      <c r="AN131" s="229">
        <v>1.323846656192069E-2</v>
      </c>
      <c r="AO131" s="229">
        <v>1.260703063527587E-2</v>
      </c>
      <c r="AP131" s="229">
        <v>1.1704591541240136E-2</v>
      </c>
      <c r="AQ131" s="229">
        <v>1.1029705878150591E-2</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0.65132127725037314</v>
      </c>
      <c r="AK143" s="213">
        <f t="shared" si="8"/>
        <v>1.2026410719795562</v>
      </c>
      <c r="AL143" s="213">
        <f t="shared" si="8"/>
        <v>1.526244380377465</v>
      </c>
      <c r="AM143" s="213">
        <f t="shared" si="8"/>
        <v>1.83257063735965</v>
      </c>
      <c r="AN143" s="213">
        <f t="shared" si="8"/>
        <v>1.7544194062688263</v>
      </c>
      <c r="AO143" s="213">
        <f t="shared" si="8"/>
        <v>1.0554112808887175</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0.14134599383906243</v>
      </c>
      <c r="AK149" s="229">
        <v>0.14311126430070564</v>
      </c>
      <c r="AL149" s="229">
        <v>0.1439007230900653</v>
      </c>
      <c r="AM149" s="229">
        <v>0.14124363494234696</v>
      </c>
      <c r="AN149" s="229">
        <v>0.14620163796124158</v>
      </c>
      <c r="AO149" s="229">
        <v>0.14755487386807889</v>
      </c>
      <c r="AP149" s="229">
        <v>0</v>
      </c>
      <c r="AQ149" s="229">
        <v>0</v>
      </c>
    </row>
    <row r="150" spans="5:43" s="269" customFormat="1" ht="15" customHeight="1">
      <c r="E150" s="357" t="str">
        <f>Input!E150</f>
        <v>Allocation to controllable opex</v>
      </c>
      <c r="G150" s="269" t="s">
        <v>47</v>
      </c>
      <c r="I150" s="147"/>
      <c r="AJ150" s="229">
        <v>0.85865400616093757</v>
      </c>
      <c r="AK150" s="229">
        <v>0.85688873569929436</v>
      </c>
      <c r="AL150" s="229">
        <v>0.8560992769099347</v>
      </c>
      <c r="AM150" s="229">
        <v>0.85875636505765307</v>
      </c>
      <c r="AN150" s="229">
        <v>0.85379836203875836</v>
      </c>
      <c r="AO150" s="229">
        <v>0.85244512613192114</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3.013993777795013E-2</v>
      </c>
      <c r="AK153" s="229">
        <v>3.0119934381004076E-2</v>
      </c>
      <c r="AL153" s="229">
        <v>3.0089112559822533E-2</v>
      </c>
      <c r="AM153" s="229">
        <v>3.0062910657277689E-2</v>
      </c>
      <c r="AN153" s="229">
        <v>3.0039667521313047E-2</v>
      </c>
      <c r="AO153" s="229">
        <v>3.0015615121065823E-2</v>
      </c>
      <c r="AP153" s="229">
        <v>2.999076778298234E-2</v>
      </c>
      <c r="AQ153" s="229">
        <v>2.9965139847278853E-2</v>
      </c>
    </row>
    <row r="154" spans="5:43" s="269" customFormat="1" ht="15" customHeight="1">
      <c r="E154" s="357" t="str">
        <f>Input!E154</f>
        <v>Allocation to non-load related capex - asset replacement</v>
      </c>
      <c r="G154" s="269" t="s">
        <v>47</v>
      </c>
      <c r="I154" s="147"/>
      <c r="AJ154" s="229">
        <v>0.62631202942118525</v>
      </c>
      <c r="AK154" s="229">
        <v>0.62786421832930894</v>
      </c>
      <c r="AL154" s="229">
        <v>0.62944134636862537</v>
      </c>
      <c r="AM154" s="229">
        <v>0.63095303912297251</v>
      </c>
      <c r="AN154" s="229">
        <v>0.63252477666108819</v>
      </c>
      <c r="AO154" s="229">
        <v>0.63408616026506126</v>
      </c>
      <c r="AP154" s="229">
        <v>0.63563716159982631</v>
      </c>
      <c r="AQ154" s="229">
        <v>0.63717775568264823</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0.20992744402746569</v>
      </c>
      <c r="AK156" s="229">
        <v>0.20873984292871264</v>
      </c>
      <c r="AL156" s="229">
        <v>0.20751288870316648</v>
      </c>
      <c r="AM156" s="229">
        <v>0.20633818794224368</v>
      </c>
      <c r="AN156" s="229">
        <v>0.20516337567663676</v>
      </c>
      <c r="AO156" s="229">
        <v>0.2039995151530905</v>
      </c>
      <c r="AP156" s="229">
        <v>0.20284655432793786</v>
      </c>
      <c r="AQ156" s="229">
        <v>0.20170443906474858</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0.1336205887733988</v>
      </c>
      <c r="AK159" s="229">
        <v>0.13327600436097417</v>
      </c>
      <c r="AL159" s="229">
        <v>0.13295665236838544</v>
      </c>
      <c r="AM159" s="229">
        <v>0.13264586227750613</v>
      </c>
      <c r="AN159" s="229">
        <v>0.13227218014096184</v>
      </c>
      <c r="AO159" s="229">
        <v>0.13189870946078222</v>
      </c>
      <c r="AP159" s="229">
        <v>0.13152551628925344</v>
      </c>
      <c r="AQ159" s="229">
        <v>0.13115266540532419</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28.044966125807392</v>
      </c>
      <c r="AK161" s="213">
        <f t="shared" ref="AK161:AQ161" si="10">AK25</f>
        <v>23.648025948692197</v>
      </c>
      <c r="AL161" s="213">
        <f t="shared" si="10"/>
        <v>19.811998664901893</v>
      </c>
      <c r="AM161" s="213">
        <f t="shared" si="10"/>
        <v>15.609423829826806</v>
      </c>
      <c r="AN161" s="213">
        <f t="shared" si="10"/>
        <v>14.281652435821904</v>
      </c>
      <c r="AO161" s="213">
        <f t="shared" si="10"/>
        <v>22.952495674374326</v>
      </c>
      <c r="AP161" s="213">
        <f t="shared" si="10"/>
        <v>23.748186811351104</v>
      </c>
      <c r="AQ161" s="213">
        <f t="shared" si="10"/>
        <v>17.990478067950814</v>
      </c>
    </row>
    <row r="162" spans="5:43" s="269" customFormat="1" ht="15" customHeight="1">
      <c r="E162" s="357" t="str">
        <f>Input!E162</f>
        <v>Allocation to load related capex</v>
      </c>
      <c r="G162" s="269" t="s">
        <v>47</v>
      </c>
      <c r="I162" s="147"/>
      <c r="AJ162" s="229">
        <v>0.98450534015536695</v>
      </c>
      <c r="AK162" s="229">
        <v>0.98381463574848393</v>
      </c>
      <c r="AL162" s="229">
        <v>0.98339948094363083</v>
      </c>
      <c r="AM162" s="229">
        <v>0.98148600403732389</v>
      </c>
      <c r="AN162" s="229">
        <v>0.97951673832639397</v>
      </c>
      <c r="AO162" s="229">
        <v>0.98481158761526655</v>
      </c>
      <c r="AP162" s="229">
        <v>0.98586533320312708</v>
      </c>
      <c r="AQ162" s="229">
        <v>0.98549204010339786</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1.5494659844633052E-2</v>
      </c>
      <c r="AK167" s="229">
        <v>1.6185364251516066E-2</v>
      </c>
      <c r="AL167" s="229">
        <v>1.6600519056369167E-2</v>
      </c>
      <c r="AM167" s="229">
        <v>1.8513995962676111E-2</v>
      </c>
      <c r="AN167" s="229">
        <v>2.0483261673606035E-2</v>
      </c>
      <c r="AO167" s="229">
        <v>1.5188412384733452E-2</v>
      </c>
      <c r="AP167" s="229">
        <v>1.4134666796872919E-2</v>
      </c>
      <c r="AQ167" s="229">
        <v>1.4507959896602141E-2</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0.99636897413735204</v>
      </c>
      <c r="AK172" s="229">
        <v>0.99670830839003921</v>
      </c>
      <c r="AL172" s="229">
        <v>0.99674460225334571</v>
      </c>
      <c r="AM172" s="229">
        <v>0.99652082969697275</v>
      </c>
      <c r="AN172" s="229">
        <v>0.99609579622832456</v>
      </c>
      <c r="AO172" s="229">
        <v>0.99658051318244278</v>
      </c>
      <c r="AP172" s="229">
        <v>0.99682232113583114</v>
      </c>
      <c r="AQ172" s="229">
        <v>0.99732457840139876</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3.631025862647963E-3</v>
      </c>
      <c r="AK176" s="229">
        <v>3.2916916099607896E-3</v>
      </c>
      <c r="AL176" s="229">
        <v>3.2553977466542872E-3</v>
      </c>
      <c r="AM176" s="229">
        <v>3.4791703030272458E-3</v>
      </c>
      <c r="AN176" s="229">
        <v>3.9042037716754407E-3</v>
      </c>
      <c r="AO176" s="229">
        <v>3.4194868175572157E-3</v>
      </c>
      <c r="AP176" s="229">
        <v>3.1776788641688647E-3</v>
      </c>
      <c r="AQ176" s="229">
        <v>2.6754215986012353E-3</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0.99636897413735204</v>
      </c>
      <c r="AK226" s="229">
        <v>0.99670830839003921</v>
      </c>
      <c r="AL226" s="229">
        <v>0.99674460225334571</v>
      </c>
      <c r="AM226" s="229">
        <v>0.99652082969697275</v>
      </c>
      <c r="AN226" s="229">
        <v>0.99609579622832456</v>
      </c>
      <c r="AO226" s="229">
        <v>0.99658051318244278</v>
      </c>
      <c r="AP226" s="229">
        <v>0.99682232113583114</v>
      </c>
      <c r="AQ226" s="229">
        <v>0.99732457840139876</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3.631025862647963E-3</v>
      </c>
      <c r="AK230" s="229">
        <v>3.2916916099607896E-3</v>
      </c>
      <c r="AL230" s="229">
        <v>3.2553977466542872E-3</v>
      </c>
      <c r="AM230" s="229">
        <v>3.4791703030272458E-3</v>
      </c>
      <c r="AN230" s="229">
        <v>3.9042037716754407E-3</v>
      </c>
      <c r="AO230" s="229">
        <v>3.4194868175572157E-3</v>
      </c>
      <c r="AP230" s="229">
        <v>3.1776788641688647E-3</v>
      </c>
      <c r="AQ230" s="229">
        <v>2.6754215986012353E-3</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27.610418915333749</v>
      </c>
      <c r="AK242" s="150">
        <f t="shared" ref="AK242:AQ242" si="19">(AK$107*AK108)+(AK$116*AK117)+(AK$125*AK126)+(AK$134*AK135)+(AK$143*AK144)+(AK$152*AK153)+(AK$161*AK162)+(AK$170*AK171)+(AK$179*AK180)+(AK$197*AK198)+(AK$188*AK189)+(AK206*AK207)+(AK215*AK216)+(AK$224*AK225)+(AK$233*AK234)</f>
        <v>23.265274034883312</v>
      </c>
      <c r="AL242" s="150">
        <f t="shared" si="19"/>
        <v>19.483109203520428</v>
      </c>
      <c r="AM242" s="150">
        <f t="shared" si="19"/>
        <v>15.320431020061692</v>
      </c>
      <c r="AN242" s="150">
        <f t="shared" si="19"/>
        <v>13.989117611847471</v>
      </c>
      <c r="AO242" s="150">
        <f t="shared" si="19"/>
        <v>22.603883704813118</v>
      </c>
      <c r="AP242" s="150">
        <f t="shared" si="19"/>
        <v>23.412514103742765</v>
      </c>
      <c r="AQ242" s="150">
        <f t="shared" si="19"/>
        <v>17.729472933620283</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0.22591273019627856</v>
      </c>
      <c r="AK243" s="150">
        <f t="shared" ref="AK243:AQ243" si="20">(AK$107*AK109)+(AK$116*AK118)+(AK$125*AK127)+(AK$134*AK136)+(AK$143*AK145)+(AK$152*AK154)+(AK$161*AK163)+(AK$170*AK172)+(AK$179*AK181)+(AK$197*AK199)+(AK206*AK208)+(AK215*AK217)+(AK$188*AK190)+(AK$224*AK226)+(AK$233*AK235)</f>
        <v>0.22676025312765707</v>
      </c>
      <c r="AL243" s="150">
        <f t="shared" si="20"/>
        <v>0.22750470546527934</v>
      </c>
      <c r="AM243" s="150">
        <f t="shared" si="20"/>
        <v>0.22769275347622536</v>
      </c>
      <c r="AN243" s="150">
        <f t="shared" si="20"/>
        <v>0.22899182296267295</v>
      </c>
      <c r="AO243" s="150">
        <f t="shared" si="20"/>
        <v>0.23031060658169539</v>
      </c>
      <c r="AP243" s="150">
        <f t="shared" si="20"/>
        <v>0.23164921524485929</v>
      </c>
      <c r="AQ243" s="150">
        <f t="shared" si="20"/>
        <v>0.23300776259496264</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0.5266088637151235</v>
      </c>
      <c r="AK247" s="150">
        <f t="shared" ref="AK247:AQ247" si="24">(AK$107*AK113)+(AK$116*AK122)+(AK$125*AK131)+(AK$134*AK140)+(AK$143*AK149)+(AK$152*AK158)+(AK$161*AK167)+(AK$170*AK176)+(AK$179*AK185)+(AK$197*AK203)+(AK$188*AK194)+(AK206*AK212)+(AK215*AK221)+(AK$224*AK230)+(AK$233*AK239)</f>
        <v>0.5548633981198372</v>
      </c>
      <c r="AL247" s="150">
        <f t="shared" si="24"/>
        <v>0.54851713132993019</v>
      </c>
      <c r="AM247" s="150">
        <f t="shared" si="24"/>
        <v>0.54783174787440425</v>
      </c>
      <c r="AN247" s="150">
        <f t="shared" si="24"/>
        <v>0.54903381484192448</v>
      </c>
      <c r="AO247" s="150">
        <f t="shared" si="24"/>
        <v>0.50434304799169027</v>
      </c>
      <c r="AP247" s="150">
        <f t="shared" si="24"/>
        <v>0.33567270760833978</v>
      </c>
      <c r="AQ247" s="150">
        <f t="shared" si="24"/>
        <v>0.2610051343305308</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0.55925962400889162</v>
      </c>
      <c r="AK248" s="150">
        <f t="shared" ref="AK248:AQ248" si="25">(AK$107*AK114)+(AK$116*AK123)+(AK$125*AK132)+(AK$134*AK141)+(AK$143*AK150)+(AK$152*AK159)+(AK$161*AK168)+(AK$170*AK177)+(AK$179*AK186)+(AK$197*AK204)+(AK$188*AK195)+(AK206*AK213)+(AK215*AK222)+(AK$224*AK231)+(AK$233*AK240)</f>
        <v>1.030529587668606</v>
      </c>
      <c r="AL248" s="150">
        <f t="shared" si="25"/>
        <v>1.3066167104289992</v>
      </c>
      <c r="AM248" s="150">
        <f t="shared" si="25"/>
        <v>1.5737316992503596</v>
      </c>
      <c r="AN248" s="150">
        <f t="shared" si="25"/>
        <v>1.4979204154013348</v>
      </c>
      <c r="AO248" s="150">
        <f t="shared" si="25"/>
        <v>0.89968020245823521</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19.946548580865997</v>
      </c>
      <c r="AK262" s="227">
        <v>19.544753518003617</v>
      </c>
      <c r="AL262" s="227">
        <v>19.411462651854691</v>
      </c>
      <c r="AM262" s="227">
        <v>19.169168053340712</v>
      </c>
      <c r="AN262" s="227">
        <v>19.027033850879985</v>
      </c>
      <c r="AO262" s="227">
        <v>18.831519219812499</v>
      </c>
      <c r="AP262" s="227">
        <v>18.534036819812499</v>
      </c>
      <c r="AQ262" s="227">
        <v>18.534036819812499</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13.991503387352505</v>
      </c>
      <c r="AK263" s="227">
        <v>14.147717128801311</v>
      </c>
      <c r="AL263" s="227">
        <v>13.934392877912053</v>
      </c>
      <c r="AM263" s="227">
        <v>13.559610235965811</v>
      </c>
      <c r="AN263" s="227">
        <v>13.168646487674568</v>
      </c>
      <c r="AO263" s="227">
        <v>13.691124319899977</v>
      </c>
      <c r="AP263" s="227">
        <v>13.486855237593916</v>
      </c>
      <c r="AQ263" s="227">
        <v>13.282586155287841</v>
      </c>
    </row>
    <row r="264" spans="2:44" ht="15" customHeight="1">
      <c r="E264" s="19" t="s">
        <v>105</v>
      </c>
      <c r="G264" s="19" t="s">
        <v>657</v>
      </c>
      <c r="AJ264" s="165">
        <f>SUM(AJ262:AJ263)</f>
        <v>33.938051968218502</v>
      </c>
      <c r="AK264" s="165">
        <f t="shared" ref="AK264:AQ264" si="31">SUM(AK262:AK263)</f>
        <v>33.692470646804928</v>
      </c>
      <c r="AL264" s="165">
        <f t="shared" si="31"/>
        <v>33.345855529766744</v>
      </c>
      <c r="AM264" s="165">
        <f t="shared" si="31"/>
        <v>32.728778289306526</v>
      </c>
      <c r="AN264" s="165">
        <f t="shared" si="31"/>
        <v>32.195680338554553</v>
      </c>
      <c r="AO264" s="165">
        <f t="shared" si="31"/>
        <v>32.522643539712476</v>
      </c>
      <c r="AP264" s="165">
        <f t="shared" si="31"/>
        <v>32.020892057406414</v>
      </c>
      <c r="AQ264" s="165">
        <f t="shared" si="31"/>
        <v>31.816622975100341</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27.670397132239557</v>
      </c>
      <c r="AK268" s="213">
        <f t="shared" si="33"/>
        <v>27.670397132239557</v>
      </c>
      <c r="AL268" s="213">
        <f t="shared" si="33"/>
        <v>27.670397132239557</v>
      </c>
      <c r="AM268" s="213">
        <f t="shared" si="33"/>
        <v>27.670397132239557</v>
      </c>
      <c r="AN268" s="213">
        <f t="shared" si="33"/>
        <v>27.670397132239557</v>
      </c>
      <c r="AO268" s="213">
        <f t="shared" si="33"/>
        <v>27.670397132239557</v>
      </c>
      <c r="AP268" s="213">
        <f t="shared" si="33"/>
        <v>27.670397132239557</v>
      </c>
      <c r="AQ268" s="213">
        <f t="shared" si="33"/>
        <v>27.670397132239557</v>
      </c>
      <c r="AR268" s="155"/>
    </row>
    <row r="269" spans="2:44" ht="15" customHeight="1">
      <c r="E269" s="378"/>
    </row>
    <row r="270" spans="2:44" ht="15" customHeight="1">
      <c r="E270" s="378" t="str">
        <f>Input!E270</f>
        <v>Other legacy adjustments' Revenue adjustment from previous controls</v>
      </c>
      <c r="G270" s="19" t="s">
        <v>657</v>
      </c>
      <c r="H270" s="378"/>
      <c r="I270" s="219">
        <v>37.601605393813692</v>
      </c>
      <c r="AJ270" s="421">
        <f>($I$270/8)</f>
        <v>4.7002006742267115</v>
      </c>
      <c r="AK270" s="423">
        <f>($I$270/8)*(1+$AK$53)</f>
        <v>4.8768107145607802</v>
      </c>
      <c r="AL270" s="423">
        <f>($I$270/8)*(1+$AK$53)*(1+$AL$53)</f>
        <v>5.0600568771604006</v>
      </c>
      <c r="AM270" s="423">
        <f>($I$270/8)*(1+$AK$53)*(1+$AL$53)*(1+$AM$53)</f>
        <v>5.250188514319702</v>
      </c>
      <c r="AN270" s="423">
        <f>($I$270/8)*(1+$AK$53)*(1+$AL$53)*(1+$AM$53)*(1+$AN$53)</f>
        <v>5.4474643477452647</v>
      </c>
      <c r="AO270" s="423">
        <f>($I$270/8)*(1+$AK$53)*(1+$AL$53)*(1+$AM$53)*(1+$AN$53)*(1+$AO$53)</f>
        <v>5.6521528206117928</v>
      </c>
      <c r="AP270" s="423">
        <f>($I$270/8)*(1+$AK$53)*(1+$AL$53)*(1+$AM$53)*(1+$AN$53)*(1+$AO$53)*(1+$AP$53)</f>
        <v>5.86453246284628</v>
      </c>
      <c r="AQ270" s="424">
        <f>($I$270/8)*(1+$AK$53)*(1+$AL$53)*(1+$AM$53)*(1+$AN$53)*(1+$AO$53)*(1+$AP$53)*(1+$AQ$53)</f>
        <v>6.0848922701377282</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4.7002006742267115</v>
      </c>
      <c r="AK272" s="165">
        <f t="shared" ref="AK272:AQ272" si="34">AK270+AK271</f>
        <v>4.8768107145607802</v>
      </c>
      <c r="AL272" s="165">
        <f t="shared" si="34"/>
        <v>5.0600568771604006</v>
      </c>
      <c r="AM272" s="165">
        <f t="shared" si="34"/>
        <v>5.250188514319702</v>
      </c>
      <c r="AN272" s="165">
        <f t="shared" si="34"/>
        <v>5.4474643477452647</v>
      </c>
      <c r="AO272" s="165">
        <f t="shared" si="34"/>
        <v>5.6521528206117928</v>
      </c>
      <c r="AP272" s="165">
        <f t="shared" si="34"/>
        <v>5.86453246284628</v>
      </c>
      <c r="AQ272" s="165">
        <f t="shared" si="34"/>
        <v>6.0848922701377282</v>
      </c>
    </row>
    <row r="273" spans="5:43" ht="15" customHeight="1">
      <c r="E273" s="378"/>
    </row>
    <row r="274" spans="5:43" ht="15" customHeight="1">
      <c r="E274" s="378" t="str">
        <f>Input!E274</f>
        <v>RAV Rolling Incentive legacy adjustments' price control allowed revenue</v>
      </c>
      <c r="G274" s="378" t="str">
        <f>Input!G274</f>
        <v>£m 12/13 prices</v>
      </c>
      <c r="I274" s="219">
        <v>-3.5384806436461944</v>
      </c>
      <c r="AJ274" s="422">
        <f>($I$274/8)</f>
        <v>-0.4423100804557743</v>
      </c>
      <c r="AK274" s="423">
        <f>($I$274/8)*(1+$AK$53)</f>
        <v>-0.45892988172889998</v>
      </c>
      <c r="AL274" s="423">
        <f>($I$274/8)*(1+$AK$53)*(1+$AL$53)</f>
        <v>-0.47617417203486334</v>
      </c>
      <c r="AM274" s="423">
        <f>($I$274/8)*(1+$AK$53)*(1+$AL$53)*(1+$AM$53)</f>
        <v>-0.4940664165490733</v>
      </c>
      <c r="AN274" s="423">
        <f>($I$274/8)*(1+$AK$53)*(1+$AL$53)*(1+$AM$53)*(1+$AN$53)</f>
        <v>-0.51263096215090465</v>
      </c>
      <c r="AO274" s="423">
        <f>($I$274/8)*(1+$AK$53)*(1+$AL$53)*(1+$AM$53)*(1+$AN$53)*(1+$AO$53)</f>
        <v>-0.53189307055372481</v>
      </c>
      <c r="AP274" s="423">
        <f>($I$274/8)*(1+$AK$53)*(1+$AL$53)*(1+$AM$53)*(1+$AN$53)*(1+$AO$53)*(1+$AP$53)</f>
        <v>-0.55187895267978093</v>
      </c>
      <c r="AQ274" s="424">
        <f>($I$274/8)*(1+$AK$53)*(1+$AL$53)*(1+$AM$53)*(1+$AN$53)*(1+$AO$53)*(1+$AP$53)*(1+$AQ$53)</f>
        <v>-0.57261580432672365</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-0.4423100804557743</v>
      </c>
      <c r="AK276" s="165">
        <f t="shared" ref="AK276:AQ276" si="35">AK274+AK275</f>
        <v>-0.45892988172889998</v>
      </c>
      <c r="AL276" s="165">
        <f t="shared" si="35"/>
        <v>-0.47617417203486334</v>
      </c>
      <c r="AM276" s="165">
        <f t="shared" si="35"/>
        <v>-0.4940664165490733</v>
      </c>
      <c r="AN276" s="165">
        <f t="shared" si="35"/>
        <v>-0.51263096215090465</v>
      </c>
      <c r="AO276" s="165">
        <f t="shared" si="35"/>
        <v>-0.53189307055372481</v>
      </c>
      <c r="AP276" s="165">
        <f t="shared" si="35"/>
        <v>-0.55187895267978093</v>
      </c>
      <c r="AQ276" s="165">
        <f t="shared" si="35"/>
        <v>-0.57261580432672365</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5.4205794532931968</v>
      </c>
      <c r="AK280" s="227">
        <v>-21.259830666137695</v>
      </c>
      <c r="AL280" s="227">
        <v>0</v>
      </c>
      <c r="AM280" s="227">
        <v>0</v>
      </c>
      <c r="AN280" s="227">
        <v>0</v>
      </c>
      <c r="AO280" s="227">
        <v>0</v>
      </c>
      <c r="AP280" s="227">
        <v>0</v>
      </c>
      <c r="AQ280" s="227">
        <v>0</v>
      </c>
    </row>
    <row r="281" spans="5:43" s="378" customFormat="1" ht="15" customHeight="1">
      <c r="E281" s="378" t="str">
        <f>Input!E281</f>
        <v>Adjustment for Rebate</v>
      </c>
      <c r="G281" s="19" t="s">
        <v>657</v>
      </c>
      <c r="AJ281" s="227">
        <f>((5/1000000*1383308)/((AI59/AG59)))*(1+1.5%+0.5%)^1</f>
        <v>6.6508841243830368</v>
      </c>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0.19</v>
      </c>
      <c r="AK283" s="219">
        <v>0.19</v>
      </c>
      <c r="AL283" s="219">
        <v>0.19</v>
      </c>
      <c r="AM283" s="219">
        <v>0.19</v>
      </c>
      <c r="AN283" s="219">
        <v>0.19</v>
      </c>
      <c r="AO283" s="219">
        <v>0.19</v>
      </c>
      <c r="AP283" s="219">
        <v>0.19</v>
      </c>
      <c r="AQ283" s="219">
        <v>0.19</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0.19</v>
      </c>
      <c r="AK285" s="165">
        <f t="shared" ref="AK285:AQ285" si="36">SUM(AK283,AK284)</f>
        <v>0.19</v>
      </c>
      <c r="AL285" s="165">
        <f t="shared" si="36"/>
        <v>0.19</v>
      </c>
      <c r="AM285" s="165">
        <f t="shared" si="36"/>
        <v>0.19</v>
      </c>
      <c r="AN285" s="165">
        <f t="shared" si="36"/>
        <v>0.19</v>
      </c>
      <c r="AO285" s="165">
        <f t="shared" si="36"/>
        <v>0.19</v>
      </c>
      <c r="AP285" s="165">
        <f t="shared" si="36"/>
        <v>0.19</v>
      </c>
      <c r="AQ285" s="165">
        <f t="shared" si="36"/>
        <v>0.19</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0.72</v>
      </c>
      <c r="AK287" s="219">
        <v>0.72</v>
      </c>
      <c r="AL287" s="219">
        <v>0.72</v>
      </c>
      <c r="AM287" s="219">
        <v>0.72</v>
      </c>
      <c r="AN287" s="219">
        <v>0.72</v>
      </c>
      <c r="AO287" s="219">
        <v>0.72</v>
      </c>
      <c r="AP287" s="219">
        <v>0.72</v>
      </c>
      <c r="AQ287" s="219">
        <v>0.72</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-0.5</v>
      </c>
      <c r="AK288" s="219">
        <v>-0.5</v>
      </c>
      <c r="AL288" s="219">
        <v>-0.5</v>
      </c>
      <c r="AM288" s="219">
        <v>-0.5</v>
      </c>
      <c r="AN288" s="219">
        <v>-0.5</v>
      </c>
      <c r="AO288" s="219">
        <v>-0.5</v>
      </c>
      <c r="AP288" s="219">
        <v>-0.5</v>
      </c>
      <c r="AQ288" s="219">
        <v>-0.5</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0.21999999999999997</v>
      </c>
      <c r="AK289" s="165">
        <f t="shared" ref="AK289:AQ289" si="37">SUM(AK287,AK288)</f>
        <v>0.21999999999999997</v>
      </c>
      <c r="AL289" s="165">
        <f t="shared" si="37"/>
        <v>0.21999999999999997</v>
      </c>
      <c r="AM289" s="165">
        <f t="shared" si="37"/>
        <v>0.21999999999999997</v>
      </c>
      <c r="AN289" s="165">
        <f t="shared" si="37"/>
        <v>0.21999999999999997</v>
      </c>
      <c r="AO289" s="165">
        <f t="shared" si="37"/>
        <v>0.21999999999999997</v>
      </c>
      <c r="AP289" s="165">
        <f t="shared" si="37"/>
        <v>0.21999999999999997</v>
      </c>
      <c r="AQ289" s="165">
        <f t="shared" si="37"/>
        <v>0.21999999999999997</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25.333545640100347</v>
      </c>
      <c r="AK293" s="219">
        <v>36.168960846046595</v>
      </c>
      <c r="AL293" s="219">
        <v>45.718685133558772</v>
      </c>
      <c r="AM293" s="219">
        <v>49.183626650049334</v>
      </c>
      <c r="AN293" s="219">
        <v>48.925657633624539</v>
      </c>
      <c r="AO293" s="219">
        <v>60.275976444068199</v>
      </c>
      <c r="AP293" s="219">
        <v>55.759893571728824</v>
      </c>
      <c r="AQ293" s="219">
        <v>47.855429276517178</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-24.671239675806788</v>
      </c>
      <c r="AK294" s="219">
        <v>-35.185009351193493</v>
      </c>
      <c r="AL294" s="219">
        <v>-44.385359043172485</v>
      </c>
      <c r="AM294" s="219">
        <v>-47.775064420180179</v>
      </c>
      <c r="AN294" s="219">
        <v>-47.53934920041516</v>
      </c>
      <c r="AO294" s="219">
        <v>-58.464464801760997</v>
      </c>
      <c r="AP294" s="219">
        <v>-54.066963563337296</v>
      </c>
      <c r="AQ294" s="219">
        <v>-46.461658083213372</v>
      </c>
    </row>
    <row r="295" spans="4:43" ht="15" customHeight="1">
      <c r="E295" s="378" t="str">
        <f>Input!E295</f>
        <v>Connections Sole Use funded &amp; DG (DRS 1) net position</v>
      </c>
      <c r="G295" s="147" t="str">
        <f>Input!G295</f>
        <v>£m 12/13 prices</v>
      </c>
      <c r="AE295" s="165">
        <f t="shared" ref="AE295:AF295" si="38">SUM(AE293,AE294)</f>
        <v>0</v>
      </c>
      <c r="AF295" s="165">
        <f t="shared" si="38"/>
        <v>0</v>
      </c>
      <c r="AG295" s="165">
        <f t="shared" ref="AG295:AQ295" si="39">SUM(AG293,AG294)</f>
        <v>0</v>
      </c>
      <c r="AH295" s="165">
        <f t="shared" si="39"/>
        <v>0</v>
      </c>
      <c r="AI295" s="165">
        <f t="shared" si="39"/>
        <v>0</v>
      </c>
      <c r="AJ295" s="165">
        <f t="shared" si="39"/>
        <v>0.6623059642935587</v>
      </c>
      <c r="AK295" s="165">
        <f t="shared" si="39"/>
        <v>0.98395149485310185</v>
      </c>
      <c r="AL295" s="165">
        <f t="shared" si="39"/>
        <v>1.3333260903862865</v>
      </c>
      <c r="AM295" s="165">
        <f t="shared" si="39"/>
        <v>1.4085622298691547</v>
      </c>
      <c r="AN295" s="165">
        <f t="shared" si="39"/>
        <v>1.3863084332093791</v>
      </c>
      <c r="AO295" s="165">
        <f t="shared" si="39"/>
        <v>1.8115116423072024</v>
      </c>
      <c r="AP295" s="165">
        <f t="shared" si="39"/>
        <v>1.692930008391528</v>
      </c>
      <c r="AQ295" s="165">
        <f t="shared" si="39"/>
        <v>1.3937711933038059</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1.5753314866666663</v>
      </c>
      <c r="AK297" s="219">
        <v>1.4687214070941179</v>
      </c>
      <c r="AL297" s="219">
        <v>1.4540341930231762</v>
      </c>
      <c r="AM297" s="219">
        <v>1.3504451360047089</v>
      </c>
      <c r="AN297" s="219">
        <v>1.1606242287699562</v>
      </c>
      <c r="AO297" s="219">
        <v>0.97446469516629797</v>
      </c>
      <c r="AP297" s="219">
        <v>0.96472004821463475</v>
      </c>
      <c r="AQ297" s="219">
        <v>0.95507284773248846</v>
      </c>
    </row>
    <row r="298" spans="4:43" ht="15" customHeight="1">
      <c r="E298" s="378" t="str">
        <f>Input!E298</f>
        <v>Connection projects UMC (DRS 1) costs</v>
      </c>
      <c r="G298" s="147" t="str">
        <f>Input!G298</f>
        <v>£m 12/13 prices</v>
      </c>
      <c r="AE298" s="219">
        <v>0</v>
      </c>
      <c r="AF298" s="219">
        <v>0</v>
      </c>
      <c r="AG298" s="219">
        <v>0</v>
      </c>
      <c r="AH298" s="219">
        <v>0</v>
      </c>
      <c r="AI298" s="219">
        <v>0</v>
      </c>
      <c r="AJ298" s="219">
        <v>-1.5220594074074074</v>
      </c>
      <c r="AK298" s="219">
        <v>-1.4190544996078436</v>
      </c>
      <c r="AL298" s="219">
        <v>-1.4048639546117643</v>
      </c>
      <c r="AM298" s="219">
        <v>-1.3047779091832936</v>
      </c>
      <c r="AN298" s="219">
        <v>-1.1213760664444021</v>
      </c>
      <c r="AO298" s="219">
        <v>-0.94151178276936998</v>
      </c>
      <c r="AP298" s="219">
        <v>-0.93209666494167598</v>
      </c>
      <c r="AQ298" s="219">
        <v>-0.92277569829225936</v>
      </c>
    </row>
    <row r="299" spans="4:43" ht="15" customHeight="1">
      <c r="E299" s="378" t="str">
        <f>Input!E299</f>
        <v>Connection projects UMC (DRS 1) net position</v>
      </c>
      <c r="G299" s="147" t="str">
        <f>Input!G299</f>
        <v>£m 12/13 prices</v>
      </c>
      <c r="AE299" s="165">
        <f t="shared" ref="AE299:AF299" si="40">SUM(AE297,AE298)</f>
        <v>0</v>
      </c>
      <c r="AF299" s="165">
        <f t="shared" si="40"/>
        <v>0</v>
      </c>
      <c r="AG299" s="165">
        <f t="shared" ref="AG299:AQ299" si="41">SUM(AG297,AG298)</f>
        <v>0</v>
      </c>
      <c r="AH299" s="165">
        <f t="shared" si="41"/>
        <v>0</v>
      </c>
      <c r="AI299" s="165">
        <f t="shared" si="41"/>
        <v>0</v>
      </c>
      <c r="AJ299" s="165">
        <f t="shared" si="41"/>
        <v>5.327207925925892E-2</v>
      </c>
      <c r="AK299" s="165">
        <f t="shared" si="41"/>
        <v>4.9666907486274336E-2</v>
      </c>
      <c r="AL299" s="165">
        <f t="shared" si="41"/>
        <v>4.9170238411411882E-2</v>
      </c>
      <c r="AM299" s="165">
        <f t="shared" si="41"/>
        <v>4.566722682141533E-2</v>
      </c>
      <c r="AN299" s="165">
        <f t="shared" si="41"/>
        <v>3.9248162325554059E-2</v>
      </c>
      <c r="AO299" s="165">
        <f t="shared" si="41"/>
        <v>3.2952912396927991E-2</v>
      </c>
      <c r="AP299" s="165">
        <f t="shared" si="41"/>
        <v>3.2623383272958772E-2</v>
      </c>
      <c r="AQ299" s="165">
        <f t="shared" si="41"/>
        <v>3.22971494402291E-2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6.9299999999999988</v>
      </c>
      <c r="AK301" s="219">
        <v>6.8607000000000005</v>
      </c>
      <c r="AL301" s="219">
        <v>6.3069435</v>
      </c>
      <c r="AM301" s="219">
        <v>5.7635760600000001</v>
      </c>
      <c r="AN301" s="219">
        <v>5.7059402993999999</v>
      </c>
      <c r="AO301" s="219">
        <v>5.6488808964060002</v>
      </c>
      <c r="AP301" s="219">
        <v>5.5923920874419411</v>
      </c>
      <c r="AQ301" s="219">
        <v>5.5364681665675217</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-7.1809466940436053</v>
      </c>
      <c r="AK302" s="219">
        <v>-7.1079307741318125</v>
      </c>
      <c r="AL302" s="219">
        <v>-6.5449182425321695</v>
      </c>
      <c r="AM302" s="219">
        <v>-5.9918788647060603</v>
      </c>
      <c r="AN302" s="219">
        <v>-5.9308013225190237</v>
      </c>
      <c r="AO302" s="219">
        <v>-5.870336090609892</v>
      </c>
      <c r="AP302" s="219">
        <v>-5.810477058285632</v>
      </c>
      <c r="AQ302" s="219">
        <v>-5.7512181760311041</v>
      </c>
    </row>
    <row r="303" spans="4:43" ht="15" customHeight="1">
      <c r="E303" s="378" t="str">
        <f>Input!E303</f>
        <v>Diversionary works under obligation (DRS 2) net position</v>
      </c>
      <c r="G303" s="147" t="str">
        <f>Input!G303</f>
        <v>£m 12/13 prices</v>
      </c>
      <c r="AE303" s="165">
        <f t="shared" ref="AE303:AI303" si="42">SUM(AE301,AE302)</f>
        <v>0</v>
      </c>
      <c r="AF303" s="165">
        <f t="shared" si="42"/>
        <v>0</v>
      </c>
      <c r="AG303" s="165">
        <f t="shared" si="42"/>
        <v>0</v>
      </c>
      <c r="AH303" s="165">
        <f t="shared" si="42"/>
        <v>0</v>
      </c>
      <c r="AI303" s="165">
        <f t="shared" si="42"/>
        <v>0</v>
      </c>
      <c r="AJ303" s="165">
        <f>SUM(AJ301,AJ302)</f>
        <v>-0.25094669404360648</v>
      </c>
      <c r="AK303" s="165">
        <f t="shared" ref="AK303:AQ303" si="43">SUM(AK301,AK302)</f>
        <v>-0.24723077413181205</v>
      </c>
      <c r="AL303" s="165">
        <f t="shared" si="43"/>
        <v>-0.23797474253216944</v>
      </c>
      <c r="AM303" s="165">
        <f t="shared" si="43"/>
        <v>-0.22830280470606024</v>
      </c>
      <c r="AN303" s="165">
        <f t="shared" si="43"/>
        <v>-0.22486102311902378</v>
      </c>
      <c r="AO303" s="165">
        <f t="shared" si="43"/>
        <v>-0.22145519420389181</v>
      </c>
      <c r="AP303" s="165">
        <f t="shared" si="43"/>
        <v>-0.21808497084369094</v>
      </c>
      <c r="AQ303" s="165">
        <f t="shared" si="43"/>
        <v>-0.21475000946358236</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2.9699999999999998</v>
      </c>
      <c r="AK305" s="219">
        <v>2.9403000000000001</v>
      </c>
      <c r="AL305" s="219">
        <v>2.9108969999999998</v>
      </c>
      <c r="AM305" s="219">
        <v>2.8817880299999992</v>
      </c>
      <c r="AN305" s="219">
        <v>2.8529701496999991</v>
      </c>
      <c r="AO305" s="219">
        <v>2.8244404482029992</v>
      </c>
      <c r="AP305" s="219">
        <v>2.7961960437209696</v>
      </c>
      <c r="AQ305" s="219">
        <v>2.76823408328376</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-2.5456266058249826</v>
      </c>
      <c r="AK306" s="219">
        <v>-2.5197426553800604</v>
      </c>
      <c r="AL306" s="219">
        <v>-2.4986297564082918</v>
      </c>
      <c r="AM306" s="219">
        <v>-2.4781227403413957</v>
      </c>
      <c r="AN306" s="219">
        <v>-2.452862275362806</v>
      </c>
      <c r="AO306" s="219">
        <v>-2.427855049820141</v>
      </c>
      <c r="AP306" s="219">
        <v>-2.4030985364514659</v>
      </c>
      <c r="AQ306" s="219">
        <v>-2.3785902332968147</v>
      </c>
    </row>
    <row r="307" spans="5:43" ht="15" customHeight="1">
      <c r="E307" s="378" t="str">
        <f>Input!E307</f>
        <v>Work required by any alteration premises (DRS 3) net position</v>
      </c>
      <c r="G307" s="147" t="str">
        <f>Input!G307</f>
        <v>£m 12/13 prices</v>
      </c>
      <c r="AE307" s="165">
        <f t="shared" ref="AE307:AI307" si="44">SUM(AE305,AE306)</f>
        <v>0</v>
      </c>
      <c r="AF307" s="165">
        <f t="shared" si="44"/>
        <v>0</v>
      </c>
      <c r="AG307" s="165">
        <f t="shared" si="44"/>
        <v>0</v>
      </c>
      <c r="AH307" s="165">
        <f t="shared" si="44"/>
        <v>0</v>
      </c>
      <c r="AI307" s="165">
        <f t="shared" si="44"/>
        <v>0</v>
      </c>
      <c r="AJ307" s="165">
        <f>SUM(AJ305,AJ306)</f>
        <v>0.42437339417501718</v>
      </c>
      <c r="AK307" s="165">
        <f t="shared" ref="AK307:AQ307" si="45">SUM(AK305,AK306)</f>
        <v>0.42055734461993977</v>
      </c>
      <c r="AL307" s="165">
        <f t="shared" si="45"/>
        <v>0.41226724359170808</v>
      </c>
      <c r="AM307" s="165">
        <f t="shared" si="45"/>
        <v>0.40366528965860349</v>
      </c>
      <c r="AN307" s="165">
        <f t="shared" si="45"/>
        <v>0.40010787433719308</v>
      </c>
      <c r="AO307" s="165">
        <f t="shared" si="45"/>
        <v>0.39658539838285822</v>
      </c>
      <c r="AP307" s="165">
        <f t="shared" si="45"/>
        <v>0.39309750726950377</v>
      </c>
      <c r="AQ307" s="165">
        <f t="shared" si="45"/>
        <v>0.38964384998694523</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6">SUM(AE309,AE310)</f>
        <v>0</v>
      </c>
      <c r="AF311" s="165">
        <f t="shared" si="46"/>
        <v>0</v>
      </c>
      <c r="AG311" s="165">
        <f t="shared" si="46"/>
        <v>0</v>
      </c>
      <c r="AH311" s="165">
        <f t="shared" si="46"/>
        <v>0</v>
      </c>
      <c r="AI311" s="165">
        <f t="shared" si="46"/>
        <v>0</v>
      </c>
      <c r="AJ311" s="165">
        <f>SUM(AJ309,AJ310)</f>
        <v>0</v>
      </c>
      <c r="AK311" s="165">
        <f t="shared" ref="AK311:AQ311" si="47">SUM(AK309,AK310)</f>
        <v>0</v>
      </c>
      <c r="AL311" s="165">
        <f t="shared" si="47"/>
        <v>0</v>
      </c>
      <c r="AM311" s="165">
        <f t="shared" si="47"/>
        <v>0</v>
      </c>
      <c r="AN311" s="165">
        <f t="shared" si="47"/>
        <v>0</v>
      </c>
      <c r="AO311" s="165">
        <f t="shared" si="47"/>
        <v>0</v>
      </c>
      <c r="AP311" s="165">
        <f t="shared" si="47"/>
        <v>0</v>
      </c>
      <c r="AQ311" s="165">
        <f t="shared" si="47"/>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0.43</v>
      </c>
      <c r="AK313" s="219">
        <v>0.43</v>
      </c>
      <c r="AL313" s="219">
        <v>0.43</v>
      </c>
      <c r="AM313" s="219">
        <v>0.43</v>
      </c>
      <c r="AN313" s="219">
        <v>0.43</v>
      </c>
      <c r="AO313" s="219">
        <v>0.43</v>
      </c>
      <c r="AP313" s="219">
        <v>0.43</v>
      </c>
      <c r="AQ313" s="219">
        <v>0.43</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-0.59002330922581014</v>
      </c>
      <c r="AK314" s="219">
        <v>-0.58992317958252904</v>
      </c>
      <c r="AL314" s="219">
        <v>-0.59088911015393775</v>
      </c>
      <c r="AM314" s="219">
        <v>-0.59195909404694314</v>
      </c>
      <c r="AN314" s="219">
        <v>-0.59184346031256974</v>
      </c>
      <c r="AO314" s="219">
        <v>-0.59172681327336485</v>
      </c>
      <c r="AP314" s="219">
        <v>-0.59160914552021093</v>
      </c>
      <c r="AQ314" s="219">
        <v>-0.59149044961776165</v>
      </c>
    </row>
    <row r="315" spans="5:43" ht="15" customHeight="1">
      <c r="E315" s="378" t="str">
        <f>Input!E315</f>
        <v>Revenue protection services (DRS 5) net position</v>
      </c>
      <c r="G315" s="147" t="str">
        <f>Input!G315</f>
        <v>£m 12/13 prices</v>
      </c>
      <c r="AE315" s="165">
        <f t="shared" ref="AE315:AI315" si="48">SUM(AE313,AE314)</f>
        <v>0</v>
      </c>
      <c r="AF315" s="165">
        <f t="shared" si="48"/>
        <v>0</v>
      </c>
      <c r="AG315" s="165">
        <f t="shared" si="48"/>
        <v>0</v>
      </c>
      <c r="AH315" s="165">
        <f t="shared" si="48"/>
        <v>0</v>
      </c>
      <c r="AI315" s="165">
        <f t="shared" si="48"/>
        <v>0</v>
      </c>
      <c r="AJ315" s="165">
        <f>SUM(AJ313,AJ314)</f>
        <v>-0.16002330922581015</v>
      </c>
      <c r="AK315" s="165">
        <f t="shared" ref="AK315:AQ315" si="49">SUM(AK313,AK314)</f>
        <v>-0.15992317958252905</v>
      </c>
      <c r="AL315" s="165">
        <f t="shared" si="49"/>
        <v>-0.16088911015393775</v>
      </c>
      <c r="AM315" s="165">
        <f t="shared" si="49"/>
        <v>-0.16195909404694314</v>
      </c>
      <c r="AN315" s="165">
        <f t="shared" si="49"/>
        <v>-0.16184346031256974</v>
      </c>
      <c r="AO315" s="165">
        <f t="shared" si="49"/>
        <v>-0.16172681327336486</v>
      </c>
      <c r="AP315" s="165">
        <f t="shared" si="49"/>
        <v>-0.16160914552021094</v>
      </c>
      <c r="AQ315" s="165">
        <f t="shared" si="49"/>
        <v>-0.16149044961776166</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7.2279750463985151</v>
      </c>
      <c r="AK317" s="219">
        <v>5.9056538450669356</v>
      </c>
      <c r="AL317" s="219">
        <v>4.4341219179531102</v>
      </c>
      <c r="AM317" s="219">
        <v>2.9847907737847907</v>
      </c>
      <c r="AN317" s="219">
        <v>1.5653593018659069</v>
      </c>
      <c r="AO317" s="219">
        <v>0.68031038276225964</v>
      </c>
      <c r="AP317" s="219">
        <v>0.40973929464266057</v>
      </c>
      <c r="AQ317" s="219">
        <v>0.40744994162301507</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-1.7349511705464549</v>
      </c>
      <c r="AK318" s="219">
        <v>-2.3169290908659272</v>
      </c>
      <c r="AL318" s="219">
        <v>-1.5261308245709391</v>
      </c>
      <c r="AM318" s="219">
        <v>-0.9533610086318749</v>
      </c>
      <c r="AN318" s="219">
        <v>-0.6390796536232477</v>
      </c>
      <c r="AO318" s="219">
        <v>-0.46636562025105222</v>
      </c>
      <c r="AP318" s="219">
        <v>-0.19915353301084127</v>
      </c>
      <c r="AQ318" s="219">
        <v>-0.19288477773447096</v>
      </c>
    </row>
    <row r="319" spans="5:43" ht="15" customHeight="1">
      <c r="E319" s="378" t="str">
        <f>Input!E319</f>
        <v>Metering services (non legacy) (DRS 6) net position</v>
      </c>
      <c r="G319" s="147" t="str">
        <f>Input!G319</f>
        <v>£m 12/13 prices</v>
      </c>
      <c r="AE319" s="165">
        <f t="shared" ref="AE319:AI319" si="50">SUM(AE317,AE318)</f>
        <v>0</v>
      </c>
      <c r="AF319" s="165">
        <f t="shared" si="50"/>
        <v>0</v>
      </c>
      <c r="AG319" s="165">
        <f t="shared" si="50"/>
        <v>0</v>
      </c>
      <c r="AH319" s="165">
        <f t="shared" si="50"/>
        <v>0</v>
      </c>
      <c r="AI319" s="165">
        <f t="shared" si="50"/>
        <v>0</v>
      </c>
      <c r="AJ319" s="165">
        <f>SUM(AJ317,AJ318)</f>
        <v>5.4930238758520602</v>
      </c>
      <c r="AK319" s="165">
        <f t="shared" ref="AK319:AQ319" si="51">SUM(AK317,AK318)</f>
        <v>3.5887247542010083</v>
      </c>
      <c r="AL319" s="165">
        <f t="shared" si="51"/>
        <v>2.9079910933821713</v>
      </c>
      <c r="AM319" s="165">
        <f t="shared" si="51"/>
        <v>2.0314297651529158</v>
      </c>
      <c r="AN319" s="165">
        <f t="shared" si="51"/>
        <v>0.92627964824265918</v>
      </c>
      <c r="AO319" s="165">
        <f t="shared" si="51"/>
        <v>0.21394476251120742</v>
      </c>
      <c r="AP319" s="165">
        <f t="shared" si="51"/>
        <v>0.2105857616318193</v>
      </c>
      <c r="AQ319" s="165">
        <f t="shared" si="51"/>
        <v>0.2145651638885441</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1.779961633980762</v>
      </c>
      <c r="AK321" s="219">
        <v>1.4543267236413397</v>
      </c>
      <c r="AL321" s="219">
        <v>1.091947169668545</v>
      </c>
      <c r="AM321" s="219">
        <v>0.73503478203676087</v>
      </c>
      <c r="AN321" s="219">
        <v>0.3854854897575421</v>
      </c>
      <c r="AO321" s="219">
        <v>0.16753328183098223</v>
      </c>
      <c r="AP321" s="219">
        <v>0.10090242698910168</v>
      </c>
      <c r="AQ321" s="219">
        <v>0.10033865075641568</v>
      </c>
    </row>
    <row r="322" spans="5:43" ht="15" customHeight="1">
      <c r="E322" s="378" t="str">
        <f>Input!E322</f>
        <v>Metering services (legacy)  costs</v>
      </c>
      <c r="G322" s="147" t="str">
        <f>Input!G322</f>
        <v>£m 12/13 prices</v>
      </c>
      <c r="AE322" s="219">
        <v>0</v>
      </c>
      <c r="AF322" s="219">
        <v>0</v>
      </c>
      <c r="AG322" s="219">
        <v>0</v>
      </c>
      <c r="AH322" s="219">
        <v>0</v>
      </c>
      <c r="AI322" s="219">
        <v>0</v>
      </c>
      <c r="AJ322" s="219">
        <v>-0.30428744866384255</v>
      </c>
      <c r="AK322" s="219">
        <v>-0.23119875428907977</v>
      </c>
      <c r="AL322" s="219">
        <v>-0.15756570315298796</v>
      </c>
      <c r="AM322" s="219">
        <v>-8.36423455082759E-2</v>
      </c>
      <c r="AN322" s="219">
        <v>-2.9659692449463128E-2</v>
      </c>
      <c r="AO322" s="219">
        <v>-6.3265432195166935E-3</v>
      </c>
      <c r="AP322" s="219">
        <v>0</v>
      </c>
      <c r="AQ322" s="219">
        <v>0</v>
      </c>
    </row>
    <row r="323" spans="5:43" ht="15" customHeight="1">
      <c r="E323" s="378" t="str">
        <f>Input!E323</f>
        <v>Metering services (legacy)  net position</v>
      </c>
      <c r="G323" s="147" t="str">
        <f>Input!G323</f>
        <v>£m 12/13 prices</v>
      </c>
      <c r="AE323" s="165">
        <f t="shared" ref="AE323:AI323" si="52">SUM(AE321,AE322)</f>
        <v>0</v>
      </c>
      <c r="AF323" s="165">
        <f t="shared" si="52"/>
        <v>0</v>
      </c>
      <c r="AG323" s="165">
        <f t="shared" si="52"/>
        <v>0</v>
      </c>
      <c r="AH323" s="165">
        <f t="shared" si="52"/>
        <v>0</v>
      </c>
      <c r="AI323" s="165">
        <f t="shared" si="52"/>
        <v>0</v>
      </c>
      <c r="AJ323" s="165">
        <f>SUM(AJ321,AJ322)</f>
        <v>1.4756741853169195</v>
      </c>
      <c r="AK323" s="165">
        <f t="shared" ref="AK323:AQ323" si="53">SUM(AK321,AK322)</f>
        <v>1.2231279693522601</v>
      </c>
      <c r="AL323" s="165">
        <f t="shared" si="53"/>
        <v>0.93438146651555698</v>
      </c>
      <c r="AM323" s="165">
        <f t="shared" si="53"/>
        <v>0.651392436528485</v>
      </c>
      <c r="AN323" s="165">
        <f t="shared" si="53"/>
        <v>0.35582579730807895</v>
      </c>
      <c r="AO323" s="165">
        <f t="shared" si="53"/>
        <v>0.16120673861146553</v>
      </c>
      <c r="AP323" s="165">
        <f t="shared" si="53"/>
        <v>0.10090242698910168</v>
      </c>
      <c r="AQ323" s="165">
        <f t="shared" si="53"/>
        <v>0.10033865075641568</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0.11257120728511118</v>
      </c>
      <c r="AK325" s="219">
        <v>0.2388712432540761</v>
      </c>
      <c r="AL325" s="219">
        <v>0.31591965206551775</v>
      </c>
      <c r="AM325" s="219">
        <v>0.38468619472998311</v>
      </c>
      <c r="AN325" s="219">
        <v>0.36672166228834396</v>
      </c>
      <c r="AO325" s="219">
        <v>0.22391545639824706</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-0.11257120728511119</v>
      </c>
      <c r="AK326" s="219">
        <v>-0.2388712432540761</v>
      </c>
      <c r="AL326" s="219">
        <v>-0.31591965206551775</v>
      </c>
      <c r="AM326" s="219">
        <v>-0.38468619472998311</v>
      </c>
      <c r="AN326" s="219">
        <v>-0.36672166228834396</v>
      </c>
      <c r="AO326" s="219">
        <v>-0.22391545639824706</v>
      </c>
      <c r="AP326" s="219">
        <v>0</v>
      </c>
      <c r="AQ326" s="219">
        <v>0</v>
      </c>
    </row>
    <row r="327" spans="5:43" ht="15" customHeight="1">
      <c r="E327" s="378" t="str">
        <f>Input!E327</f>
        <v>Metering services associated with the SM roll out (DRS 7) net position</v>
      </c>
      <c r="G327" s="147" t="str">
        <f>Input!G327</f>
        <v>£m 12/13 prices</v>
      </c>
      <c r="AE327" s="165">
        <f t="shared" ref="AE327:AI327" si="54">SUM(AE325,AE326)</f>
        <v>0</v>
      </c>
      <c r="AF327" s="165">
        <f t="shared" si="54"/>
        <v>0</v>
      </c>
      <c r="AG327" s="165">
        <f t="shared" si="54"/>
        <v>0</v>
      </c>
      <c r="AH327" s="165">
        <f t="shared" si="54"/>
        <v>0</v>
      </c>
      <c r="AI327" s="165">
        <f t="shared" si="54"/>
        <v>0</v>
      </c>
      <c r="AJ327" s="165">
        <f>SUM(AJ325,AJ326)</f>
        <v>0</v>
      </c>
      <c r="AK327" s="165">
        <f t="shared" ref="AK327:AQ327" si="55">SUM(AK325,AK326)</f>
        <v>0</v>
      </c>
      <c r="AL327" s="165">
        <f t="shared" si="55"/>
        <v>0</v>
      </c>
      <c r="AM327" s="165">
        <f t="shared" si="55"/>
        <v>0</v>
      </c>
      <c r="AN327" s="165">
        <f t="shared" si="55"/>
        <v>0</v>
      </c>
      <c r="AO327" s="165">
        <f t="shared" si="55"/>
        <v>0</v>
      </c>
      <c r="AP327" s="165">
        <f t="shared" si="55"/>
        <v>0</v>
      </c>
      <c r="AQ327" s="165">
        <f t="shared" si="55"/>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0.28000000000000003</v>
      </c>
      <c r="AK329" s="219">
        <v>0.28000000000000003</v>
      </c>
      <c r="AL329" s="219">
        <v>0.28000000000000003</v>
      </c>
      <c r="AM329" s="219">
        <v>0.28000000000000003</v>
      </c>
      <c r="AN329" s="219">
        <v>0.28000000000000003</v>
      </c>
      <c r="AO329" s="219">
        <v>0.28000000000000003</v>
      </c>
      <c r="AP329" s="219">
        <v>0.28000000000000003</v>
      </c>
      <c r="AQ329" s="219">
        <v>0.28000000000000003</v>
      </c>
    </row>
    <row r="330" spans="5:43" ht="15" customHeight="1">
      <c r="E330" s="378" t="str">
        <f>Input!E330</f>
        <v>De Minimis Activities costs</v>
      </c>
      <c r="G330" s="147" t="str">
        <f>Input!G330</f>
        <v>£m 12/13 prices</v>
      </c>
      <c r="AE330" s="219">
        <v>0</v>
      </c>
      <c r="AF330" s="219">
        <v>0</v>
      </c>
      <c r="AG330" s="219">
        <v>0</v>
      </c>
      <c r="AH330" s="219">
        <v>0</v>
      </c>
      <c r="AI330" s="219">
        <v>0</v>
      </c>
      <c r="AJ330" s="219">
        <v>0</v>
      </c>
      <c r="AK330" s="219">
        <v>0</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6">SUM(AE329,AE330)</f>
        <v>0</v>
      </c>
      <c r="AF331" s="165">
        <f t="shared" si="56"/>
        <v>0</v>
      </c>
      <c r="AG331" s="165">
        <f t="shared" si="56"/>
        <v>0</v>
      </c>
      <c r="AH331" s="165">
        <f t="shared" si="56"/>
        <v>0</v>
      </c>
      <c r="AI331" s="165">
        <f t="shared" si="56"/>
        <v>0</v>
      </c>
      <c r="AJ331" s="165">
        <f>SUM(AJ329,AJ330)</f>
        <v>0.28000000000000003</v>
      </c>
      <c r="AK331" s="165">
        <f t="shared" ref="AK331:AQ331" si="57">SUM(AK329,AK330)</f>
        <v>0.28000000000000003</v>
      </c>
      <c r="AL331" s="165">
        <f t="shared" si="57"/>
        <v>0.28000000000000003</v>
      </c>
      <c r="AM331" s="165">
        <f t="shared" si="57"/>
        <v>0.28000000000000003</v>
      </c>
      <c r="AN331" s="165">
        <f t="shared" si="57"/>
        <v>0.28000000000000003</v>
      </c>
      <c r="AO331" s="165">
        <f t="shared" si="57"/>
        <v>0.28000000000000003</v>
      </c>
      <c r="AP331" s="165">
        <f t="shared" si="57"/>
        <v>0.28000000000000003</v>
      </c>
      <c r="AQ331" s="165">
        <f t="shared" si="57"/>
        <v>0.28000000000000003</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8">SUM(AE333,AE334)</f>
        <v>0</v>
      </c>
      <c r="AF335" s="165">
        <f t="shared" si="58"/>
        <v>0</v>
      </c>
      <c r="AG335" s="165">
        <f t="shared" si="58"/>
        <v>0</v>
      </c>
      <c r="AH335" s="165">
        <f t="shared" si="58"/>
        <v>0</v>
      </c>
      <c r="AI335" s="165">
        <f t="shared" si="58"/>
        <v>0</v>
      </c>
      <c r="AJ335" s="165">
        <f>SUM(AJ333,AJ334)</f>
        <v>0</v>
      </c>
      <c r="AK335" s="165">
        <f t="shared" ref="AK335:AQ335" si="59">SUM(AK333,AK334)</f>
        <v>0</v>
      </c>
      <c r="AL335" s="165">
        <f t="shared" si="59"/>
        <v>0</v>
      </c>
      <c r="AM335" s="165">
        <f t="shared" si="59"/>
        <v>0</v>
      </c>
      <c r="AN335" s="165">
        <f t="shared" si="59"/>
        <v>0</v>
      </c>
      <c r="AO335" s="165">
        <f t="shared" si="59"/>
        <v>0</v>
      </c>
      <c r="AP335" s="165">
        <f t="shared" si="59"/>
        <v>0</v>
      </c>
      <c r="AQ335" s="165">
        <f t="shared" si="59"/>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60">SUM(AE337,AE338)</f>
        <v>0</v>
      </c>
      <c r="AF339" s="165">
        <f t="shared" si="60"/>
        <v>0</v>
      </c>
      <c r="AG339" s="165">
        <f t="shared" si="60"/>
        <v>0</v>
      </c>
      <c r="AH339" s="165">
        <f t="shared" si="60"/>
        <v>0</v>
      </c>
      <c r="AI339" s="165">
        <f t="shared" si="60"/>
        <v>0</v>
      </c>
      <c r="AJ339" s="165">
        <f>SUM(AJ337,AJ338)</f>
        <v>0</v>
      </c>
      <c r="AK339" s="165">
        <f t="shared" ref="AK339:AQ339" si="61">SUM(AK337,AK338)</f>
        <v>0</v>
      </c>
      <c r="AL339" s="165">
        <f t="shared" si="61"/>
        <v>0</v>
      </c>
      <c r="AM339" s="165">
        <f t="shared" si="61"/>
        <v>0</v>
      </c>
      <c r="AN339" s="165">
        <f t="shared" si="61"/>
        <v>0</v>
      </c>
      <c r="AO339" s="165">
        <f t="shared" si="61"/>
        <v>0</v>
      </c>
      <c r="AP339" s="165">
        <f t="shared" si="61"/>
        <v>0</v>
      </c>
      <c r="AQ339" s="165">
        <f t="shared" si="61"/>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2">SUM(AE341,AE342)</f>
        <v>0</v>
      </c>
      <c r="AF343" s="165">
        <f t="shared" si="62"/>
        <v>0</v>
      </c>
      <c r="AG343" s="165">
        <f t="shared" si="62"/>
        <v>0</v>
      </c>
      <c r="AH343" s="165">
        <f t="shared" si="62"/>
        <v>0</v>
      </c>
      <c r="AI343" s="165">
        <f t="shared" si="62"/>
        <v>0</v>
      </c>
      <c r="AJ343" s="165">
        <f>SUM(AJ341,AJ342)</f>
        <v>0</v>
      </c>
      <c r="AK343" s="165">
        <f t="shared" ref="AK343:AQ343" si="63">SUM(AK341,AK342)</f>
        <v>0</v>
      </c>
      <c r="AL343" s="165">
        <f t="shared" si="63"/>
        <v>0</v>
      </c>
      <c r="AM343" s="165">
        <f t="shared" si="63"/>
        <v>0</v>
      </c>
      <c r="AN343" s="165">
        <f t="shared" si="63"/>
        <v>0</v>
      </c>
      <c r="AO343" s="165">
        <f t="shared" si="63"/>
        <v>0</v>
      </c>
      <c r="AP343" s="165">
        <f t="shared" si="63"/>
        <v>0</v>
      </c>
      <c r="AQ343" s="165">
        <f t="shared" si="63"/>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4">AE295+AE299+AE303+AE307+AE311+AE315+AE319+AE323+AE327+AE331+AE335+AE339+AE343</f>
        <v>0</v>
      </c>
      <c r="AF345" s="165">
        <f t="shared" si="64"/>
        <v>0</v>
      </c>
      <c r="AG345" s="165">
        <f t="shared" si="64"/>
        <v>0</v>
      </c>
      <c r="AH345" s="165">
        <f t="shared" si="64"/>
        <v>0</v>
      </c>
      <c r="AI345" s="165">
        <f t="shared" si="64"/>
        <v>0</v>
      </c>
      <c r="AJ345" s="165">
        <f>AJ295+AJ299+AJ303+AJ307+AJ311+AJ315+AJ319+AJ323+AJ327+AJ331+AJ335+AJ339+AJ343</f>
        <v>7.9776794956273989</v>
      </c>
      <c r="AK345" s="165">
        <f t="shared" ref="AK345:AQ345" si="65">AK295+AK299+AK303+AK307+AK311+AK315+AK319+AK323+AK327+AK331+AK335+AK339+AK343</f>
        <v>6.1388745167982437</v>
      </c>
      <c r="AL345" s="165">
        <f t="shared" si="65"/>
        <v>5.5182722796010273</v>
      </c>
      <c r="AM345" s="165">
        <f t="shared" si="65"/>
        <v>4.4304550492775716</v>
      </c>
      <c r="AN345" s="165">
        <f t="shared" si="65"/>
        <v>3.0010654319912708</v>
      </c>
      <c r="AO345" s="165">
        <f t="shared" si="65"/>
        <v>2.5130194467324047</v>
      </c>
      <c r="AP345" s="165">
        <f t="shared" si="65"/>
        <v>2.3304449711910102</v>
      </c>
      <c r="AQ345" s="165">
        <f t="shared" si="65"/>
        <v>2.0343755482945962</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19.98562109544438</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20.029018208532296</v>
      </c>
      <c r="L363" s="219">
        <v>57.313805950569332</v>
      </c>
      <c r="M363" s="219">
        <v>83.659668363331051</v>
      </c>
      <c r="N363" s="219">
        <v>108.92704518024874</v>
      </c>
      <c r="O363" s="219">
        <v>89.822443196725587</v>
      </c>
      <c r="P363" s="219">
        <v>73.645159259064897</v>
      </c>
      <c r="Q363" s="219">
        <v>76.880616046597041</v>
      </c>
      <c r="R363" s="219">
        <v>64.863205121477662</v>
      </c>
      <c r="S363" s="219">
        <v>110.67899130787472</v>
      </c>
      <c r="T363" s="219">
        <v>87.66106908070779</v>
      </c>
      <c r="U363" s="219">
        <v>70.569917247362227</v>
      </c>
      <c r="V363" s="219">
        <v>74.581020848310587</v>
      </c>
      <c r="W363" s="219">
        <v>95.103990040390514</v>
      </c>
      <c r="X363" s="219">
        <v>103.78323057953145</v>
      </c>
      <c r="Y363" s="219">
        <v>121.12790209399139</v>
      </c>
      <c r="Z363" s="219">
        <v>124.2961462557539</v>
      </c>
      <c r="AA363" s="219">
        <v>173.93317681451424</v>
      </c>
      <c r="AB363" s="219">
        <v>123.39805466852229</v>
      </c>
      <c r="AC363" s="219">
        <v>139.43456196166682</v>
      </c>
      <c r="AD363" s="219">
        <v>111.07936659353426</v>
      </c>
      <c r="AE363" s="219">
        <v>133.48365530058925</v>
      </c>
      <c r="AF363" s="219">
        <v>155.08668208687601</v>
      </c>
      <c r="AG363" s="219">
        <v>164.23389645375156</v>
      </c>
      <c r="AH363" s="419">
        <v>189.35507451415231</v>
      </c>
      <c r="AI363" s="227">
        <v>219.44420801092923</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6">AH36</f>
        <v>0</v>
      </c>
      <c r="AI364" s="213">
        <f t="shared" si="66"/>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7">AJ38</f>
        <v>0</v>
      </c>
      <c r="AK374" s="213">
        <f t="shared" si="67"/>
        <v>0</v>
      </c>
      <c r="AL374" s="213">
        <f t="shared" si="67"/>
        <v>0</v>
      </c>
      <c r="AM374" s="213">
        <f t="shared" si="67"/>
        <v>0</v>
      </c>
      <c r="AN374" s="213">
        <f t="shared" si="67"/>
        <v>0</v>
      </c>
      <c r="AO374" s="213">
        <f t="shared" si="67"/>
        <v>0</v>
      </c>
      <c r="AP374" s="213">
        <f t="shared" si="67"/>
        <v>0</v>
      </c>
      <c r="AQ374" s="213">
        <f t="shared" si="67"/>
        <v>0</v>
      </c>
    </row>
    <row r="375" spans="2:43" ht="15" customHeight="1">
      <c r="E375" s="378" t="str">
        <f>E39</f>
        <v xml:space="preserve">Tax liability revenue allowance adjustments - tax trigger events                                                       </v>
      </c>
      <c r="G375" s="147" t="s">
        <v>657</v>
      </c>
      <c r="AJ375" s="213">
        <f t="shared" si="67"/>
        <v>0</v>
      </c>
      <c r="AK375" s="213">
        <f t="shared" si="67"/>
        <v>0</v>
      </c>
      <c r="AL375" s="213">
        <f t="shared" si="67"/>
        <v>0</v>
      </c>
      <c r="AM375" s="213">
        <f t="shared" si="67"/>
        <v>0</v>
      </c>
      <c r="AN375" s="213">
        <f t="shared" si="67"/>
        <v>0</v>
      </c>
      <c r="AO375" s="213">
        <f t="shared" si="67"/>
        <v>0</v>
      </c>
      <c r="AP375" s="213">
        <f t="shared" si="67"/>
        <v>0</v>
      </c>
      <c r="AQ375" s="213">
        <f t="shared" si="67"/>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12.275346515743795</v>
      </c>
      <c r="AI385" s="378"/>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6.2835446131943078</v>
      </c>
      <c r="AI386" s="227">
        <v>6.5612711638810826</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956.22376773084648</v>
      </c>
      <c r="AI389" s="227"/>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27">
        <v>99.853706521354965</v>
      </c>
      <c r="AI390" s="227">
        <v>121.11711959044881</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0</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0</v>
      </c>
      <c r="AI394" s="227">
        <v>0</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416">
        <v>0</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416">
        <v>0</v>
      </c>
      <c r="AI398" s="416">
        <v>0</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43" s="155" customFormat="1">
      <c r="E409" s="93" t="str">
        <f>Input!E409</f>
        <v>Non-Load Related capex - other</v>
      </c>
      <c r="G409" s="155" t="s">
        <v>47</v>
      </c>
      <c r="AJ409" s="289">
        <v>0.93647267031922821</v>
      </c>
      <c r="AK409" s="289">
        <v>0.93647267031922821</v>
      </c>
      <c r="AL409" s="289">
        <v>0.93647267031922821</v>
      </c>
      <c r="AM409" s="289">
        <v>0.93647267031922821</v>
      </c>
      <c r="AN409" s="289">
        <v>0.93647267031922821</v>
      </c>
      <c r="AO409" s="289">
        <v>0.93647267031922821</v>
      </c>
      <c r="AP409" s="289">
        <v>0.93647267031922821</v>
      </c>
      <c r="AQ409" s="289">
        <v>0.93647267031922821</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4.4527470162182156E-2</v>
      </c>
      <c r="AK413" s="289">
        <v>4.4527470162182156E-2</v>
      </c>
      <c r="AL413" s="289">
        <v>4.4527470162182156E-2</v>
      </c>
      <c r="AM413" s="289">
        <v>4.4527470162182156E-2</v>
      </c>
      <c r="AN413" s="289">
        <v>4.4527470162182156E-2</v>
      </c>
      <c r="AO413" s="289">
        <v>4.4527470162182156E-2</v>
      </c>
      <c r="AP413" s="289">
        <v>4.4527470162182156E-2</v>
      </c>
      <c r="AQ413" s="289">
        <v>4.4527470162182156E-2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0.89282439485474363</v>
      </c>
      <c r="AK417" s="289">
        <v>0.89282439485474363</v>
      </c>
      <c r="AL417" s="289">
        <v>0.89282439485474363</v>
      </c>
      <c r="AM417" s="289">
        <v>0.89282439485474363</v>
      </c>
      <c r="AN417" s="289">
        <v>0.89282439485474363</v>
      </c>
      <c r="AO417" s="289">
        <v>0.89282439485474363</v>
      </c>
      <c r="AP417" s="289">
        <v>0.89282439485474363</v>
      </c>
      <c r="AQ417" s="289">
        <v>0.89282439485474363</v>
      </c>
    </row>
    <row r="418" spans="4:43" s="155" customFormat="1">
      <c r="E418" s="93" t="str">
        <f>Input!E418</f>
        <v>Non-load related capex - asset replacement</v>
      </c>
      <c r="G418" s="155" t="s">
        <v>47</v>
      </c>
      <c r="AJ418" s="289">
        <v>0.93592075746276882</v>
      </c>
      <c r="AK418" s="289">
        <v>0.93592075746276882</v>
      </c>
      <c r="AL418" s="289">
        <v>0.93592075746276882</v>
      </c>
      <c r="AM418" s="289">
        <v>0.93592075746276882</v>
      </c>
      <c r="AN418" s="289">
        <v>0.93592075746276882</v>
      </c>
      <c r="AO418" s="289">
        <v>0.93592075746276882</v>
      </c>
      <c r="AP418" s="289">
        <v>0.93592075746276882</v>
      </c>
      <c r="AQ418" s="289">
        <v>0.93592075746276882</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0.71803653194211481</v>
      </c>
      <c r="AK420" s="289">
        <v>0.71803653194211481</v>
      </c>
      <c r="AL420" s="289">
        <v>0.71803653194211481</v>
      </c>
      <c r="AM420" s="289">
        <v>0.71803653194211481</v>
      </c>
      <c r="AN420" s="289">
        <v>0.71803653194211481</v>
      </c>
      <c r="AO420" s="289">
        <v>0.71803653194211481</v>
      </c>
      <c r="AP420" s="289">
        <v>0.71803653194211481</v>
      </c>
      <c r="AQ420" s="289">
        <v>0.71803653194211481</v>
      </c>
    </row>
    <row r="421" spans="4:43" s="155" customFormat="1">
      <c r="E421" s="269" t="s">
        <v>719</v>
      </c>
      <c r="G421" s="155" t="s">
        <v>47</v>
      </c>
      <c r="AJ421" s="289">
        <v>0.21543492799398259</v>
      </c>
      <c r="AK421" s="289">
        <v>0.21543492799398259</v>
      </c>
      <c r="AL421" s="289">
        <v>0.21543492799398259</v>
      </c>
      <c r="AM421" s="289">
        <v>0.21543492799398259</v>
      </c>
      <c r="AN421" s="289">
        <v>0.21543492799398259</v>
      </c>
      <c r="AO421" s="289">
        <v>0.21543492799398259</v>
      </c>
      <c r="AP421" s="289">
        <v>0.21543492799398259</v>
      </c>
      <c r="AQ421" s="289">
        <v>0.21543492799398259</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0.43529176389361168</v>
      </c>
      <c r="AK423" s="289">
        <v>0.43529176389361168</v>
      </c>
      <c r="AL423" s="289">
        <v>0.43529176389361168</v>
      </c>
      <c r="AM423" s="289">
        <v>0.43529176389361168</v>
      </c>
      <c r="AN423" s="289">
        <v>0.43529176389361168</v>
      </c>
      <c r="AO423" s="289">
        <v>0.43529176389361168</v>
      </c>
      <c r="AP423" s="289">
        <v>0.43529176389361168</v>
      </c>
      <c r="AQ423" s="289">
        <v>0.43529176389361168</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0"/>
      <c r="AL426" s="230"/>
      <c r="AM426" s="230"/>
      <c r="AN426" s="230"/>
      <c r="AO426" s="230"/>
      <c r="AP426" s="230"/>
      <c r="AQ426" s="230"/>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v>
      </c>
      <c r="AK428" s="289">
        <v>0</v>
      </c>
      <c r="AL428" s="289">
        <v>0</v>
      </c>
      <c r="AM428" s="289">
        <v>0</v>
      </c>
      <c r="AN428" s="289">
        <v>0</v>
      </c>
      <c r="AO428" s="289">
        <v>0</v>
      </c>
      <c r="AP428" s="289">
        <v>0</v>
      </c>
      <c r="AQ428" s="289">
        <v>0</v>
      </c>
    </row>
    <row r="429" spans="4:43" s="155" customFormat="1">
      <c r="E429" s="93" t="str">
        <f>Input!E429</f>
        <v>Non-Load Related capex - other</v>
      </c>
      <c r="G429" s="155" t="s">
        <v>47</v>
      </c>
      <c r="AJ429" s="289">
        <v>0</v>
      </c>
      <c r="AK429" s="289">
        <v>0</v>
      </c>
      <c r="AL429" s="289">
        <v>0</v>
      </c>
      <c r="AM429" s="289">
        <v>0</v>
      </c>
      <c r="AN429" s="289">
        <v>0</v>
      </c>
      <c r="AO429" s="289">
        <v>0</v>
      </c>
      <c r="AP429" s="289">
        <v>0</v>
      </c>
      <c r="AQ429" s="289">
        <v>0</v>
      </c>
    </row>
    <row r="430" spans="4:43" s="155" customFormat="1">
      <c r="E430" s="155" t="str">
        <f>Input!E430</f>
        <v>Faults</v>
      </c>
      <c r="G430" s="155" t="s">
        <v>47</v>
      </c>
      <c r="AJ430" s="289">
        <v>0</v>
      </c>
      <c r="AK430" s="289">
        <v>0</v>
      </c>
      <c r="AL430" s="289">
        <v>0</v>
      </c>
      <c r="AM430" s="289">
        <v>0</v>
      </c>
      <c r="AN430" s="289">
        <v>0</v>
      </c>
      <c r="AO430" s="289">
        <v>0</v>
      </c>
      <c r="AP430" s="289">
        <v>0</v>
      </c>
      <c r="AQ430" s="289">
        <v>0</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v>
      </c>
      <c r="AK433" s="289">
        <v>0</v>
      </c>
      <c r="AL433" s="289">
        <v>0</v>
      </c>
      <c r="AM433" s="289">
        <v>0</v>
      </c>
      <c r="AN433" s="289">
        <v>0</v>
      </c>
      <c r="AO433" s="289">
        <v>0</v>
      </c>
      <c r="AP433" s="289">
        <v>0</v>
      </c>
      <c r="AQ433" s="289">
        <v>0</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0"/>
      <c r="AL436" s="230"/>
      <c r="AM436" s="230"/>
      <c r="AN436" s="230"/>
      <c r="AO436" s="230"/>
      <c r="AP436" s="230"/>
      <c r="AQ436" s="230"/>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0.2819634680578853</v>
      </c>
      <c r="AK440" s="289">
        <v>0.2819634680578853</v>
      </c>
      <c r="AL440" s="289">
        <v>0.2819634680578853</v>
      </c>
      <c r="AM440" s="289">
        <v>0.2819634680578853</v>
      </c>
      <c r="AN440" s="289">
        <v>0.2819634680578853</v>
      </c>
      <c r="AO440" s="289">
        <v>0.2819634680578853</v>
      </c>
      <c r="AP440" s="289">
        <v>0.2819634680578853</v>
      </c>
      <c r="AQ440" s="289">
        <v>0.2819634680578853</v>
      </c>
    </row>
    <row r="441" spans="4:43" s="155" customFormat="1">
      <c r="E441" s="269" t="s">
        <v>719</v>
      </c>
      <c r="G441" s="155" t="s">
        <v>47</v>
      </c>
      <c r="AJ441" s="289">
        <v>0.78456507200601733</v>
      </c>
      <c r="AK441" s="289">
        <v>0.78456507200601733</v>
      </c>
      <c r="AL441" s="289">
        <v>0.78456507200601733</v>
      </c>
      <c r="AM441" s="289">
        <v>0.78456507200601733</v>
      </c>
      <c r="AN441" s="289">
        <v>0.78456507200601733</v>
      </c>
      <c r="AO441" s="289">
        <v>0.78456507200601733</v>
      </c>
      <c r="AP441" s="289">
        <v>0.78456507200601733</v>
      </c>
      <c r="AQ441" s="289">
        <v>0.78456507200601733</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0.48756772049039665</v>
      </c>
      <c r="AK443" s="289">
        <v>0.48756772049039665</v>
      </c>
      <c r="AL443" s="289">
        <v>0.48756772049039665</v>
      </c>
      <c r="AM443" s="289">
        <v>0.48756772049039665</v>
      </c>
      <c r="AN443" s="289">
        <v>0.48756772049039665</v>
      </c>
      <c r="AO443" s="289">
        <v>0.48756772049039665</v>
      </c>
      <c r="AP443" s="289">
        <v>0.48756772049039665</v>
      </c>
      <c r="AQ443" s="289">
        <v>0.48756772049039665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0"/>
      <c r="AL446" s="230"/>
      <c r="AM446" s="230"/>
      <c r="AN446" s="230"/>
      <c r="AO446" s="230"/>
      <c r="AP446" s="230"/>
      <c r="AQ446" s="230"/>
    </row>
    <row r="447" spans="4:43" s="155" customFormat="1">
      <c r="E447" s="93" t="str">
        <f>Input!E447</f>
        <v>Load Related</v>
      </c>
      <c r="G447" s="155" t="s">
        <v>47</v>
      </c>
      <c r="AJ447" s="289">
        <v>0.10717560514525644</v>
      </c>
      <c r="AK447" s="289">
        <v>0.10717560514525644</v>
      </c>
      <c r="AL447" s="289">
        <v>0.10717560514525644</v>
      </c>
      <c r="AM447" s="289">
        <v>0.10717560514525644</v>
      </c>
      <c r="AN447" s="289">
        <v>0.10717560514525644</v>
      </c>
      <c r="AO447" s="289">
        <v>0.10717560514525644</v>
      </c>
      <c r="AP447" s="289">
        <v>0.10717560514525644</v>
      </c>
      <c r="AQ447" s="289">
        <v>0.10717560514525644</v>
      </c>
    </row>
    <row r="448" spans="4:43" s="155" customFormat="1">
      <c r="E448" s="93" t="str">
        <f>Input!E448</f>
        <v>Non-load related capex - asset replacement</v>
      </c>
      <c r="G448" s="155" t="s">
        <v>47</v>
      </c>
      <c r="AJ448" s="289">
        <v>6.4079242537231171E-2</v>
      </c>
      <c r="AK448" s="289">
        <v>6.4079242537231171E-2</v>
      </c>
      <c r="AL448" s="289">
        <v>6.4079242537231171E-2</v>
      </c>
      <c r="AM448" s="289">
        <v>6.4079242537231171E-2</v>
      </c>
      <c r="AN448" s="289">
        <v>6.4079242537231171E-2</v>
      </c>
      <c r="AO448" s="289">
        <v>6.4079242537231171E-2</v>
      </c>
      <c r="AP448" s="289">
        <v>6.4079242537231171E-2</v>
      </c>
      <c r="AQ448" s="289">
        <v>6.4079242537231171E-2</v>
      </c>
    </row>
    <row r="449" spans="4:45" s="155" customFormat="1">
      <c r="E449" s="93" t="str">
        <f>Input!E449</f>
        <v>Non-Load Related capex - other</v>
      </c>
      <c r="G449" s="155" t="s">
        <v>47</v>
      </c>
      <c r="AJ449" s="289">
        <v>6.3527329680771835E-2</v>
      </c>
      <c r="AK449" s="289">
        <v>6.3527329680771835E-2</v>
      </c>
      <c r="AL449" s="289">
        <v>6.3527329680771835E-2</v>
      </c>
      <c r="AM449" s="289">
        <v>6.3527329680771835E-2</v>
      </c>
      <c r="AN449" s="289">
        <v>6.3527329680771835E-2</v>
      </c>
      <c r="AO449" s="289">
        <v>6.3527329680771835E-2</v>
      </c>
      <c r="AP449" s="289">
        <v>6.3527329680771835E-2</v>
      </c>
      <c r="AQ449" s="289">
        <v>6.3527329680771835E-2</v>
      </c>
    </row>
    <row r="450" spans="4:45" s="155" customFormat="1">
      <c r="E450" s="155" t="str">
        <f>Input!E450</f>
        <v>Faults</v>
      </c>
      <c r="G450" s="155" t="s">
        <v>47</v>
      </c>
      <c r="AJ450" s="289">
        <v>0</v>
      </c>
      <c r="AK450" s="289">
        <v>0</v>
      </c>
      <c r="AL450" s="289">
        <v>0</v>
      </c>
      <c r="AM450" s="289">
        <v>0</v>
      </c>
      <c r="AN450" s="289">
        <v>0</v>
      </c>
      <c r="AO450" s="289">
        <v>0</v>
      </c>
      <c r="AP450" s="289">
        <v>0</v>
      </c>
      <c r="AQ450" s="289">
        <v>0</v>
      </c>
    </row>
    <row r="451" spans="4:45" s="155" customFormat="1">
      <c r="E451" s="269" t="s">
        <v>719</v>
      </c>
      <c r="G451" s="155" t="s">
        <v>47</v>
      </c>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J453" s="289">
        <v>3.2613045453809567E-2</v>
      </c>
      <c r="AK453" s="289">
        <v>3.2613045453809567E-2</v>
      </c>
      <c r="AL453" s="289">
        <v>3.2613045453809567E-2</v>
      </c>
      <c r="AM453" s="289">
        <v>3.2613045453809567E-2</v>
      </c>
      <c r="AN453" s="289">
        <v>3.2613045453809567E-2</v>
      </c>
      <c r="AO453" s="289">
        <v>3.2613045453809567E-2</v>
      </c>
      <c r="AP453" s="289">
        <v>3.2613045453809567E-2</v>
      </c>
      <c r="AQ453" s="289">
        <v>3.2613045453809567E-2</v>
      </c>
    </row>
    <row r="454" spans="4:45" s="155" customFormat="1">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8">AJ407+AJ417+AJ427+AJ437+AJ447</f>
        <v>1</v>
      </c>
      <c r="AK458" s="209">
        <f t="shared" si="68"/>
        <v>1</v>
      </c>
      <c r="AL458" s="209">
        <f t="shared" si="68"/>
        <v>1</v>
      </c>
      <c r="AM458" s="209">
        <f t="shared" si="68"/>
        <v>1</v>
      </c>
      <c r="AN458" s="209">
        <f t="shared" si="68"/>
        <v>1</v>
      </c>
      <c r="AO458" s="209">
        <f t="shared" si="68"/>
        <v>1</v>
      </c>
      <c r="AP458" s="209">
        <f t="shared" si="68"/>
        <v>1</v>
      </c>
      <c r="AQ458" s="209">
        <f t="shared" si="68"/>
        <v>1</v>
      </c>
    </row>
    <row r="459" spans="4:45" s="155" customFormat="1">
      <c r="E459" s="93" t="str">
        <f>Input!E459</f>
        <v>Non-load related capex - asset replacement</v>
      </c>
      <c r="G459" s="155" t="s">
        <v>47</v>
      </c>
      <c r="AJ459" s="209">
        <f t="shared" si="68"/>
        <v>1</v>
      </c>
      <c r="AK459" s="209">
        <f t="shared" si="68"/>
        <v>1</v>
      </c>
      <c r="AL459" s="209">
        <f t="shared" si="68"/>
        <v>1</v>
      </c>
      <c r="AM459" s="209">
        <f t="shared" si="68"/>
        <v>1</v>
      </c>
      <c r="AN459" s="209">
        <f t="shared" si="68"/>
        <v>1</v>
      </c>
      <c r="AO459" s="209">
        <f t="shared" si="68"/>
        <v>1</v>
      </c>
      <c r="AP459" s="209">
        <f t="shared" si="68"/>
        <v>1</v>
      </c>
      <c r="AQ459" s="209">
        <f t="shared" si="68"/>
        <v>1</v>
      </c>
    </row>
    <row r="460" spans="4:45" s="155" customFormat="1">
      <c r="E460" s="93" t="str">
        <f>Input!E460</f>
        <v>Non-Load Related capex - other</v>
      </c>
      <c r="G460" s="155" t="s">
        <v>47</v>
      </c>
      <c r="AJ460" s="209">
        <f t="shared" si="68"/>
        <v>1</v>
      </c>
      <c r="AK460" s="209">
        <f t="shared" si="68"/>
        <v>1</v>
      </c>
      <c r="AL460" s="209">
        <f t="shared" si="68"/>
        <v>1</v>
      </c>
      <c r="AM460" s="209">
        <f t="shared" si="68"/>
        <v>1</v>
      </c>
      <c r="AN460" s="209">
        <f t="shared" si="68"/>
        <v>1</v>
      </c>
      <c r="AO460" s="209">
        <f t="shared" si="68"/>
        <v>1</v>
      </c>
      <c r="AP460" s="209">
        <f t="shared" si="68"/>
        <v>1</v>
      </c>
      <c r="AQ460" s="209">
        <f t="shared" si="68"/>
        <v>1</v>
      </c>
    </row>
    <row r="461" spans="4:45" s="155" customFormat="1">
      <c r="E461" s="155" t="str">
        <f>Input!E461</f>
        <v>Faults</v>
      </c>
      <c r="G461" s="155" t="s">
        <v>47</v>
      </c>
      <c r="AJ461" s="209">
        <f t="shared" si="68"/>
        <v>1</v>
      </c>
      <c r="AK461" s="209">
        <f t="shared" si="68"/>
        <v>1</v>
      </c>
      <c r="AL461" s="209">
        <f t="shared" si="68"/>
        <v>1</v>
      </c>
      <c r="AM461" s="209">
        <f t="shared" si="68"/>
        <v>1</v>
      </c>
      <c r="AN461" s="209">
        <f t="shared" si="68"/>
        <v>1</v>
      </c>
      <c r="AO461" s="209">
        <f t="shared" si="68"/>
        <v>1</v>
      </c>
      <c r="AP461" s="209">
        <f t="shared" si="68"/>
        <v>1</v>
      </c>
      <c r="AQ461" s="209">
        <f t="shared" si="68"/>
        <v>1</v>
      </c>
    </row>
    <row r="462" spans="4:45" s="155" customFormat="1">
      <c r="E462" s="269" t="s">
        <v>719</v>
      </c>
      <c r="G462" s="155" t="s">
        <v>47</v>
      </c>
      <c r="AJ462" s="209">
        <f t="shared" si="68"/>
        <v>0.99999999999999989</v>
      </c>
      <c r="AK462" s="209">
        <f t="shared" si="68"/>
        <v>0.99999999999999989</v>
      </c>
      <c r="AL462" s="209">
        <f t="shared" si="68"/>
        <v>0.99999999999999989</v>
      </c>
      <c r="AM462" s="209">
        <f t="shared" si="68"/>
        <v>0.99999999999999989</v>
      </c>
      <c r="AN462" s="209">
        <f t="shared" si="68"/>
        <v>0.99999999999999989</v>
      </c>
      <c r="AO462" s="209">
        <f t="shared" si="68"/>
        <v>0.99999999999999989</v>
      </c>
      <c r="AP462" s="209">
        <f t="shared" si="68"/>
        <v>0.99999999999999989</v>
      </c>
      <c r="AQ462" s="209">
        <f t="shared" si="68"/>
        <v>0.99999999999999989</v>
      </c>
    </row>
    <row r="463" spans="4:45" s="155" customFormat="1">
      <c r="E463" s="155" t="str">
        <f>Input!E463</f>
        <v>100% ‘revenue pool’ expenditure</v>
      </c>
      <c r="G463" s="155" t="s">
        <v>47</v>
      </c>
      <c r="AJ463" s="209">
        <f t="shared" si="68"/>
        <v>1</v>
      </c>
      <c r="AK463" s="209">
        <f t="shared" si="68"/>
        <v>1</v>
      </c>
      <c r="AL463" s="209">
        <f t="shared" si="68"/>
        <v>1</v>
      </c>
      <c r="AM463" s="209">
        <f t="shared" si="68"/>
        <v>1</v>
      </c>
      <c r="AN463" s="209">
        <f t="shared" si="68"/>
        <v>1</v>
      </c>
      <c r="AO463" s="209">
        <f t="shared" si="68"/>
        <v>1</v>
      </c>
      <c r="AP463" s="209">
        <f t="shared" si="68"/>
        <v>1</v>
      </c>
      <c r="AQ463" s="209">
        <f t="shared" si="68"/>
        <v>1</v>
      </c>
    </row>
    <row r="464" spans="4:45" s="155" customFormat="1">
      <c r="E464" s="155" t="str">
        <f>Input!E464</f>
        <v>Controllable Opex</v>
      </c>
      <c r="G464" s="155" t="s">
        <v>47</v>
      </c>
      <c r="AJ464" s="209">
        <f t="shared" si="68"/>
        <v>1</v>
      </c>
      <c r="AK464" s="209">
        <f t="shared" si="68"/>
        <v>1</v>
      </c>
      <c r="AL464" s="209">
        <f t="shared" si="68"/>
        <v>1</v>
      </c>
      <c r="AM464" s="209">
        <f t="shared" si="68"/>
        <v>1</v>
      </c>
      <c r="AN464" s="209">
        <f t="shared" si="68"/>
        <v>1</v>
      </c>
      <c r="AO464" s="209">
        <f t="shared" si="68"/>
        <v>1</v>
      </c>
      <c r="AP464" s="209">
        <f t="shared" si="68"/>
        <v>1</v>
      </c>
      <c r="AQ464" s="209">
        <f t="shared" si="68"/>
        <v>1</v>
      </c>
    </row>
    <row r="465" spans="2:45" s="155" customFormat="1">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1.0053260461331757</v>
      </c>
      <c r="AK468" s="219">
        <v>1.0305140995308679</v>
      </c>
      <c r="AL468" s="219">
        <v>1.0305272549998934</v>
      </c>
      <c r="AM468" s="219">
        <v>1.0305388804833169</v>
      </c>
      <c r="AN468" s="219">
        <v>1.0305470389805687</v>
      </c>
      <c r="AO468" s="219">
        <v>1.0305475581010417</v>
      </c>
      <c r="AP468" s="219">
        <v>1.0305734050213535</v>
      </c>
      <c r="AQ468" s="219">
        <v>1.0305561667042529</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-0.80577944660681156</v>
      </c>
      <c r="AK472" s="227">
        <v>-2.6072484133288247</v>
      </c>
      <c r="AL472" s="227">
        <v>-3.4185472163553134</v>
      </c>
      <c r="AM472" s="227">
        <v>-3.5308350847366858</v>
      </c>
      <c r="AN472" s="227">
        <v>-3.2130101631337942</v>
      </c>
      <c r="AO472" s="227">
        <v>-5.4161002731344814</v>
      </c>
      <c r="AP472" s="227">
        <v>8.0162532699659366</v>
      </c>
      <c r="AQ472" s="227">
        <v>11.037376788401495</v>
      </c>
      <c r="AS472" s="155"/>
    </row>
    <row r="473" spans="2:45" ht="15" customHeight="1">
      <c r="E473" s="155" t="str">
        <f>Input!E473</f>
        <v>Time Value of Money Profile Adjustment</v>
      </c>
      <c r="G473" s="147" t="s">
        <v>657</v>
      </c>
      <c r="AJ473" s="227">
        <v>1.8940133674886863E-2</v>
      </c>
      <c r="AK473" s="227">
        <v>9.9192690343961581E-2</v>
      </c>
      <c r="AL473" s="227">
        <v>0.24097329182732061</v>
      </c>
      <c r="AM473" s="227">
        <v>0.40464674545426604</v>
      </c>
      <c r="AN473" s="227">
        <v>0.56366671393195433</v>
      </c>
      <c r="AO473" s="227">
        <v>0.76712634349182529</v>
      </c>
      <c r="AP473" s="227">
        <v>0.70678571789248501</v>
      </c>
      <c r="AQ473" s="227">
        <v>0.25940007803659498</v>
      </c>
      <c r="AS473" s="155"/>
    </row>
    <row r="474" spans="2:45" ht="15" customHeight="1">
      <c r="E474" s="155" t="str">
        <f>Input!E474</f>
        <v>Time Value of Money Profile Increment</v>
      </c>
      <c r="G474" s="147" t="s">
        <v>657</v>
      </c>
      <c r="AJ474" s="147">
        <f>AJ486</f>
        <v>0</v>
      </c>
      <c r="AK474" s="147">
        <f t="shared" ref="AK474:AQ474" si="69">AK486</f>
        <v>0</v>
      </c>
      <c r="AL474" s="147">
        <f t="shared" si="69"/>
        <v>0</v>
      </c>
      <c r="AM474" s="147">
        <f t="shared" si="69"/>
        <v>0</v>
      </c>
      <c r="AN474" s="147">
        <f t="shared" si="69"/>
        <v>0</v>
      </c>
      <c r="AO474" s="147">
        <f t="shared" si="69"/>
        <v>0</v>
      </c>
      <c r="AP474" s="147">
        <f t="shared" si="69"/>
        <v>0</v>
      </c>
      <c r="AQ474" s="147">
        <f t="shared" si="69"/>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70">AK53</f>
        <v>3.7574999999999997E-2</v>
      </c>
      <c r="AL479" s="163">
        <f t="shared" si="70"/>
        <v>3.7574999999999997E-2</v>
      </c>
      <c r="AM479" s="163">
        <f t="shared" si="70"/>
        <v>3.7574999999999997E-2</v>
      </c>
      <c r="AN479" s="163">
        <f t="shared" si="70"/>
        <v>3.7574999999999997E-2</v>
      </c>
      <c r="AO479" s="163">
        <f t="shared" si="70"/>
        <v>3.7574999999999997E-2</v>
      </c>
      <c r="AP479" s="163">
        <f t="shared" si="70"/>
        <v>3.7574999999999997E-2</v>
      </c>
      <c r="AQ479" s="163">
        <f t="shared" si="70"/>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-1.0081242142321685</v>
      </c>
      <c r="AL482" s="227">
        <v>-4.2715912623160648</v>
      </c>
      <c r="AM482" s="227">
        <v>-8.5546570885670121</v>
      </c>
      <c r="AN482" s="227">
        <v>-12.983410227200295</v>
      </c>
      <c r="AO482" s="227">
        <v>-17.018787455678591</v>
      </c>
      <c r="AP482" s="227">
        <v>-23.812929192808951</v>
      </c>
      <c r="AQ482" s="227">
        <v>-13.807046131675463</v>
      </c>
    </row>
    <row r="483" spans="2:43" ht="15" customHeight="1">
      <c r="E483" s="155" t="str">
        <f>Input!E483</f>
        <v>Profiling Impact on Actual Revenues</v>
      </c>
      <c r="AJ483" s="227">
        <v>-1.0081242142321685</v>
      </c>
      <c r="AK483" s="227">
        <v>-3.2634670480838963</v>
      </c>
      <c r="AL483" s="227">
        <v>-4.2830658262509473</v>
      </c>
      <c r="AM483" s="227">
        <v>-4.428753138633283</v>
      </c>
      <c r="AN483" s="227">
        <v>-4.0353772284782963</v>
      </c>
      <c r="AO483" s="227">
        <v>-6.7941417371303601</v>
      </c>
      <c r="AP483" s="227">
        <v>10.005883061133488</v>
      </c>
      <c r="AQ483" s="227">
        <v>13.807055844574336</v>
      </c>
    </row>
    <row r="484" spans="2:43" ht="15" customHeight="1">
      <c r="E484" s="155" t="str">
        <f>Input!E484</f>
        <v>Closing balance</v>
      </c>
      <c r="AJ484" s="227">
        <v>-1.0081242142321685</v>
      </c>
      <c r="AK484" s="227">
        <v>-4.2715912623160648</v>
      </c>
      <c r="AL484" s="227">
        <v>-8.5546570885670121</v>
      </c>
      <c r="AM484" s="227">
        <v>-12.983410227200295</v>
      </c>
      <c r="AN484" s="227">
        <v>-17.018787455678591</v>
      </c>
      <c r="AO484" s="227">
        <v>-23.812929192808951</v>
      </c>
      <c r="AP484" s="227">
        <v>-13.807046131675463</v>
      </c>
      <c r="AQ484" s="227">
        <v>9.712898872749065E-6</v>
      </c>
    </row>
    <row r="485" spans="2:43" ht="15" customHeight="1">
      <c r="E485" s="155"/>
    </row>
    <row r="486" spans="2:43" ht="15" customHeight="1">
      <c r="E486" s="155" t="str">
        <f>Input!E486</f>
        <v>Time Value of Money Increment</v>
      </c>
      <c r="AJ486" s="147">
        <f>AVERAGE(AJ482,AJ484)*(AJ479-AJ478)</f>
        <v>0</v>
      </c>
      <c r="AK486" s="147">
        <f t="shared" ref="AK486:AQ486" si="71">AVERAGE(AK482,AK484)*(AK479-AK478)</f>
        <v>0</v>
      </c>
      <c r="AL486" s="147">
        <f t="shared" si="71"/>
        <v>0</v>
      </c>
      <c r="AM486" s="147">
        <f t="shared" si="71"/>
        <v>0</v>
      </c>
      <c r="AN486" s="147">
        <f t="shared" si="71"/>
        <v>0</v>
      </c>
      <c r="AO486" s="147">
        <f t="shared" si="71"/>
        <v>0</v>
      </c>
      <c r="AP486" s="147">
        <f t="shared" si="71"/>
        <v>0</v>
      </c>
      <c r="AQ486" s="147">
        <f t="shared" si="71"/>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227.81401381363767</v>
      </c>
      <c r="AK490" s="227">
        <v>234.46757678944743</v>
      </c>
      <c r="AL490" s="227">
        <v>212.33795195561706</v>
      </c>
      <c r="AM490" s="227">
        <v>192.76536549422661</v>
      </c>
      <c r="AN490" s="227">
        <v>189.88406965195273</v>
      </c>
      <c r="AO490" s="227">
        <v>191.31109118652296</v>
      </c>
      <c r="AP490" s="227">
        <v>175.73645509899384</v>
      </c>
      <c r="AQ490" s="227">
        <v>156.8177865769255</v>
      </c>
    </row>
    <row r="491" spans="2:43" s="378" customFormat="1" ht="15" customHeight="1">
      <c r="E491" s="155" t="str">
        <f>Input!E491</f>
        <v>DNO Finance Totex Adjustments (DRS8/Disposals)</v>
      </c>
      <c r="G491" s="155" t="str">
        <f>Input!G491</f>
        <v>£m 12/13 prices</v>
      </c>
      <c r="I491" s="227">
        <f>-SUM(SPMW!$AJ$285:$AQ$285)+SUM(SPMW!$AJ$367:$AQ$367)</f>
        <v>-1.5199999999999998</v>
      </c>
    </row>
    <row r="492" spans="2:43" s="378" customFormat="1" ht="15" customHeight="1">
      <c r="E492" s="155" t="str">
        <f>Input!E492</f>
        <v>Group Finance Totex Adjustments (DRS8/Disposals)</v>
      </c>
      <c r="G492" s="155" t="str">
        <f>Input!G492</f>
        <v>£m 12/13 prices</v>
      </c>
      <c r="I492" s="227">
        <f>SPD!I491+SPMW!I491</f>
        <v>-7.12</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ht="15" hidden="1" customHeight="1">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5:43" ht="15" hidden="1" customHeight="1">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5:43" ht="15" hidden="1" customHeight="1">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5:43" ht="15" hidden="1" customHeight="1">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5:43" ht="15" hidden="1" customHeight="1">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5:43" ht="15" hidden="1" customHeight="1">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5:43" ht="15" hidden="1" customHeight="1">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5:43" ht="15" hidden="1" customHeight="1">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5:43" ht="15" hidden="1" customHeight="1">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5:43" ht="15" hidden="1" customHeight="1">
      <c r="E505" s="389"/>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86"/>
      <c r="AK505" s="386"/>
      <c r="AL505" s="386"/>
      <c r="AM505" s="386"/>
      <c r="AN505" s="386"/>
      <c r="AO505" s="386"/>
      <c r="AP505" s="386"/>
      <c r="AQ505" s="386"/>
    </row>
    <row r="506" spans="5:43" ht="15" hidden="1" customHeight="1">
      <c r="E506" s="389"/>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86"/>
      <c r="AK506" s="386"/>
      <c r="AL506" s="386"/>
      <c r="AM506" s="386"/>
      <c r="AN506" s="386"/>
      <c r="AO506" s="386"/>
      <c r="AP506" s="386"/>
      <c r="AQ506" s="386"/>
    </row>
    <row r="507" spans="5:43" ht="15" hidden="1" customHeight="1">
      <c r="E507" s="389"/>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86"/>
      <c r="AK507" s="386"/>
      <c r="AL507" s="386"/>
      <c r="AM507" s="386"/>
      <c r="AN507" s="386"/>
      <c r="AO507" s="386"/>
      <c r="AP507" s="386"/>
      <c r="AQ507" s="386"/>
    </row>
    <row r="508" spans="5:43" ht="15" hidden="1" customHeight="1">
      <c r="E508" s="389"/>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86"/>
      <c r="AK508" s="386"/>
      <c r="AL508" s="386"/>
      <c r="AM508" s="386"/>
      <c r="AN508" s="386"/>
      <c r="AO508" s="386"/>
      <c r="AP508" s="386"/>
      <c r="AQ508" s="386"/>
    </row>
    <row r="509" spans="5:43" ht="15" hidden="1" customHeight="1">
      <c r="E509" s="389"/>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86"/>
      <c r="AK509" s="386"/>
      <c r="AL509" s="386"/>
      <c r="AM509" s="386"/>
      <c r="AN509" s="386"/>
      <c r="AO509" s="386"/>
      <c r="AP509" s="386"/>
      <c r="AQ509" s="386"/>
    </row>
    <row r="510" spans="5:43" ht="15" hidden="1" customHeight="1">
      <c r="E510" s="389"/>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86"/>
      <c r="AK510" s="386"/>
      <c r="AL510" s="386"/>
      <c r="AM510" s="386"/>
      <c r="AN510" s="386"/>
      <c r="AO510" s="386"/>
      <c r="AP510" s="386"/>
      <c r="AQ510" s="386"/>
    </row>
    <row r="511" spans="5:43" ht="15" hidden="1" customHeight="1">
      <c r="E511" s="389"/>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86"/>
      <c r="AK511" s="386"/>
      <c r="AL511" s="386"/>
      <c r="AM511" s="386"/>
      <c r="AN511" s="386"/>
      <c r="AO511" s="386"/>
      <c r="AP511" s="386"/>
      <c r="AQ511" s="386"/>
    </row>
  </sheetData>
  <conditionalFormatting sqref="AJ458:AQ464">
    <cfRule type="cellIs" dxfId="5" priority="1" operator="lessThan">
      <formula>1</formula>
    </cfRule>
    <cfRule type="cellIs" dxfId="4"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pageSetUpPr autoPageBreaks="0" fitToPage="1"/>
  </sheetPr>
  <dimension ref="A1:XDG495"/>
  <sheetViews>
    <sheetView zoomScale="70" zoomScaleNormal="70" workbookViewId="0">
      <pane xSplit="10" ySplit="7" topLeftCell="AJ8"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519</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519</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559</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559</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0.31152895914929973</v>
      </c>
      <c r="AK23" s="216">
        <v>0.59083316457813051</v>
      </c>
      <c r="AL23" s="216">
        <v>0.83115429181629219</v>
      </c>
      <c r="AM23" s="216">
        <v>0.92187963050513111</v>
      </c>
      <c r="AN23" s="216">
        <v>0.88183164977463613</v>
      </c>
      <c r="AO23" s="216">
        <v>0.6180344196429155</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8.7692789442780921</v>
      </c>
      <c r="AK25" s="216">
        <v>10.519279978091445</v>
      </c>
      <c r="AL25" s="216">
        <v>14.198452940244946</v>
      </c>
      <c r="AM25" s="216">
        <v>15.22094664512527</v>
      </c>
      <c r="AN25" s="216">
        <v>19.376620782625466</v>
      </c>
      <c r="AO25" s="216">
        <v>18.892383695804199</v>
      </c>
      <c r="AP25" s="216">
        <v>22.690354265026276</v>
      </c>
      <c r="AQ25" s="216">
        <v>21.369591668463283</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v>20.804712419843803</v>
      </c>
      <c r="AK28" s="216">
        <v>21.094202113379499</v>
      </c>
      <c r="AL28" s="216">
        <v>21.265703043277878</v>
      </c>
      <c r="AM28" s="216">
        <v>21.964143633310265</v>
      </c>
      <c r="AN28" s="216">
        <v>0</v>
      </c>
      <c r="AO28" s="216">
        <v>0</v>
      </c>
      <c r="AP28" s="216">
        <v>0</v>
      </c>
      <c r="AQ28" s="216">
        <v>0</v>
      </c>
    </row>
    <row r="29" spans="5:43" ht="15" customHeight="1">
      <c r="E29" s="155" t="str">
        <f>Input!E29</f>
        <v>Allowed Expenditure - Shetland Competitive Process (SSEH)</v>
      </c>
      <c r="F29" s="155" t="str">
        <f>Input!F29</f>
        <v>CRC 3F</v>
      </c>
      <c r="G29" s="155" t="str">
        <f>Input!G29</f>
        <v>£m 12/13 prices</v>
      </c>
      <c r="H29" s="155" t="str">
        <f>Input!H29</f>
        <v>UCCPC</v>
      </c>
      <c r="AJ29" s="436">
        <v>1.0302844954186208</v>
      </c>
      <c r="AK29" s="216">
        <v>0</v>
      </c>
      <c r="AL29" s="216">
        <v>0</v>
      </c>
      <c r="AM29" s="216">
        <v>0</v>
      </c>
      <c r="AN29" s="216">
        <v>0</v>
      </c>
      <c r="AO29" s="216">
        <v>0</v>
      </c>
      <c r="AP29" s="216">
        <v>0</v>
      </c>
      <c r="AQ29" s="216">
        <v>0</v>
      </c>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12.858547836659719</v>
      </c>
      <c r="AK34" s="216">
        <v>12.858547836659719</v>
      </c>
      <c r="AL34" s="216">
        <v>12.858547836659719</v>
      </c>
      <c r="AM34" s="216">
        <v>12.858547836659719</v>
      </c>
      <c r="AN34" s="216">
        <v>12.858547836659719</v>
      </c>
      <c r="AO34" s="216">
        <v>12.858547836659719</v>
      </c>
      <c r="AP34" s="216">
        <v>12.858547836659719</v>
      </c>
      <c r="AQ34" s="216">
        <v>12.858547836659719</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0.62</v>
      </c>
      <c r="AK66" s="229">
        <v>0.62</v>
      </c>
      <c r="AL66" s="229">
        <v>0.62</v>
      </c>
      <c r="AM66" s="229">
        <v>0.62</v>
      </c>
      <c r="AN66" s="229">
        <v>0.7</v>
      </c>
      <c r="AO66" s="229">
        <v>0.7</v>
      </c>
      <c r="AP66" s="229">
        <v>0.7</v>
      </c>
      <c r="AQ66" s="229">
        <v>0.7</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1.2012274398135502E-3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0.56471375271214463</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1091.5355192550164</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1210.4158950401613</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SSES!I75</f>
        <v>3395.8059074568127</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SSES!I76</f>
        <v>3635.4537663671244</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32.797989178321899</v>
      </c>
      <c r="AK98" s="227">
        <v>32.302639819994567</v>
      </c>
      <c r="AL98" s="227">
        <v>30.57923967125517</v>
      </c>
      <c r="AM98" s="227">
        <v>30.542990749764591</v>
      </c>
      <c r="AN98" s="227">
        <v>30.802048489828064</v>
      </c>
      <c r="AO98" s="227">
        <v>30.675273293971401</v>
      </c>
      <c r="AP98" s="227">
        <v>30.915315212090768</v>
      </c>
      <c r="AQ98" s="227">
        <v>30.210655279674334</v>
      </c>
    </row>
    <row r="99" spans="4:43" s="269" customFormat="1" ht="15" customHeight="1">
      <c r="E99" s="161" t="s">
        <v>797</v>
      </c>
      <c r="G99" s="269" t="s">
        <v>657</v>
      </c>
      <c r="I99" s="356"/>
      <c r="AJ99" s="227">
        <v>12.331732725078069</v>
      </c>
      <c r="AK99" s="227">
        <v>11.671680004041995</v>
      </c>
      <c r="AL99" s="227">
        <v>10.10266644696598</v>
      </c>
      <c r="AM99" s="227">
        <v>10.166738439291114</v>
      </c>
      <c r="AN99" s="227">
        <v>9.1309294797924139</v>
      </c>
      <c r="AO99" s="227">
        <v>8.5402090549559677</v>
      </c>
      <c r="AP99" s="227">
        <v>7.5002761470228521</v>
      </c>
      <c r="AQ99" s="227">
        <v>6.9488396928890594</v>
      </c>
    </row>
    <row r="100" spans="4:43" s="269" customFormat="1" ht="15" customHeight="1">
      <c r="E100" s="161" t="str">
        <f>Input!E100</f>
        <v>Non-variant allowed faults</v>
      </c>
      <c r="G100" s="269" t="s">
        <v>657</v>
      </c>
      <c r="I100" s="356"/>
      <c r="AJ100" s="227">
        <v>15.427522996530767</v>
      </c>
      <c r="AK100" s="227">
        <v>15.151732071407206</v>
      </c>
      <c r="AL100" s="227">
        <v>14.873457981745153</v>
      </c>
      <c r="AM100" s="227">
        <v>13.613294761428559</v>
      </c>
      <c r="AN100" s="227">
        <v>12.841053657405512</v>
      </c>
      <c r="AO100" s="227">
        <v>13.26598066869821</v>
      </c>
      <c r="AP100" s="227">
        <v>13.096179079644394</v>
      </c>
      <c r="AQ100" s="227">
        <v>12.317214892956311</v>
      </c>
    </row>
    <row r="101" spans="4:43" s="269" customFormat="1" ht="15" customHeight="1">
      <c r="E101" s="161" t="s">
        <v>726</v>
      </c>
      <c r="G101" s="269" t="s">
        <v>657</v>
      </c>
      <c r="I101" s="356"/>
      <c r="AJ101" s="227">
        <v>7.5127386931836346</v>
      </c>
      <c r="AK101" s="227">
        <v>7.392009518015513</v>
      </c>
      <c r="AL101" s="227">
        <v>7.2716860492180482</v>
      </c>
      <c r="AM101" s="227">
        <v>7.1470956798742646</v>
      </c>
      <c r="AN101" s="227">
        <v>7.0299384964020657</v>
      </c>
      <c r="AO101" s="227">
        <v>6.9131908614134856</v>
      </c>
      <c r="AP101" s="227">
        <v>6.7968512145926914</v>
      </c>
      <c r="AQ101" s="227">
        <v>6.6809886118327917</v>
      </c>
    </row>
    <row r="102" spans="4:43" s="269" customFormat="1" ht="15" customHeight="1">
      <c r="E102" s="161" t="str">
        <f>Input!E102</f>
        <v>Non-variant allowed 100% ‘revenue pool’ expenditure</v>
      </c>
      <c r="G102" s="269" t="s">
        <v>657</v>
      </c>
      <c r="I102" s="356"/>
      <c r="AJ102" s="227">
        <v>5.901455546675427</v>
      </c>
      <c r="AK102" s="227">
        <v>5.8726094595937424</v>
      </c>
      <c r="AL102" s="227">
        <v>5.7112706952248606</v>
      </c>
      <c r="AM102" s="227">
        <v>5.6685117926210484</v>
      </c>
      <c r="AN102" s="227">
        <v>5.5512377115936813</v>
      </c>
      <c r="AO102" s="227">
        <v>5.5126032051538516</v>
      </c>
      <c r="AP102" s="227">
        <v>5.4764844141110522</v>
      </c>
      <c r="AQ102" s="227">
        <v>5.3504309496001161</v>
      </c>
    </row>
    <row r="103" spans="4:43" s="269" customFormat="1" ht="15" customHeight="1">
      <c r="E103" s="161" t="s">
        <v>796</v>
      </c>
      <c r="G103" s="269" t="s">
        <v>657</v>
      </c>
      <c r="I103" s="356"/>
      <c r="AJ103" s="227">
        <v>56.285875813014208</v>
      </c>
      <c r="AK103" s="227">
        <v>56.969868757579576</v>
      </c>
      <c r="AL103" s="227">
        <v>56.70808975647482</v>
      </c>
      <c r="AM103" s="227">
        <v>57.22298889936765</v>
      </c>
      <c r="AN103" s="227">
        <v>55.78284063980837</v>
      </c>
      <c r="AO103" s="227">
        <v>55.259543648349037</v>
      </c>
      <c r="AP103" s="227">
        <v>55.506926816826116</v>
      </c>
      <c r="AQ103" s="227">
        <v>54.732545140896697</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0.96744956168867291</v>
      </c>
      <c r="AK109" s="229">
        <v>0.96679993802968966</v>
      </c>
      <c r="AL109" s="229">
        <v>0.96612748771143642</v>
      </c>
      <c r="AM109" s="229">
        <v>0.96304542209542543</v>
      </c>
      <c r="AN109" s="229">
        <v>0.96079995791083972</v>
      </c>
      <c r="AO109" s="229">
        <v>0.9619036222381091</v>
      </c>
      <c r="AP109" s="229">
        <v>0.96131998469263158</v>
      </c>
      <c r="AQ109" s="229">
        <v>0.95885683254337462</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3.255043831132709E-2</v>
      </c>
      <c r="AK113" s="229">
        <v>3.3200061970310335E-2</v>
      </c>
      <c r="AL113" s="229">
        <v>3.3872512288563583E-2</v>
      </c>
      <c r="AM113" s="229">
        <v>3.695457790457457E-2</v>
      </c>
      <c r="AN113" s="229">
        <v>3.9200042089160281E-2</v>
      </c>
      <c r="AO113" s="229">
        <v>3.8096377761890898E-2</v>
      </c>
      <c r="AP113" s="229">
        <v>3.8680015307368421E-2</v>
      </c>
      <c r="AQ113" s="229">
        <v>4.1143167456625385E-2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0.99</v>
      </c>
      <c r="AK117" s="229">
        <v>0.99</v>
      </c>
      <c r="AL117" s="229">
        <v>0.99</v>
      </c>
      <c r="AM117" s="229">
        <v>0.99</v>
      </c>
      <c r="AN117" s="229">
        <v>0.99</v>
      </c>
      <c r="AO117" s="229">
        <v>0.99</v>
      </c>
      <c r="AP117" s="229">
        <v>0.99</v>
      </c>
      <c r="AQ117" s="229">
        <v>0.99</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0.01</v>
      </c>
      <c r="AK122" s="229">
        <v>0.01</v>
      </c>
      <c r="AL122" s="229">
        <v>0.01</v>
      </c>
      <c r="AM122" s="229">
        <v>0.01</v>
      </c>
      <c r="AN122" s="229">
        <v>0.01</v>
      </c>
      <c r="AO122" s="229">
        <v>0.01</v>
      </c>
      <c r="AP122" s="229">
        <v>0.01</v>
      </c>
      <c r="AQ122" s="229">
        <v>0.01</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0.99882859630973098</v>
      </c>
      <c r="AK128" s="229">
        <v>0.9988160538498545</v>
      </c>
      <c r="AL128" s="229">
        <v>0.99880616384654231</v>
      </c>
      <c r="AM128" s="229">
        <v>0.99879113691565524</v>
      </c>
      <c r="AN128" s="229">
        <v>0.99877600039726455</v>
      </c>
      <c r="AO128" s="229">
        <v>0.99876075471085957</v>
      </c>
      <c r="AP128" s="229">
        <v>0.9987454532429233</v>
      </c>
      <c r="AQ128" s="229">
        <v>0.99872993750447725</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1.1714036902689335E-3</v>
      </c>
      <c r="AK131" s="229">
        <v>1.1839461501454143E-3</v>
      </c>
      <c r="AL131" s="229">
        <v>1.1938361534577196E-3</v>
      </c>
      <c r="AM131" s="229">
        <v>1.2088630843447603E-3</v>
      </c>
      <c r="AN131" s="229">
        <v>1.2239996027353396E-3</v>
      </c>
      <c r="AO131" s="229">
        <v>1.2392452891404394E-3</v>
      </c>
      <c r="AP131" s="229">
        <v>1.2545467570766165E-3</v>
      </c>
      <c r="AQ131" s="229">
        <v>1.2700624955226186E-3</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0.99935905154678573</v>
      </c>
      <c r="AK137" s="229">
        <v>0.99958880200322098</v>
      </c>
      <c r="AL137" s="229">
        <v>0.99958369297943128</v>
      </c>
      <c r="AM137" s="229">
        <v>0.99949125417405027</v>
      </c>
      <c r="AN137" s="229">
        <v>0.99938891609144009</v>
      </c>
      <c r="AO137" s="229">
        <v>0.99923958884415887</v>
      </c>
      <c r="AP137" s="229">
        <v>0.99900143179438972</v>
      </c>
      <c r="AQ137" s="229">
        <v>0.99874800940659625</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6.4094845321416099E-4</v>
      </c>
      <c r="AK140" s="229">
        <v>4.1119799677901385E-4</v>
      </c>
      <c r="AL140" s="229">
        <v>4.1630702056875057E-4</v>
      </c>
      <c r="AM140" s="229">
        <v>5.0874582594970556E-4</v>
      </c>
      <c r="AN140" s="229">
        <v>6.1108390855985908E-4</v>
      </c>
      <c r="AO140" s="229">
        <v>7.6041115584111346E-4</v>
      </c>
      <c r="AP140" s="229">
        <v>9.9856820561019751E-4</v>
      </c>
      <c r="AQ140" s="229">
        <v>1.2519905934037638E-3</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0.31152895914929973</v>
      </c>
      <c r="AK143" s="213">
        <f t="shared" si="8"/>
        <v>0.59083316457813051</v>
      </c>
      <c r="AL143" s="213">
        <f t="shared" si="8"/>
        <v>0.83115429181629219</v>
      </c>
      <c r="AM143" s="213">
        <f t="shared" si="8"/>
        <v>0.92187963050513111</v>
      </c>
      <c r="AN143" s="213">
        <f t="shared" si="8"/>
        <v>0.88183164977463613</v>
      </c>
      <c r="AO143" s="213">
        <f t="shared" si="8"/>
        <v>0.6180344196429155</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4.7908016608112419E-2</v>
      </c>
      <c r="AK149" s="229">
        <v>4.5553935860058313E-2</v>
      </c>
      <c r="AL149" s="229">
        <v>3.9486673247778874E-2</v>
      </c>
      <c r="AM149" s="229">
        <v>3.8293216630196934E-2</v>
      </c>
      <c r="AN149" s="229">
        <v>3.8680444272531367E-2</v>
      </c>
      <c r="AO149" s="229">
        <v>4.9220672682526674E-2</v>
      </c>
      <c r="AP149" s="229">
        <v>0</v>
      </c>
      <c r="AQ149" s="229">
        <v>0</v>
      </c>
    </row>
    <row r="150" spans="5:43" s="269" customFormat="1" ht="15" customHeight="1">
      <c r="E150" s="357" t="str">
        <f>Input!E150</f>
        <v>Allocation to controllable opex</v>
      </c>
      <c r="G150" s="269" t="s">
        <v>47</v>
      </c>
      <c r="I150" s="147"/>
      <c r="AJ150" s="229">
        <v>0.95209198339188761</v>
      </c>
      <c r="AK150" s="229">
        <v>0.9544460641399416</v>
      </c>
      <c r="AL150" s="229">
        <v>0.96051332675222123</v>
      </c>
      <c r="AM150" s="229">
        <v>0.96170678336980309</v>
      </c>
      <c r="AN150" s="229">
        <v>0.96131955572746863</v>
      </c>
      <c r="AO150" s="229">
        <v>0.95077932731747328</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0.35</v>
      </c>
      <c r="AK153" s="229">
        <v>0.35</v>
      </c>
      <c r="AL153" s="229">
        <v>0.35</v>
      </c>
      <c r="AM153" s="229">
        <v>0.35</v>
      </c>
      <c r="AN153" s="229">
        <v>0.35</v>
      </c>
      <c r="AO153" s="229">
        <v>0.35</v>
      </c>
      <c r="AP153" s="229">
        <v>0.35</v>
      </c>
      <c r="AQ153" s="229">
        <v>0.35</v>
      </c>
    </row>
    <row r="154" spans="5:43" s="269" customFormat="1" ht="15" customHeight="1">
      <c r="E154" s="357" t="str">
        <f>Input!E154</f>
        <v>Allocation to non-load related capex - asset replacement</v>
      </c>
      <c r="G154" s="269" t="s">
        <v>47</v>
      </c>
      <c r="I154" s="147"/>
      <c r="AJ154" s="229">
        <v>0</v>
      </c>
      <c r="AK154" s="229">
        <v>0</v>
      </c>
      <c r="AL154" s="229">
        <v>0</v>
      </c>
      <c r="AM154" s="229">
        <v>0</v>
      </c>
      <c r="AN154" s="229">
        <v>0</v>
      </c>
      <c r="AO154" s="229">
        <v>0</v>
      </c>
      <c r="AP154" s="229">
        <v>0</v>
      </c>
      <c r="AQ154" s="229">
        <v>0</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0.47</v>
      </c>
      <c r="AK156" s="229">
        <v>0.47</v>
      </c>
      <c r="AL156" s="229">
        <v>0.47</v>
      </c>
      <c r="AM156" s="229">
        <v>0.47</v>
      </c>
      <c r="AN156" s="229">
        <v>0.47</v>
      </c>
      <c r="AO156" s="229">
        <v>0.47</v>
      </c>
      <c r="AP156" s="229">
        <v>0.47</v>
      </c>
      <c r="AQ156" s="229">
        <v>0.47</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0.04</v>
      </c>
      <c r="AK158" s="229">
        <v>0.04</v>
      </c>
      <c r="AL158" s="229">
        <v>0.04</v>
      </c>
      <c r="AM158" s="229">
        <v>0.04</v>
      </c>
      <c r="AN158" s="229">
        <v>0.04</v>
      </c>
      <c r="AO158" s="229">
        <v>0.04</v>
      </c>
      <c r="AP158" s="229">
        <v>0.04</v>
      </c>
      <c r="AQ158" s="229">
        <v>0.04</v>
      </c>
    </row>
    <row r="159" spans="5:43" s="269" customFormat="1" ht="15" customHeight="1">
      <c r="E159" s="357" t="str">
        <f>Input!E159</f>
        <v>Allocation to controllable opex</v>
      </c>
      <c r="G159" s="269" t="s">
        <v>47</v>
      </c>
      <c r="I159" s="147"/>
      <c r="AJ159" s="229">
        <v>0.14000000000000001</v>
      </c>
      <c r="AK159" s="229">
        <v>0.14000000000000001</v>
      </c>
      <c r="AL159" s="229">
        <v>0.14000000000000001</v>
      </c>
      <c r="AM159" s="229">
        <v>0.14000000000000001</v>
      </c>
      <c r="AN159" s="229">
        <v>0.14000000000000001</v>
      </c>
      <c r="AO159" s="229">
        <v>0.14000000000000001</v>
      </c>
      <c r="AP159" s="229">
        <v>0.14000000000000001</v>
      </c>
      <c r="AQ159" s="229">
        <v>0.14000000000000001</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8.7692789442780921</v>
      </c>
      <c r="AK161" s="213">
        <f t="shared" ref="AK161:AQ161" si="10">AK25</f>
        <v>10.519279978091445</v>
      </c>
      <c r="AL161" s="213">
        <f t="shared" si="10"/>
        <v>14.198452940244946</v>
      </c>
      <c r="AM161" s="213">
        <f t="shared" si="10"/>
        <v>15.22094664512527</v>
      </c>
      <c r="AN161" s="213">
        <f t="shared" si="10"/>
        <v>19.376620782625466</v>
      </c>
      <c r="AO161" s="213">
        <f t="shared" si="10"/>
        <v>18.892383695804199</v>
      </c>
      <c r="AP161" s="213">
        <f t="shared" si="10"/>
        <v>22.690354265026276</v>
      </c>
      <c r="AQ161" s="213">
        <f t="shared" si="10"/>
        <v>21.369591668463283</v>
      </c>
    </row>
    <row r="162" spans="5:43" s="269" customFormat="1" ht="15" customHeight="1">
      <c r="E162" s="357" t="str">
        <f>Input!E162</f>
        <v>Allocation to load related capex</v>
      </c>
      <c r="G162" s="269" t="s">
        <v>47</v>
      </c>
      <c r="I162" s="147"/>
      <c r="AJ162" s="229">
        <v>0.98938843325862702</v>
      </c>
      <c r="AK162" s="229">
        <v>0.99095276205846672</v>
      </c>
      <c r="AL162" s="229">
        <v>0.99311787420676156</v>
      </c>
      <c r="AM162" s="229">
        <v>0.99378877041984526</v>
      </c>
      <c r="AN162" s="229">
        <v>0.99502839579443181</v>
      </c>
      <c r="AO162" s="229">
        <v>0.99475619068931442</v>
      </c>
      <c r="AP162" s="229">
        <v>0.99578136801493189</v>
      </c>
      <c r="AQ162" s="229">
        <v>0.99542276509288985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1.061156674137298E-2</v>
      </c>
      <c r="AK167" s="229">
        <v>9.0472379415332815E-3</v>
      </c>
      <c r="AL167" s="229">
        <v>6.8821257932384361E-3</v>
      </c>
      <c r="AM167" s="229">
        <v>6.2112295801547424E-3</v>
      </c>
      <c r="AN167" s="229">
        <v>4.9716042055681919E-3</v>
      </c>
      <c r="AO167" s="229">
        <v>5.2438093106855765E-3</v>
      </c>
      <c r="AP167" s="229">
        <v>4.2186319850681109E-3</v>
      </c>
      <c r="AQ167" s="229">
        <v>4.5772349071101504E-3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1</v>
      </c>
      <c r="AK172" s="229">
        <v>1</v>
      </c>
      <c r="AL172" s="229">
        <v>1</v>
      </c>
      <c r="AM172" s="229">
        <v>1</v>
      </c>
      <c r="AN172" s="229">
        <v>1</v>
      </c>
      <c r="AO172" s="229">
        <v>1</v>
      </c>
      <c r="AP172" s="229">
        <v>1</v>
      </c>
      <c r="AQ172" s="229">
        <v>1</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0</v>
      </c>
      <c r="AK176" s="229">
        <v>0</v>
      </c>
      <c r="AL176" s="229">
        <v>0</v>
      </c>
      <c r="AM176" s="229">
        <v>0</v>
      </c>
      <c r="AN176" s="229">
        <v>0</v>
      </c>
      <c r="AO176" s="229">
        <v>0</v>
      </c>
      <c r="AP176" s="229">
        <v>0</v>
      </c>
      <c r="AQ176" s="229">
        <v>0</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AJ28</f>
        <v>20.804712419843803</v>
      </c>
      <c r="AK188" s="213">
        <f t="shared" ref="AK188:AQ188" si="13">AK28</f>
        <v>21.094202113379499</v>
      </c>
      <c r="AL188" s="213">
        <f t="shared" si="13"/>
        <v>21.265703043277878</v>
      </c>
      <c r="AM188" s="213">
        <f t="shared" si="13"/>
        <v>21.964143633310265</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v>0</v>
      </c>
      <c r="AK189" s="229">
        <v>0</v>
      </c>
      <c r="AL189" s="229">
        <v>0</v>
      </c>
      <c r="AM189" s="229">
        <v>0</v>
      </c>
      <c r="AN189" s="229">
        <v>0</v>
      </c>
      <c r="AO189" s="229">
        <v>0</v>
      </c>
      <c r="AP189" s="229">
        <v>0</v>
      </c>
      <c r="AQ189" s="229">
        <v>0</v>
      </c>
    </row>
    <row r="190" spans="5:43" ht="15" customHeight="1">
      <c r="E190" s="357" t="str">
        <f>Input!E190</f>
        <v>Allocation to non-load related capex - asset replacement</v>
      </c>
      <c r="F190" s="269"/>
      <c r="G190" s="269" t="s">
        <v>47</v>
      </c>
      <c r="AJ190" s="229">
        <v>0</v>
      </c>
      <c r="AK190" s="229">
        <v>0</v>
      </c>
      <c r="AL190" s="229">
        <v>0</v>
      </c>
      <c r="AM190" s="229">
        <v>0</v>
      </c>
      <c r="AN190" s="229">
        <v>0</v>
      </c>
      <c r="AO190" s="229">
        <v>0</v>
      </c>
      <c r="AP190" s="229">
        <v>0</v>
      </c>
      <c r="AQ190" s="229">
        <v>0</v>
      </c>
    </row>
    <row r="191" spans="5:43" ht="15" customHeight="1">
      <c r="E191" s="357" t="str">
        <f>Input!E191</f>
        <v>Allocation to non-load related capex - other</v>
      </c>
      <c r="F191" s="269"/>
      <c r="G191" s="269" t="s">
        <v>47</v>
      </c>
      <c r="AJ191" s="229">
        <v>0</v>
      </c>
      <c r="AK191" s="229">
        <v>0</v>
      </c>
      <c r="AL191" s="229">
        <v>0</v>
      </c>
      <c r="AM191" s="229">
        <v>0</v>
      </c>
      <c r="AN191" s="229">
        <v>0</v>
      </c>
      <c r="AO191" s="229">
        <v>0</v>
      </c>
      <c r="AP191" s="229">
        <v>0</v>
      </c>
      <c r="AQ191" s="229">
        <v>0</v>
      </c>
    </row>
    <row r="192" spans="5:43" ht="15" customHeight="1">
      <c r="E192" s="357" t="str">
        <f>Input!E192</f>
        <v>Allocation to faults</v>
      </c>
      <c r="F192" s="269"/>
      <c r="G192" s="269" t="s">
        <v>47</v>
      </c>
      <c r="AJ192" s="229">
        <v>0</v>
      </c>
      <c r="AK192" s="229">
        <v>0</v>
      </c>
      <c r="AL192" s="229">
        <v>0</v>
      </c>
      <c r="AM192" s="229">
        <v>0</v>
      </c>
      <c r="AN192" s="229">
        <v>0</v>
      </c>
      <c r="AO192" s="229">
        <v>0</v>
      </c>
      <c r="AP192" s="229">
        <v>0</v>
      </c>
      <c r="AQ192" s="229">
        <v>0</v>
      </c>
    </row>
    <row r="193" spans="5:43" s="378" customFormat="1" ht="15" customHeight="1">
      <c r="E193" s="357" t="s">
        <v>721</v>
      </c>
      <c r="F193" s="269"/>
      <c r="G193" s="269" t="s">
        <v>47</v>
      </c>
      <c r="AJ193" s="229">
        <v>0</v>
      </c>
      <c r="AK193" s="229">
        <v>0</v>
      </c>
      <c r="AL193" s="229">
        <v>0</v>
      </c>
      <c r="AM193" s="229">
        <v>0</v>
      </c>
      <c r="AN193" s="229">
        <v>0</v>
      </c>
      <c r="AO193" s="229">
        <v>0</v>
      </c>
      <c r="AP193" s="229">
        <v>0</v>
      </c>
      <c r="AQ193" s="229">
        <v>0</v>
      </c>
    </row>
    <row r="194" spans="5:43" ht="15" customHeight="1">
      <c r="E194" s="357" t="str">
        <f>Input!E194</f>
        <v>Allocation to 100% ‘revenue pool’ expenditure</v>
      </c>
      <c r="F194" s="269"/>
      <c r="G194" s="269" t="s">
        <v>47</v>
      </c>
      <c r="AJ194" s="229">
        <v>0</v>
      </c>
      <c r="AK194" s="229">
        <v>0</v>
      </c>
      <c r="AL194" s="229">
        <v>0</v>
      </c>
      <c r="AM194" s="229">
        <v>0</v>
      </c>
      <c r="AN194" s="229">
        <v>0</v>
      </c>
      <c r="AO194" s="229">
        <v>0</v>
      </c>
      <c r="AP194" s="229">
        <v>0</v>
      </c>
      <c r="AQ194" s="229">
        <v>0</v>
      </c>
    </row>
    <row r="195" spans="5:43" ht="15" customHeight="1">
      <c r="E195" s="357" t="str">
        <f>Input!E195</f>
        <v>Allocation to controllable opex</v>
      </c>
      <c r="F195" s="269"/>
      <c r="G195" s="269" t="s">
        <v>47</v>
      </c>
      <c r="AJ195" s="229">
        <v>1</v>
      </c>
      <c r="AK195" s="229">
        <v>1</v>
      </c>
      <c r="AL195" s="229">
        <v>1</v>
      </c>
      <c r="AM195" s="229">
        <v>1</v>
      </c>
      <c r="AN195" s="229">
        <v>1</v>
      </c>
      <c r="AO195" s="229">
        <v>1</v>
      </c>
      <c r="AP195" s="229">
        <v>1</v>
      </c>
      <c r="AQ195" s="229">
        <v>1</v>
      </c>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1.0302844954186208</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v>0</v>
      </c>
      <c r="AK198" s="229">
        <v>0</v>
      </c>
      <c r="AL198" s="229">
        <v>0</v>
      </c>
      <c r="AM198" s="229">
        <v>0</v>
      </c>
      <c r="AN198" s="229">
        <v>0</v>
      </c>
      <c r="AO198" s="229">
        <v>0</v>
      </c>
      <c r="AP198" s="229">
        <v>0</v>
      </c>
      <c r="AQ198" s="229">
        <v>0</v>
      </c>
    </row>
    <row r="199" spans="5:43" s="378" customFormat="1" ht="15" customHeight="1">
      <c r="E199" s="357" t="str">
        <f>Input!E199</f>
        <v>Allocation to non-load related capex - asset replacement</v>
      </c>
      <c r="F199" s="269"/>
      <c r="G199" s="269" t="s">
        <v>47</v>
      </c>
      <c r="AJ199" s="229">
        <v>0</v>
      </c>
      <c r="AK199" s="229">
        <v>0</v>
      </c>
      <c r="AL199" s="229">
        <v>0</v>
      </c>
      <c r="AM199" s="229">
        <v>0</v>
      </c>
      <c r="AN199" s="229">
        <v>0</v>
      </c>
      <c r="AO199" s="229">
        <v>0</v>
      </c>
      <c r="AP199" s="229">
        <v>0</v>
      </c>
      <c r="AQ199" s="229">
        <v>0</v>
      </c>
    </row>
    <row r="200" spans="5:43" s="378" customFormat="1" ht="15" customHeight="1">
      <c r="E200" s="357" t="str">
        <f>Input!E200</f>
        <v>Allocation to non-load related capex - other</v>
      </c>
      <c r="F200" s="269"/>
      <c r="G200" s="269" t="s">
        <v>47</v>
      </c>
      <c r="AJ200" s="229">
        <v>0</v>
      </c>
      <c r="AK200" s="229">
        <v>0</v>
      </c>
      <c r="AL200" s="229">
        <v>0</v>
      </c>
      <c r="AM200" s="229">
        <v>0</v>
      </c>
      <c r="AN200" s="229">
        <v>0</v>
      </c>
      <c r="AO200" s="229">
        <v>0</v>
      </c>
      <c r="AP200" s="229">
        <v>0</v>
      </c>
      <c r="AQ200" s="229">
        <v>0</v>
      </c>
    </row>
    <row r="201" spans="5:43" s="378" customFormat="1" ht="15" customHeight="1">
      <c r="E201" s="357" t="str">
        <f>Input!E201</f>
        <v>Allocation to faults</v>
      </c>
      <c r="F201" s="269"/>
      <c r="G201" s="269" t="s">
        <v>47</v>
      </c>
      <c r="AJ201" s="229">
        <v>0</v>
      </c>
      <c r="AK201" s="229">
        <v>0</v>
      </c>
      <c r="AL201" s="229">
        <v>0</v>
      </c>
      <c r="AM201" s="229">
        <v>0</v>
      </c>
      <c r="AN201" s="229">
        <v>0</v>
      </c>
      <c r="AO201" s="229">
        <v>0</v>
      </c>
      <c r="AP201" s="229">
        <v>0</v>
      </c>
      <c r="AQ201" s="229">
        <v>0</v>
      </c>
    </row>
    <row r="202" spans="5:43" s="378" customFormat="1" ht="15" customHeight="1">
      <c r="E202" s="357" t="s">
        <v>721</v>
      </c>
      <c r="F202" s="269"/>
      <c r="G202" s="269" t="s">
        <v>47</v>
      </c>
      <c r="AJ202" s="229">
        <v>0</v>
      </c>
      <c r="AK202" s="229">
        <v>0</v>
      </c>
      <c r="AL202" s="229">
        <v>0</v>
      </c>
      <c r="AM202" s="229">
        <v>0</v>
      </c>
      <c r="AN202" s="229">
        <v>0</v>
      </c>
      <c r="AO202" s="229">
        <v>0</v>
      </c>
      <c r="AP202" s="229">
        <v>0</v>
      </c>
      <c r="AQ202" s="229">
        <v>0</v>
      </c>
    </row>
    <row r="203" spans="5:43" s="378" customFormat="1" ht="15" customHeight="1">
      <c r="E203" s="357" t="str">
        <f>Input!E203</f>
        <v>Allocation to 100% ‘revenue pool’ expenditure</v>
      </c>
      <c r="F203" s="269"/>
      <c r="G203" s="269" t="s">
        <v>47</v>
      </c>
      <c r="AJ203" s="229">
        <v>0</v>
      </c>
      <c r="AK203" s="229">
        <v>0</v>
      </c>
      <c r="AL203" s="229">
        <v>0</v>
      </c>
      <c r="AM203" s="229">
        <v>0</v>
      </c>
      <c r="AN203" s="229">
        <v>0</v>
      </c>
      <c r="AO203" s="229">
        <v>0</v>
      </c>
      <c r="AP203" s="229">
        <v>0</v>
      </c>
      <c r="AQ203" s="229">
        <v>0</v>
      </c>
    </row>
    <row r="204" spans="5:43" s="378" customFormat="1" ht="15" customHeight="1">
      <c r="E204" s="357" t="str">
        <f>Input!E204</f>
        <v>Allocation to controllable opex</v>
      </c>
      <c r="F204" s="269"/>
      <c r="G204" s="269" t="s">
        <v>47</v>
      </c>
      <c r="AJ204" s="229">
        <v>1</v>
      </c>
      <c r="AK204" s="229">
        <v>1</v>
      </c>
      <c r="AL204" s="229">
        <v>1</v>
      </c>
      <c r="AM204" s="229">
        <v>1</v>
      </c>
      <c r="AN204" s="229">
        <v>1</v>
      </c>
      <c r="AO204" s="229">
        <v>1</v>
      </c>
      <c r="AP204" s="229">
        <v>1</v>
      </c>
      <c r="AQ204" s="229">
        <v>1</v>
      </c>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v>0</v>
      </c>
      <c r="AK216" s="229">
        <v>0</v>
      </c>
      <c r="AL216" s="229">
        <v>0</v>
      </c>
      <c r="AM216" s="229">
        <v>0</v>
      </c>
      <c r="AN216" s="229">
        <v>0</v>
      </c>
      <c r="AO216" s="229">
        <v>0</v>
      </c>
      <c r="AP216" s="229">
        <v>0</v>
      </c>
      <c r="AQ216" s="229">
        <v>0</v>
      </c>
    </row>
    <row r="217" spans="5:43" s="378" customFormat="1" ht="15" customHeight="1">
      <c r="E217" s="357" t="str">
        <f>Input!E217</f>
        <v>Allocation to non-load related capex - asset replacement</v>
      </c>
      <c r="G217" s="269" t="s">
        <v>47</v>
      </c>
      <c r="AJ217" s="229">
        <v>0</v>
      </c>
      <c r="AK217" s="229">
        <v>0</v>
      </c>
      <c r="AL217" s="229">
        <v>0</v>
      </c>
      <c r="AM217" s="229">
        <v>0</v>
      </c>
      <c r="AN217" s="229">
        <v>0</v>
      </c>
      <c r="AO217" s="229">
        <v>0</v>
      </c>
      <c r="AP217" s="229">
        <v>0</v>
      </c>
      <c r="AQ217" s="229">
        <v>0</v>
      </c>
    </row>
    <row r="218" spans="5:43" s="378" customFormat="1" ht="15" customHeight="1">
      <c r="E218" s="357" t="str">
        <f>Input!E218</f>
        <v>Allocation to non-load related capex - other</v>
      </c>
      <c r="G218" s="269" t="s">
        <v>47</v>
      </c>
      <c r="AJ218" s="229">
        <v>0</v>
      </c>
      <c r="AK218" s="229">
        <v>0</v>
      </c>
      <c r="AL218" s="229">
        <v>0</v>
      </c>
      <c r="AM218" s="229">
        <v>0</v>
      </c>
      <c r="AN218" s="229">
        <v>0</v>
      </c>
      <c r="AO218" s="229">
        <v>0</v>
      </c>
      <c r="AP218" s="229">
        <v>0</v>
      </c>
      <c r="AQ218" s="229">
        <v>0</v>
      </c>
    </row>
    <row r="219" spans="5:43" s="378" customFormat="1" ht="15" customHeight="1">
      <c r="E219" s="357" t="str">
        <f>Input!E219</f>
        <v>Allocation to faults</v>
      </c>
      <c r="G219" s="269" t="s">
        <v>47</v>
      </c>
      <c r="AJ219" s="229">
        <v>0</v>
      </c>
      <c r="AK219" s="229">
        <v>0</v>
      </c>
      <c r="AL219" s="229">
        <v>0</v>
      </c>
      <c r="AM219" s="229">
        <v>0</v>
      </c>
      <c r="AN219" s="229">
        <v>0</v>
      </c>
      <c r="AO219" s="229">
        <v>0</v>
      </c>
      <c r="AP219" s="229">
        <v>0</v>
      </c>
      <c r="AQ219" s="229">
        <v>0</v>
      </c>
    </row>
    <row r="220" spans="5:43" s="378" customFormat="1" ht="15" customHeight="1">
      <c r="E220" s="357" t="s">
        <v>721</v>
      </c>
      <c r="G220" s="269" t="s">
        <v>47</v>
      </c>
      <c r="AJ220" s="229">
        <v>0</v>
      </c>
      <c r="AK220" s="229">
        <v>0</v>
      </c>
      <c r="AL220" s="229">
        <v>0</v>
      </c>
      <c r="AM220" s="229">
        <v>0</v>
      </c>
      <c r="AN220" s="229">
        <v>0</v>
      </c>
      <c r="AO220" s="229">
        <v>0</v>
      </c>
      <c r="AP220" s="229">
        <v>0</v>
      </c>
      <c r="AQ220" s="229">
        <v>0</v>
      </c>
    </row>
    <row r="221" spans="5:43" s="378" customFormat="1" ht="15" customHeight="1">
      <c r="E221" s="357" t="str">
        <f>Input!E221</f>
        <v>Allocation to 100% ‘revenue pool’ expenditure</v>
      </c>
      <c r="G221" s="269" t="s">
        <v>47</v>
      </c>
      <c r="AJ221" s="229">
        <v>0</v>
      </c>
      <c r="AK221" s="229">
        <v>0</v>
      </c>
      <c r="AL221" s="229">
        <v>0</v>
      </c>
      <c r="AM221" s="229">
        <v>0</v>
      </c>
      <c r="AN221" s="229">
        <v>0</v>
      </c>
      <c r="AO221" s="229">
        <v>0</v>
      </c>
      <c r="AP221" s="229">
        <v>0</v>
      </c>
      <c r="AQ221" s="229">
        <v>0</v>
      </c>
    </row>
    <row r="222" spans="5:43" s="378" customFormat="1" ht="15" customHeight="1">
      <c r="E222" s="357" t="str">
        <f>Input!E222</f>
        <v>Allocation to controllable opex</v>
      </c>
      <c r="G222" s="269" t="s">
        <v>47</v>
      </c>
      <c r="AJ222" s="229">
        <v>0</v>
      </c>
      <c r="AK222" s="229">
        <v>0</v>
      </c>
      <c r="AL222" s="229">
        <v>0</v>
      </c>
      <c r="AM222" s="229">
        <v>0</v>
      </c>
      <c r="AN222" s="229">
        <v>0</v>
      </c>
      <c r="AO222" s="229">
        <v>0</v>
      </c>
      <c r="AP222" s="229">
        <v>0</v>
      </c>
      <c r="AQ222" s="229">
        <v>0</v>
      </c>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1</v>
      </c>
      <c r="AK226" s="229">
        <v>1</v>
      </c>
      <c r="AL226" s="229">
        <v>1</v>
      </c>
      <c r="AM226" s="229">
        <v>1</v>
      </c>
      <c r="AN226" s="229">
        <v>1</v>
      </c>
      <c r="AO226" s="229">
        <v>1</v>
      </c>
      <c r="AP226" s="229">
        <v>1</v>
      </c>
      <c r="AQ226" s="229">
        <v>1</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0</v>
      </c>
      <c r="AK230" s="229">
        <v>0</v>
      </c>
      <c r="AL230" s="229">
        <v>0</v>
      </c>
      <c r="AM230" s="229">
        <v>0</v>
      </c>
      <c r="AN230" s="229">
        <v>0</v>
      </c>
      <c r="AO230" s="229">
        <v>0</v>
      </c>
      <c r="AP230" s="229">
        <v>0</v>
      </c>
      <c r="AQ230" s="229">
        <v>0</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8.6762231554871683</v>
      </c>
      <c r="AK242" s="150">
        <f t="shared" ref="AK242:AQ242" si="19">(AK$107*AK108)+(AK$116*AK117)+(AK$125*AK126)+(AK$134*AK135)+(AK$143*AK144)+(AK$152*AK153)+(AK$161*AK162)+(AK$170*AK171)+(AK$179*AK180)+(AK$197*AK198)+(AK$188*AK189)+(AK206*AK207)+(AK215*AK216)+(AK$224*AK225)+(AK$233*AK234)</f>
        <v>10.424109549156045</v>
      </c>
      <c r="AL242" s="150">
        <f t="shared" si="19"/>
        <v>14.100737401040805</v>
      </c>
      <c r="AM242" s="150">
        <f t="shared" si="19"/>
        <v>15.126405851085112</v>
      </c>
      <c r="AN242" s="150">
        <f t="shared" si="19"/>
        <v>19.280287893252865</v>
      </c>
      <c r="AO242" s="150">
        <f t="shared" si="19"/>
        <v>18.793315638279097</v>
      </c>
      <c r="AP242" s="150">
        <f t="shared" si="19"/>
        <v>22.59463201077131</v>
      </c>
      <c r="AQ242" s="150">
        <f t="shared" si="19"/>
        <v>21.271778027527702</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0.10798052333975638</v>
      </c>
      <c r="AK247" s="150">
        <f t="shared" ref="AK247:AQ247" si="24">(AK$107*AK113)+(AK$116*AK122)+(AK$125*AK131)+(AK$134*AK140)+(AK$143*AK149)+(AK$152*AK158)+(AK$161*AK167)+(AK$170*AK176)+(AK$179*AK185)+(AK$197*AK203)+(AK$188*AK194)+(AK206*AK212)+(AK215*AK221)+(AK$224*AK230)+(AK$233*AK239)</f>
        <v>0.12208520501858774</v>
      </c>
      <c r="AL247" s="150">
        <f t="shared" si="24"/>
        <v>0.13053505714358082</v>
      </c>
      <c r="AM247" s="150">
        <f t="shared" si="24"/>
        <v>0.12984253043805805</v>
      </c>
      <c r="AN247" s="150">
        <f t="shared" si="24"/>
        <v>0.13044252935946302</v>
      </c>
      <c r="AO247" s="150">
        <f t="shared" si="24"/>
        <v>0.12948812740088173</v>
      </c>
      <c r="AP247" s="150">
        <f t="shared" si="24"/>
        <v>9.5722254254966471E-2</v>
      </c>
      <c r="AQ247" s="150">
        <f t="shared" si="24"/>
        <v>9.781364093558037E-2</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22.131601139862891</v>
      </c>
      <c r="AK248" s="150">
        <f t="shared" ref="AK248:AQ248" si="25">(AK$107*AK114)+(AK$116*AK123)+(AK$125*AK132)+(AK$134*AK141)+(AK$143*AK150)+(AK$152*AK159)+(AK$161*AK168)+(AK$170*AK177)+(AK$179*AK186)+(AK$197*AK204)+(AK$188*AK195)+(AK206*AK213)+(AK215*AK222)+(AK$224*AK231)+(AK$233*AK240)</f>
        <v>21.658120501874443</v>
      </c>
      <c r="AL248" s="150">
        <f t="shared" si="25"/>
        <v>22.06403781715473</v>
      </c>
      <c r="AM248" s="150">
        <f t="shared" si="25"/>
        <v>22.850721527417498</v>
      </c>
      <c r="AN248" s="150">
        <f t="shared" si="25"/>
        <v>0.8477220097877739</v>
      </c>
      <c r="AO248" s="150">
        <f t="shared" si="25"/>
        <v>0.58761434976713622</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31.185166041417549</v>
      </c>
      <c r="AK262" s="227">
        <v>30.102007468980787</v>
      </c>
      <c r="AL262" s="227">
        <v>31.494722360975956</v>
      </c>
      <c r="AM262" s="227">
        <v>31.877472325771585</v>
      </c>
      <c r="AN262" s="227">
        <v>25.711285714285715</v>
      </c>
      <c r="AO262" s="227">
        <v>25.451000000000001</v>
      </c>
      <c r="AP262" s="227">
        <v>25.266000000000002</v>
      </c>
      <c r="AQ262" s="227">
        <v>25.266000000000002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14.388999999999999</v>
      </c>
      <c r="AK263" s="227">
        <v>14.448</v>
      </c>
      <c r="AL263" s="227">
        <v>15.147</v>
      </c>
      <c r="AM263" s="227">
        <v>16.111000000000001</v>
      </c>
      <c r="AN263" s="227">
        <v>16.989000000000001</v>
      </c>
      <c r="AO263" s="227">
        <v>17.704999999999998</v>
      </c>
      <c r="AP263" s="227">
        <v>18.495999999999999</v>
      </c>
      <c r="AQ263" s="227">
        <v>18.297000000000001</v>
      </c>
    </row>
    <row r="264" spans="2:44" ht="15" customHeight="1">
      <c r="E264" s="19" t="s">
        <v>105</v>
      </c>
      <c r="G264" s="19" t="s">
        <v>657</v>
      </c>
      <c r="AJ264" s="165">
        <f>SUM(AJ262:AJ263)</f>
        <v>45.574166041417548</v>
      </c>
      <c r="AK264" s="165">
        <f t="shared" ref="AK264:AQ264" si="31">SUM(AK262:AK263)</f>
        <v>44.550007468980787</v>
      </c>
      <c r="AL264" s="165">
        <f t="shared" si="31"/>
        <v>46.641722360975955</v>
      </c>
      <c r="AM264" s="165">
        <f t="shared" si="31"/>
        <v>47.988472325771582</v>
      </c>
      <c r="AN264" s="165">
        <f t="shared" si="31"/>
        <v>42.700285714285712</v>
      </c>
      <c r="AO264" s="165">
        <f t="shared" si="31"/>
        <v>43.155999999999999</v>
      </c>
      <c r="AP264" s="165">
        <f t="shared" si="31"/>
        <v>43.762</v>
      </c>
      <c r="AQ264" s="165">
        <f t="shared" si="31"/>
        <v>43.563000000000002</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12.858547836659719</v>
      </c>
      <c r="AK268" s="213">
        <f t="shared" si="33"/>
        <v>12.858547836659719</v>
      </c>
      <c r="AL268" s="213">
        <f t="shared" si="33"/>
        <v>12.858547836659719</v>
      </c>
      <c r="AM268" s="213">
        <f t="shared" si="33"/>
        <v>12.858547836659719</v>
      </c>
      <c r="AN268" s="213">
        <f t="shared" si="33"/>
        <v>12.858547836659719</v>
      </c>
      <c r="AO268" s="213">
        <f t="shared" si="33"/>
        <v>12.858547836659719</v>
      </c>
      <c r="AP268" s="213">
        <f t="shared" si="33"/>
        <v>12.858547836659719</v>
      </c>
      <c r="AQ268" s="213">
        <f t="shared" si="33"/>
        <v>12.858547836659719</v>
      </c>
      <c r="AR268" s="155"/>
    </row>
    <row r="269" spans="2:44" ht="15" customHeight="1">
      <c r="E269" s="378"/>
    </row>
    <row r="270" spans="2:44" ht="15" customHeight="1">
      <c r="E270" s="378" t="str">
        <f>Input!E270</f>
        <v>Other legacy adjustments' Revenue adjustment from previous controls</v>
      </c>
      <c r="G270" s="19" t="s">
        <v>657</v>
      </c>
      <c r="H270" s="378"/>
      <c r="I270" s="219">
        <v>57.398929487010534</v>
      </c>
      <c r="AJ270" s="421">
        <f>($I$270/8)</f>
        <v>7.1748661858763167</v>
      </c>
      <c r="AK270" s="423">
        <f>($I$270/8)*(1+$AK$53)</f>
        <v>7.4444617828106185</v>
      </c>
      <c r="AL270" s="423">
        <f>($I$270/8)*(1+$AK$53)*(1+$AL$53)</f>
        <v>7.7241874342997265</v>
      </c>
      <c r="AM270" s="423">
        <f>($I$270/8)*(1+$AK$53)*(1+$AL$53)*(1+$AM$53)</f>
        <v>8.0144237771435378</v>
      </c>
      <c r="AN270" s="423">
        <f>($I$270/8)*(1+$AK$53)*(1+$AL$53)*(1+$AM$53)*(1+$AN$53)</f>
        <v>8.3155657505697054</v>
      </c>
      <c r="AO270" s="423">
        <f>($I$270/8)*(1+$AK$53)*(1+$AL$53)*(1+$AM$53)*(1+$AN$53)*(1+$AO$53)</f>
        <v>8.6280231336473605</v>
      </c>
      <c r="AP270" s="423">
        <f>($I$270/8)*(1+$AK$53)*(1+$AL$53)*(1+$AM$53)*(1+$AN$53)*(1+$AO$53)*(1+$AP$53)</f>
        <v>8.9522211028941587</v>
      </c>
      <c r="AQ270" s="424">
        <f>($I$270/8)*(1+$AK$53)*(1+$AL$53)*(1+$AM$53)*(1+$AN$53)*(1+$AO$53)*(1+$AP$53)*(1+$AQ$53)</f>
        <v>9.2886008108354066</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7.1748661858763167</v>
      </c>
      <c r="AK272" s="165">
        <f t="shared" ref="AK272:AQ272" si="34">AK270+AK271</f>
        <v>7.4444617828106185</v>
      </c>
      <c r="AL272" s="165">
        <f t="shared" si="34"/>
        <v>7.7241874342997265</v>
      </c>
      <c r="AM272" s="165">
        <f t="shared" si="34"/>
        <v>8.0144237771435378</v>
      </c>
      <c r="AN272" s="165">
        <f t="shared" si="34"/>
        <v>8.3155657505697054</v>
      </c>
      <c r="AO272" s="165">
        <f t="shared" si="34"/>
        <v>8.6280231336473605</v>
      </c>
      <c r="AP272" s="165">
        <f t="shared" si="34"/>
        <v>8.9522211028941587</v>
      </c>
      <c r="AQ272" s="165">
        <f t="shared" si="34"/>
        <v>9.2886008108354066</v>
      </c>
    </row>
    <row r="273" spans="5:43" ht="15" customHeight="1">
      <c r="E273" s="378"/>
    </row>
    <row r="274" spans="5:43" ht="15" customHeight="1">
      <c r="E274" s="378" t="str">
        <f>Input!E274</f>
        <v>RAV Rolling Incentive legacy adjustments' price control allowed revenue</v>
      </c>
      <c r="G274" s="378" t="str">
        <f>Input!G274</f>
        <v>£m 12/13 prices</v>
      </c>
      <c r="I274" s="219">
        <v>4.8347983045528036</v>
      </c>
      <c r="AJ274" s="422">
        <f>($I$274/8)</f>
        <v>0.60434978806910045</v>
      </c>
      <c r="AK274" s="423">
        <f>($I$274/8)*(1+$AK$53)</f>
        <v>0.62705823135579686</v>
      </c>
      <c r="AL274" s="423">
        <f>($I$274/8)*(1+$AK$53)*(1+$AL$53)</f>
        <v>0.65061994439899085</v>
      </c>
      <c r="AM274" s="423">
        <f>($I$274/8)*(1+$AK$53)*(1+$AL$53)*(1+$AM$53)</f>
        <v>0.67506698880978289</v>
      </c>
      <c r="AN274" s="423">
        <f>($I$274/8)*(1+$AK$53)*(1+$AL$53)*(1+$AM$53)*(1+$AN$53)</f>
        <v>0.70043263091431041</v>
      </c>
      <c r="AO274" s="423">
        <f>($I$274/8)*(1+$AK$53)*(1+$AL$53)*(1+$AM$53)*(1+$AN$53)*(1+$AO$53)</f>
        <v>0.72675138702091557</v>
      </c>
      <c r="AP274" s="423">
        <f>($I$274/8)*(1+$AK$53)*(1+$AL$53)*(1+$AM$53)*(1+$AN$53)*(1+$AO$53)*(1+$AP$53)</f>
        <v>0.75405907038822639</v>
      </c>
      <c r="AQ274" s="424">
        <f>($I$274/8)*(1+$AK$53)*(1+$AL$53)*(1+$AM$53)*(1+$AN$53)*(1+$AO$53)*(1+$AP$53)*(1+$AQ$53)</f>
        <v>0.78239283995806397</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0.60434978806910045</v>
      </c>
      <c r="AK276" s="165">
        <f t="shared" ref="AK276:AQ276" si="35">AK274+AK275</f>
        <v>0.62705823135579686</v>
      </c>
      <c r="AL276" s="165">
        <f t="shared" si="35"/>
        <v>0.65061994439899085</v>
      </c>
      <c r="AM276" s="165">
        <f t="shared" si="35"/>
        <v>0.67506698880978289</v>
      </c>
      <c r="AN276" s="165">
        <f t="shared" si="35"/>
        <v>0.70043263091431041</v>
      </c>
      <c r="AO276" s="165">
        <f t="shared" si="35"/>
        <v>0.72675138702091557</v>
      </c>
      <c r="AP276" s="165">
        <f t="shared" si="35"/>
        <v>0.75405907038822639</v>
      </c>
      <c r="AQ276" s="165">
        <f t="shared" si="35"/>
        <v>0.78239283995806397</v>
      </c>
    </row>
    <row r="277" spans="5:43" s="378" customFormat="1" ht="15" customHeight="1">
      <c r="F277" s="19"/>
      <c r="G277" s="19"/>
      <c r="AJ277" s="155"/>
      <c r="AK277" s="155"/>
      <c r="AL277" s="155"/>
      <c r="AM277" s="155"/>
      <c r="AN277" s="155"/>
      <c r="AO277" s="155"/>
      <c r="AP277" s="155"/>
      <c r="AQ277" s="155"/>
    </row>
    <row r="278" spans="5:43" s="378" customFormat="1" ht="15" customHeight="1">
      <c r="E278" s="378" t="s">
        <v>822</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8.1615658943609084</v>
      </c>
      <c r="AK280" s="227">
        <v>8.1615658943609084</v>
      </c>
      <c r="AL280" s="227">
        <v>7.8752465689755766</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0.13994399999999999</v>
      </c>
      <c r="AK283" s="219">
        <v>0.13994399999999999</v>
      </c>
      <c r="AL283" s="219">
        <v>0.13994399999999999</v>
      </c>
      <c r="AM283" s="219">
        <v>0.13994399999999999</v>
      </c>
      <c r="AN283" s="219">
        <v>0.13994399999999999</v>
      </c>
      <c r="AO283" s="219">
        <v>0.13994399999999999</v>
      </c>
      <c r="AP283" s="219">
        <v>0.13994399999999999</v>
      </c>
      <c r="AQ283" s="219">
        <v>0.13994399999999999</v>
      </c>
    </row>
    <row r="284" spans="5:43" s="378" customFormat="1" ht="15" customHeight="1">
      <c r="E284" s="378" t="str">
        <f>Input!E284</f>
        <v>Value Added Services (DRS 8) costs</v>
      </c>
      <c r="G284" s="19" t="s">
        <v>657</v>
      </c>
      <c r="AJ284" s="219">
        <v>-1.0829E-2</v>
      </c>
      <c r="AK284" s="219">
        <v>-1.0829E-2</v>
      </c>
      <c r="AL284" s="219">
        <v>-1.0829E-2</v>
      </c>
      <c r="AM284" s="219">
        <v>-1.0829E-2</v>
      </c>
      <c r="AN284" s="219">
        <v>-1.0829E-2</v>
      </c>
      <c r="AO284" s="219">
        <v>-1.0829E-2</v>
      </c>
      <c r="AP284" s="219">
        <v>-1.0829E-2</v>
      </c>
      <c r="AQ284" s="219">
        <v>-1.0829E-2</v>
      </c>
    </row>
    <row r="285" spans="5:43" s="378" customFormat="1" ht="15" customHeight="1">
      <c r="E285" s="378" t="s">
        <v>790</v>
      </c>
      <c r="G285" s="19" t="s">
        <v>657</v>
      </c>
      <c r="AJ285" s="165">
        <f>SUM(AJ283,AJ284)</f>
        <v>0.12911499999999998</v>
      </c>
      <c r="AK285" s="165">
        <f t="shared" ref="AK285:AQ285" si="36">SUM(AK283,AK284)</f>
        <v>0.12911499999999998</v>
      </c>
      <c r="AL285" s="165">
        <f t="shared" si="36"/>
        <v>0.12911499999999998</v>
      </c>
      <c r="AM285" s="165">
        <f t="shared" si="36"/>
        <v>0.12911499999999998</v>
      </c>
      <c r="AN285" s="165">
        <f t="shared" si="36"/>
        <v>0.12911499999999998</v>
      </c>
      <c r="AO285" s="165">
        <f t="shared" si="36"/>
        <v>0.12911499999999998</v>
      </c>
      <c r="AP285" s="165">
        <f t="shared" si="36"/>
        <v>0.12911499999999998</v>
      </c>
      <c r="AQ285" s="165">
        <f t="shared" si="36"/>
        <v>0.12911499999999998</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1.0200559999999999</v>
      </c>
      <c r="AK287" s="219">
        <v>1.0200559999999999</v>
      </c>
      <c r="AL287" s="219">
        <v>1.0200559999999999</v>
      </c>
      <c r="AM287" s="219">
        <v>1.0200559999999999</v>
      </c>
      <c r="AN287" s="219">
        <v>1.0200559999999999</v>
      </c>
      <c r="AO287" s="219">
        <v>1.0200559999999999</v>
      </c>
      <c r="AP287" s="219">
        <v>1.0200559999999999</v>
      </c>
      <c r="AQ287" s="219">
        <v>1.0200559999999999</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-0.119171</v>
      </c>
      <c r="AK288" s="219">
        <v>-0.119171</v>
      </c>
      <c r="AL288" s="219">
        <v>-0.119171</v>
      </c>
      <c r="AM288" s="219">
        <v>-0.119171</v>
      </c>
      <c r="AN288" s="219">
        <v>-0.119171</v>
      </c>
      <c r="AO288" s="219">
        <v>-0.119171</v>
      </c>
      <c r="AP288" s="219">
        <v>-0.119171</v>
      </c>
      <c r="AQ288" s="219">
        <v>-0.119171</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0.90088499999999982</v>
      </c>
      <c r="AK289" s="165">
        <f t="shared" ref="AK289:AQ289" si="37">SUM(AK287,AK288)</f>
        <v>0.90088499999999982</v>
      </c>
      <c r="AL289" s="165">
        <f t="shared" si="37"/>
        <v>0.90088499999999982</v>
      </c>
      <c r="AM289" s="165">
        <f t="shared" si="37"/>
        <v>0.90088499999999982</v>
      </c>
      <c r="AN289" s="165">
        <f t="shared" si="37"/>
        <v>0.90088499999999982</v>
      </c>
      <c r="AO289" s="165">
        <f t="shared" si="37"/>
        <v>0.90088499999999982</v>
      </c>
      <c r="AP289" s="165">
        <f t="shared" si="37"/>
        <v>0.90088499999999982</v>
      </c>
      <c r="AQ289" s="165">
        <f t="shared" si="37"/>
        <v>0.90088499999999982</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18.29</v>
      </c>
      <c r="AK293" s="219">
        <v>19.440000000000001</v>
      </c>
      <c r="AL293" s="219">
        <v>20.52</v>
      </c>
      <c r="AM293" s="219">
        <v>21.7</v>
      </c>
      <c r="AN293" s="219">
        <v>22.2</v>
      </c>
      <c r="AO293" s="219">
        <v>22.71</v>
      </c>
      <c r="AP293" s="219">
        <v>23.2</v>
      </c>
      <c r="AQ293" s="219">
        <v>23.7</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-17.93</v>
      </c>
      <c r="AK294" s="219">
        <v>-19.02</v>
      </c>
      <c r="AL294" s="219">
        <v>-20.09</v>
      </c>
      <c r="AM294" s="219">
        <v>-21.21</v>
      </c>
      <c r="AN294" s="219">
        <v>-21.69</v>
      </c>
      <c r="AO294" s="219">
        <v>-22.189999999999998</v>
      </c>
      <c r="AP294" s="219">
        <v>-22.68</v>
      </c>
      <c r="AQ294" s="219">
        <v>-23.1</v>
      </c>
    </row>
    <row r="295" spans="4:43" ht="15" customHeight="1">
      <c r="E295" s="378" t="str">
        <f>Input!E295</f>
        <v>Connections Sole Use funded &amp; DG (DRS 1) net position</v>
      </c>
      <c r="G295" s="147" t="str">
        <f>Input!G295</f>
        <v>£m 12/13 prices</v>
      </c>
      <c r="AE295" s="165">
        <f t="shared" ref="AE295:AF295" si="38">SUM(AE293,AE294)</f>
        <v>0</v>
      </c>
      <c r="AF295" s="165">
        <f t="shared" si="38"/>
        <v>0</v>
      </c>
      <c r="AG295" s="165">
        <f t="shared" ref="AG295:AQ295" si="39">SUM(AG293,AG294)</f>
        <v>0</v>
      </c>
      <c r="AH295" s="165">
        <f t="shared" si="39"/>
        <v>0</v>
      </c>
      <c r="AI295" s="165">
        <f t="shared" si="39"/>
        <v>0</v>
      </c>
      <c r="AJ295" s="165">
        <f t="shared" si="39"/>
        <v>0.35999999999999943</v>
      </c>
      <c r="AK295" s="165">
        <f t="shared" si="39"/>
        <v>0.42000000000000171</v>
      </c>
      <c r="AL295" s="165">
        <f t="shared" si="39"/>
        <v>0.42999999999999972</v>
      </c>
      <c r="AM295" s="165">
        <f t="shared" si="39"/>
        <v>0.48999999999999844</v>
      </c>
      <c r="AN295" s="165">
        <f t="shared" si="39"/>
        <v>0.50999999999999801</v>
      </c>
      <c r="AO295" s="165">
        <f t="shared" si="39"/>
        <v>0.52000000000000313</v>
      </c>
      <c r="AP295" s="165">
        <f t="shared" si="39"/>
        <v>0.51999999999999957</v>
      </c>
      <c r="AQ295" s="165">
        <f t="shared" si="39"/>
        <v>0.59999999999999787</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0.3</v>
      </c>
      <c r="AK297" s="219">
        <v>0.32</v>
      </c>
      <c r="AL297" s="219">
        <v>0.33</v>
      </c>
      <c r="AM297" s="219">
        <v>0.33</v>
      </c>
      <c r="AN297" s="219">
        <v>0.34</v>
      </c>
      <c r="AO297" s="219">
        <v>0.34</v>
      </c>
      <c r="AP297" s="219">
        <v>0.35</v>
      </c>
      <c r="AQ297" s="219">
        <v>0.36</v>
      </c>
    </row>
    <row r="298" spans="4:43" ht="15" customHeight="1">
      <c r="E298" s="378" t="str">
        <f>Input!E298</f>
        <v>Connection projects UMC (DRS 1) costs</v>
      </c>
      <c r="G298" s="147" t="str">
        <f>Input!G298</f>
        <v>£m 12/13 prices</v>
      </c>
      <c r="AE298" s="219">
        <v>0</v>
      </c>
      <c r="AF298" s="219">
        <v>0</v>
      </c>
      <c r="AG298" s="219">
        <v>0</v>
      </c>
      <c r="AH298" s="219">
        <v>0</v>
      </c>
      <c r="AI298" s="219">
        <v>0</v>
      </c>
      <c r="AJ298" s="219">
        <v>-0.22</v>
      </c>
      <c r="AK298" s="219">
        <v>-0.25</v>
      </c>
      <c r="AL298" s="219">
        <v>-0.25</v>
      </c>
      <c r="AM298" s="219">
        <v>-0.25</v>
      </c>
      <c r="AN298" s="219">
        <v>-0.26</v>
      </c>
      <c r="AO298" s="219">
        <v>-0.26</v>
      </c>
      <c r="AP298" s="219">
        <v>-0.27</v>
      </c>
      <c r="AQ298" s="219">
        <v>-0.28000000000000003</v>
      </c>
    </row>
    <row r="299" spans="4:43" ht="15" customHeight="1">
      <c r="E299" s="378" t="str">
        <f>Input!E299</f>
        <v>Connection projects UMC (DRS 1) net position</v>
      </c>
      <c r="G299" s="147" t="str">
        <f>Input!G299</f>
        <v>£m 12/13 prices</v>
      </c>
      <c r="AE299" s="165">
        <f t="shared" ref="AE299:AF299" si="40">SUM(AE297,AE298)</f>
        <v>0</v>
      </c>
      <c r="AF299" s="165">
        <f t="shared" si="40"/>
        <v>0</v>
      </c>
      <c r="AG299" s="165">
        <f t="shared" ref="AG299:AQ299" si="41">SUM(AG297,AG298)</f>
        <v>0</v>
      </c>
      <c r="AH299" s="165">
        <f t="shared" si="41"/>
        <v>0</v>
      </c>
      <c r="AI299" s="165">
        <f t="shared" si="41"/>
        <v>0</v>
      </c>
      <c r="AJ299" s="165">
        <f t="shared" si="41"/>
        <v>7.9999999999999988E-2</v>
      </c>
      <c r="AK299" s="165">
        <f t="shared" si="41"/>
        <v>7.0000000000000007E-2</v>
      </c>
      <c r="AL299" s="165">
        <f t="shared" si="41"/>
        <v>8.0000000000000016E-2</v>
      </c>
      <c r="AM299" s="165">
        <f t="shared" si="41"/>
        <v>8.0000000000000016E-2</v>
      </c>
      <c r="AN299" s="165">
        <f t="shared" si="41"/>
        <v>8.0000000000000016E-2</v>
      </c>
      <c r="AO299" s="165">
        <f t="shared" si="41"/>
        <v>8.0000000000000016E-2</v>
      </c>
      <c r="AP299" s="165">
        <f t="shared" si="41"/>
        <v>7.999999999999996E-2</v>
      </c>
      <c r="AQ299" s="165">
        <f t="shared" si="41"/>
        <v>7.999999999999996E-2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5.05</v>
      </c>
      <c r="AK301" s="219">
        <v>1.5500000000000003</v>
      </c>
      <c r="AL301" s="219">
        <v>1.5500000000000003</v>
      </c>
      <c r="AM301" s="219">
        <v>1.5500000000000003</v>
      </c>
      <c r="AN301" s="219">
        <v>1.5500000000000003</v>
      </c>
      <c r="AO301" s="219">
        <v>1.5500000000000003</v>
      </c>
      <c r="AP301" s="219">
        <v>1.5500000000000003</v>
      </c>
      <c r="AQ301" s="219">
        <v>1.5500000000000003</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-5.6896551724137936</v>
      </c>
      <c r="AK302" s="219">
        <v>-2.0291625615763538</v>
      </c>
      <c r="AL302" s="219">
        <v>-2.0291625615763538</v>
      </c>
      <c r="AM302" s="219">
        <v>-2.0291625615763538</v>
      </c>
      <c r="AN302" s="219">
        <v>-2.0291625615763538</v>
      </c>
      <c r="AO302" s="219">
        <v>-2.0291625615763538</v>
      </c>
      <c r="AP302" s="219">
        <v>-2.0291625615763538</v>
      </c>
      <c r="AQ302" s="219">
        <v>-2.0291625615763538</v>
      </c>
    </row>
    <row r="303" spans="4:43" ht="15" customHeight="1">
      <c r="E303" s="378" t="str">
        <f>Input!E303</f>
        <v>Diversionary works under obligation (DRS 2) net position</v>
      </c>
      <c r="G303" s="147" t="str">
        <f>Input!G303</f>
        <v>£m 12/13 prices</v>
      </c>
      <c r="AE303" s="165">
        <f t="shared" ref="AE303:AI303" si="42">SUM(AE301,AE302)</f>
        <v>0</v>
      </c>
      <c r="AF303" s="165">
        <f t="shared" si="42"/>
        <v>0</v>
      </c>
      <c r="AG303" s="165">
        <f t="shared" si="42"/>
        <v>0</v>
      </c>
      <c r="AH303" s="165">
        <f t="shared" si="42"/>
        <v>0</v>
      </c>
      <c r="AI303" s="165">
        <f t="shared" si="42"/>
        <v>0</v>
      </c>
      <c r="AJ303" s="165">
        <f>SUM(AJ301,AJ302)</f>
        <v>-0.63965517241379377</v>
      </c>
      <c r="AK303" s="165">
        <f t="shared" ref="AK303:AQ303" si="43">SUM(AK301,AK302)</f>
        <v>-0.47916256157635351</v>
      </c>
      <c r="AL303" s="165">
        <f t="shared" si="43"/>
        <v>-0.47916256157635351</v>
      </c>
      <c r="AM303" s="165">
        <f t="shared" si="43"/>
        <v>-0.47916256157635351</v>
      </c>
      <c r="AN303" s="165">
        <f t="shared" si="43"/>
        <v>-0.47916256157635351</v>
      </c>
      <c r="AO303" s="165">
        <f t="shared" si="43"/>
        <v>-0.47916256157635351</v>
      </c>
      <c r="AP303" s="165">
        <f t="shared" si="43"/>
        <v>-0.47916256157635351</v>
      </c>
      <c r="AQ303" s="165">
        <f t="shared" si="43"/>
        <v>-0.47916256157635351</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0.65</v>
      </c>
      <c r="AK305" s="219">
        <v>0.65</v>
      </c>
      <c r="AL305" s="219">
        <v>0.65</v>
      </c>
      <c r="AM305" s="219">
        <v>0.65</v>
      </c>
      <c r="AN305" s="219">
        <v>0.65</v>
      </c>
      <c r="AO305" s="219">
        <v>0.65</v>
      </c>
      <c r="AP305" s="219">
        <v>0.65</v>
      </c>
      <c r="AQ305" s="219">
        <v>0.65</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-0.58034482758620698</v>
      </c>
      <c r="AK306" s="219">
        <v>-0.68083743842364508</v>
      </c>
      <c r="AL306" s="219">
        <v>-0.68083743842364508</v>
      </c>
      <c r="AM306" s="219">
        <v>-0.68083743842364508</v>
      </c>
      <c r="AN306" s="219">
        <v>-0.68083743842364508</v>
      </c>
      <c r="AO306" s="219">
        <v>-0.68083743842364508</v>
      </c>
      <c r="AP306" s="219">
        <v>-0.68083743842364508</v>
      </c>
      <c r="AQ306" s="219">
        <v>-0.68083743842364508</v>
      </c>
    </row>
    <row r="307" spans="5:43" ht="15" customHeight="1">
      <c r="E307" s="378" t="str">
        <f>Input!E307</f>
        <v>Work required by any alteration premises (DRS 3) net position</v>
      </c>
      <c r="G307" s="147" t="str">
        <f>Input!G307</f>
        <v>£m 12/13 prices</v>
      </c>
      <c r="AE307" s="165">
        <f t="shared" ref="AE307:AI307" si="44">SUM(AE305,AE306)</f>
        <v>0</v>
      </c>
      <c r="AF307" s="165">
        <f t="shared" si="44"/>
        <v>0</v>
      </c>
      <c r="AG307" s="165">
        <f t="shared" si="44"/>
        <v>0</v>
      </c>
      <c r="AH307" s="165">
        <f t="shared" si="44"/>
        <v>0</v>
      </c>
      <c r="AI307" s="165">
        <f t="shared" si="44"/>
        <v>0</v>
      </c>
      <c r="AJ307" s="165">
        <f>SUM(AJ305,AJ306)</f>
        <v>6.9655172413793043E-2</v>
      </c>
      <c r="AK307" s="165">
        <f t="shared" ref="AK307:AQ307" si="45">SUM(AK305,AK306)</f>
        <v>-3.0837438423645058E-2</v>
      </c>
      <c r="AL307" s="165">
        <f t="shared" si="45"/>
        <v>-3.0837438423645058E-2</v>
      </c>
      <c r="AM307" s="165">
        <f t="shared" si="45"/>
        <v>-3.0837438423645058E-2</v>
      </c>
      <c r="AN307" s="165">
        <f t="shared" si="45"/>
        <v>-3.0837438423645058E-2</v>
      </c>
      <c r="AO307" s="165">
        <f t="shared" si="45"/>
        <v>-3.0837438423645058E-2</v>
      </c>
      <c r="AP307" s="165">
        <f t="shared" si="45"/>
        <v>-3.0837438423645058E-2</v>
      </c>
      <c r="AQ307" s="165">
        <f t="shared" si="45"/>
        <v>-3.0837438423645058E-2</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6">SUM(AE309,AE310)</f>
        <v>0</v>
      </c>
      <c r="AF311" s="165">
        <f t="shared" si="46"/>
        <v>0</v>
      </c>
      <c r="AG311" s="165">
        <f t="shared" si="46"/>
        <v>0</v>
      </c>
      <c r="AH311" s="165">
        <f t="shared" si="46"/>
        <v>0</v>
      </c>
      <c r="AI311" s="165">
        <f t="shared" si="46"/>
        <v>0</v>
      </c>
      <c r="AJ311" s="165">
        <f>SUM(AJ309,AJ310)</f>
        <v>0</v>
      </c>
      <c r="AK311" s="165">
        <f t="shared" ref="AK311:AQ311" si="47">SUM(AK309,AK310)</f>
        <v>0</v>
      </c>
      <c r="AL311" s="165">
        <f t="shared" si="47"/>
        <v>0</v>
      </c>
      <c r="AM311" s="165">
        <f t="shared" si="47"/>
        <v>0</v>
      </c>
      <c r="AN311" s="165">
        <f t="shared" si="47"/>
        <v>0</v>
      </c>
      <c r="AO311" s="165">
        <f t="shared" si="47"/>
        <v>0</v>
      </c>
      <c r="AP311" s="165">
        <f t="shared" si="47"/>
        <v>0</v>
      </c>
      <c r="AQ311" s="165">
        <f t="shared" si="47"/>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v>
      </c>
      <c r="AK313" s="219">
        <v>0</v>
      </c>
      <c r="AL313" s="219">
        <v>0</v>
      </c>
      <c r="AM313" s="219">
        <v>0</v>
      </c>
      <c r="AN313" s="219">
        <v>0</v>
      </c>
      <c r="AO313" s="219">
        <v>0</v>
      </c>
      <c r="AP313" s="219">
        <v>0</v>
      </c>
      <c r="AQ313" s="219">
        <v>0</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v>
      </c>
      <c r="AK314" s="219">
        <v>0</v>
      </c>
      <c r="AL314" s="219">
        <v>0</v>
      </c>
      <c r="AM314" s="219">
        <v>0</v>
      </c>
      <c r="AN314" s="219">
        <v>0</v>
      </c>
      <c r="AO314" s="219">
        <v>0</v>
      </c>
      <c r="AP314" s="219">
        <v>0</v>
      </c>
      <c r="AQ314" s="219">
        <v>0</v>
      </c>
    </row>
    <row r="315" spans="5:43" ht="15" customHeight="1">
      <c r="E315" s="378" t="str">
        <f>Input!E315</f>
        <v>Revenue protection services (DRS 5) net position</v>
      </c>
      <c r="G315" s="147" t="str">
        <f>Input!G315</f>
        <v>£m 12/13 prices</v>
      </c>
      <c r="AE315" s="165">
        <f t="shared" ref="AE315:AI315" si="48">SUM(AE313,AE314)</f>
        <v>0</v>
      </c>
      <c r="AF315" s="165">
        <f t="shared" si="48"/>
        <v>0</v>
      </c>
      <c r="AG315" s="165">
        <f t="shared" si="48"/>
        <v>0</v>
      </c>
      <c r="AH315" s="165">
        <f t="shared" si="48"/>
        <v>0</v>
      </c>
      <c r="AI315" s="165">
        <f t="shared" si="48"/>
        <v>0</v>
      </c>
      <c r="AJ315" s="165">
        <f>SUM(AJ313,AJ314)</f>
        <v>0</v>
      </c>
      <c r="AK315" s="165">
        <f t="shared" ref="AK315:AQ315" si="49">SUM(AK313,AK314)</f>
        <v>0</v>
      </c>
      <c r="AL315" s="165">
        <f t="shared" si="49"/>
        <v>0</v>
      </c>
      <c r="AM315" s="165">
        <f t="shared" si="49"/>
        <v>0</v>
      </c>
      <c r="AN315" s="165">
        <f t="shared" si="49"/>
        <v>0</v>
      </c>
      <c r="AO315" s="165">
        <f t="shared" si="49"/>
        <v>0</v>
      </c>
      <c r="AP315" s="165">
        <f t="shared" si="49"/>
        <v>0</v>
      </c>
      <c r="AQ315" s="165">
        <f t="shared" si="49"/>
        <v>0</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0</v>
      </c>
      <c r="AK317" s="219">
        <v>0</v>
      </c>
      <c r="AL317" s="219">
        <v>0</v>
      </c>
      <c r="AM317" s="219">
        <v>0</v>
      </c>
      <c r="AN317" s="219">
        <v>0</v>
      </c>
      <c r="AO317" s="219">
        <v>0</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50">SUM(AE317,AE318)</f>
        <v>0</v>
      </c>
      <c r="AF319" s="165">
        <f t="shared" si="50"/>
        <v>0</v>
      </c>
      <c r="AG319" s="165">
        <f t="shared" si="50"/>
        <v>0</v>
      </c>
      <c r="AH319" s="165">
        <f t="shared" si="50"/>
        <v>0</v>
      </c>
      <c r="AI319" s="165">
        <f t="shared" si="50"/>
        <v>0</v>
      </c>
      <c r="AJ319" s="165">
        <f>SUM(AJ317,AJ318)</f>
        <v>0</v>
      </c>
      <c r="AK319" s="165">
        <f t="shared" ref="AK319:AQ319" si="51">SUM(AK317,AK318)</f>
        <v>0</v>
      </c>
      <c r="AL319" s="165">
        <f t="shared" si="51"/>
        <v>0</v>
      </c>
      <c r="AM319" s="165">
        <f t="shared" si="51"/>
        <v>0</v>
      </c>
      <c r="AN319" s="165">
        <f t="shared" si="51"/>
        <v>0</v>
      </c>
      <c r="AO319" s="165">
        <f t="shared" si="51"/>
        <v>0</v>
      </c>
      <c r="AP319" s="165">
        <f t="shared" si="51"/>
        <v>0</v>
      </c>
      <c r="AQ319" s="165">
        <f t="shared" si="51"/>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1.534</v>
      </c>
      <c r="AK321" s="219">
        <v>1.028</v>
      </c>
      <c r="AL321" s="219">
        <v>0.48299999999999998</v>
      </c>
      <c r="AM321" s="219">
        <v>6.8000000000000005E-2</v>
      </c>
      <c r="AN321" s="219">
        <v>0</v>
      </c>
      <c r="AO321" s="219">
        <v>0</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2">SUM(AE321,AE322)</f>
        <v>0</v>
      </c>
      <c r="AF323" s="165">
        <f t="shared" si="52"/>
        <v>0</v>
      </c>
      <c r="AG323" s="165">
        <f t="shared" si="52"/>
        <v>0</v>
      </c>
      <c r="AH323" s="165">
        <f t="shared" si="52"/>
        <v>0</v>
      </c>
      <c r="AI323" s="165">
        <f t="shared" si="52"/>
        <v>0</v>
      </c>
      <c r="AJ323" s="165">
        <f>SUM(AJ321,AJ322)</f>
        <v>1.534</v>
      </c>
      <c r="AK323" s="165">
        <f t="shared" ref="AK323:AQ323" si="53">SUM(AK321,AK322)</f>
        <v>1.028</v>
      </c>
      <c r="AL323" s="165">
        <f t="shared" si="53"/>
        <v>0.48299999999999998</v>
      </c>
      <c r="AM323" s="165">
        <f t="shared" si="53"/>
        <v>6.8000000000000005E-2</v>
      </c>
      <c r="AN323" s="165">
        <f t="shared" si="53"/>
        <v>0</v>
      </c>
      <c r="AO323" s="165">
        <f t="shared" si="53"/>
        <v>0</v>
      </c>
      <c r="AP323" s="165">
        <f t="shared" si="53"/>
        <v>0</v>
      </c>
      <c r="AQ323" s="165">
        <f t="shared" si="53"/>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0.05</v>
      </c>
      <c r="AK325" s="219">
        <v>9.0000000000000024E-2</v>
      </c>
      <c r="AL325" s="219">
        <v>0.11599999999999999</v>
      </c>
      <c r="AM325" s="219">
        <v>0.13800000000000001</v>
      </c>
      <c r="AN325" s="219">
        <v>0.13700000000000001</v>
      </c>
      <c r="AO325" s="219">
        <v>9.5999999999999988E-2</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-3.5000000000000003E-2</v>
      </c>
      <c r="AK326" s="219">
        <v>-6.3E-2</v>
      </c>
      <c r="AL326" s="219">
        <v>-8.1000000000000016E-2</v>
      </c>
      <c r="AM326" s="219">
        <v>-9.5999999999999988E-2</v>
      </c>
      <c r="AN326" s="219">
        <v>-9.5000000000000001E-2</v>
      </c>
      <c r="AO326" s="219">
        <v>-6.7000000000000004E-2</v>
      </c>
      <c r="AP326" s="219">
        <v>0</v>
      </c>
      <c r="AQ326" s="219">
        <v>0</v>
      </c>
    </row>
    <row r="327" spans="5:43" ht="15" customHeight="1">
      <c r="E327" s="378" t="str">
        <f>Input!E327</f>
        <v>Metering services associated with the SM roll out (DRS 7) net position</v>
      </c>
      <c r="G327" s="147" t="str">
        <f>Input!G327</f>
        <v>£m 12/13 prices</v>
      </c>
      <c r="AE327" s="165">
        <f t="shared" ref="AE327:AI327" si="54">SUM(AE325,AE326)</f>
        <v>0</v>
      </c>
      <c r="AF327" s="165">
        <f t="shared" si="54"/>
        <v>0</v>
      </c>
      <c r="AG327" s="165">
        <f t="shared" si="54"/>
        <v>0</v>
      </c>
      <c r="AH327" s="165">
        <f t="shared" si="54"/>
        <v>0</v>
      </c>
      <c r="AI327" s="165">
        <f t="shared" si="54"/>
        <v>0</v>
      </c>
      <c r="AJ327" s="165">
        <f>SUM(AJ325,AJ326)</f>
        <v>1.4999999999999999E-2</v>
      </c>
      <c r="AK327" s="165">
        <f t="shared" ref="AK327:AQ327" si="55">SUM(AK325,AK326)</f>
        <v>2.7000000000000024E-2</v>
      </c>
      <c r="AL327" s="165">
        <f t="shared" si="55"/>
        <v>3.4999999999999976E-2</v>
      </c>
      <c r="AM327" s="165">
        <f t="shared" si="55"/>
        <v>4.2000000000000023E-2</v>
      </c>
      <c r="AN327" s="165">
        <f t="shared" si="55"/>
        <v>4.200000000000001E-2</v>
      </c>
      <c r="AO327" s="165">
        <f t="shared" si="55"/>
        <v>2.8999999999999984E-2</v>
      </c>
      <c r="AP327" s="165">
        <f t="shared" si="55"/>
        <v>0</v>
      </c>
      <c r="AQ327" s="165">
        <f t="shared" si="55"/>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1.897</v>
      </c>
      <c r="AK329" s="219">
        <v>1.897</v>
      </c>
      <c r="AL329" s="219">
        <v>1.897</v>
      </c>
      <c r="AM329" s="219">
        <v>1.897</v>
      </c>
      <c r="AN329" s="219">
        <v>1.897</v>
      </c>
      <c r="AO329" s="219">
        <v>1.897</v>
      </c>
      <c r="AP329" s="219">
        <v>1.897</v>
      </c>
      <c r="AQ329" s="219">
        <v>1.897</v>
      </c>
    </row>
    <row r="330" spans="5:43" ht="15" customHeight="1">
      <c r="E330" s="378" t="str">
        <f>Input!E330</f>
        <v>De Minimis Activities costs</v>
      </c>
      <c r="G330" s="147" t="str">
        <f>Input!G330</f>
        <v>£m 12/13 prices</v>
      </c>
      <c r="AE330" s="219">
        <v>0</v>
      </c>
      <c r="AF330" s="219">
        <v>0</v>
      </c>
      <c r="AG330" s="219">
        <v>0</v>
      </c>
      <c r="AH330" s="219">
        <v>0</v>
      </c>
      <c r="AI330" s="219">
        <v>0</v>
      </c>
      <c r="AJ330" s="219">
        <v>-1.9000000000000001</v>
      </c>
      <c r="AK330" s="219">
        <v>-1.9000000000000001</v>
      </c>
      <c r="AL330" s="219">
        <v>-1.9000000000000001</v>
      </c>
      <c r="AM330" s="219">
        <v>-1.9000000000000001</v>
      </c>
      <c r="AN330" s="219">
        <v>-1.9000000000000001</v>
      </c>
      <c r="AO330" s="219">
        <v>-1.9000000000000001</v>
      </c>
      <c r="AP330" s="219">
        <v>-1.9000000000000001</v>
      </c>
      <c r="AQ330" s="219">
        <v>-1.9000000000000001</v>
      </c>
    </row>
    <row r="331" spans="5:43" ht="15" customHeight="1">
      <c r="E331" s="378" t="str">
        <f>Input!E331</f>
        <v>De Minimis Activities net position</v>
      </c>
      <c r="G331" s="147" t="str">
        <f>Input!G331</f>
        <v>£m 12/13 prices</v>
      </c>
      <c r="AE331" s="165">
        <f t="shared" ref="AE331:AI331" si="56">SUM(AE329,AE330)</f>
        <v>0</v>
      </c>
      <c r="AF331" s="165">
        <f t="shared" si="56"/>
        <v>0</v>
      </c>
      <c r="AG331" s="165">
        <f t="shared" si="56"/>
        <v>0</v>
      </c>
      <c r="AH331" s="165">
        <f t="shared" si="56"/>
        <v>0</v>
      </c>
      <c r="AI331" s="165">
        <f t="shared" si="56"/>
        <v>0</v>
      </c>
      <c r="AJ331" s="165">
        <f>SUM(AJ329,AJ330)</f>
        <v>-3.0000000000001137E-3</v>
      </c>
      <c r="AK331" s="165">
        <f t="shared" ref="AK331:AQ331" si="57">SUM(AK329,AK330)</f>
        <v>-3.0000000000001137E-3</v>
      </c>
      <c r="AL331" s="165">
        <f t="shared" si="57"/>
        <v>-3.0000000000001137E-3</v>
      </c>
      <c r="AM331" s="165">
        <f t="shared" si="57"/>
        <v>-3.0000000000001137E-3</v>
      </c>
      <c r="AN331" s="165">
        <f t="shared" si="57"/>
        <v>-3.0000000000001137E-3</v>
      </c>
      <c r="AO331" s="165">
        <f t="shared" si="57"/>
        <v>-3.0000000000001137E-3</v>
      </c>
      <c r="AP331" s="165">
        <f t="shared" si="57"/>
        <v>-3.0000000000001137E-3</v>
      </c>
      <c r="AQ331" s="165">
        <f t="shared" si="57"/>
        <v>-3.0000000000001137E-3</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2</v>
      </c>
      <c r="AK333" s="219">
        <v>2</v>
      </c>
      <c r="AL333" s="219">
        <v>2</v>
      </c>
      <c r="AM333" s="219">
        <v>2</v>
      </c>
      <c r="AN333" s="219">
        <v>2</v>
      </c>
      <c r="AO333" s="219">
        <v>2</v>
      </c>
      <c r="AP333" s="219">
        <v>2</v>
      </c>
      <c r="AQ333" s="219">
        <v>2</v>
      </c>
    </row>
    <row r="334" spans="5:43" ht="15" customHeight="1">
      <c r="E334" s="378" t="str">
        <f>Input!E334</f>
        <v>Out of Area Networks costs</v>
      </c>
      <c r="G334" s="147" t="str">
        <f>Input!G334</f>
        <v>£m 12/13 prices</v>
      </c>
      <c r="AE334" s="219">
        <v>0</v>
      </c>
      <c r="AF334" s="219">
        <v>0</v>
      </c>
      <c r="AG334" s="219">
        <v>0</v>
      </c>
      <c r="AH334" s="219">
        <v>0</v>
      </c>
      <c r="AI334" s="219">
        <v>0</v>
      </c>
      <c r="AJ334" s="219">
        <v>-1.97</v>
      </c>
      <c r="AK334" s="219">
        <v>-1.97</v>
      </c>
      <c r="AL334" s="219">
        <v>-1.97</v>
      </c>
      <c r="AM334" s="219">
        <v>-1.97</v>
      </c>
      <c r="AN334" s="219">
        <v>-1.97</v>
      </c>
      <c r="AO334" s="219">
        <v>-1.97</v>
      </c>
      <c r="AP334" s="219">
        <v>-1.97</v>
      </c>
      <c r="AQ334" s="219">
        <v>-1.97</v>
      </c>
    </row>
    <row r="335" spans="5:43" ht="15" customHeight="1">
      <c r="E335" s="378" t="str">
        <f>Input!E335</f>
        <v>Out of Area Networks net position</v>
      </c>
      <c r="G335" s="147" t="str">
        <f>Input!G335</f>
        <v>£m 12/13 prices</v>
      </c>
      <c r="AE335" s="165">
        <f t="shared" ref="AE335:AI335" si="58">SUM(AE333,AE334)</f>
        <v>0</v>
      </c>
      <c r="AF335" s="165">
        <f t="shared" si="58"/>
        <v>0</v>
      </c>
      <c r="AG335" s="165">
        <f t="shared" si="58"/>
        <v>0</v>
      </c>
      <c r="AH335" s="165">
        <f t="shared" si="58"/>
        <v>0</v>
      </c>
      <c r="AI335" s="165">
        <f t="shared" si="58"/>
        <v>0</v>
      </c>
      <c r="AJ335" s="165">
        <f>SUM(AJ333,AJ334)</f>
        <v>3.0000000000000027E-2</v>
      </c>
      <c r="AK335" s="165">
        <f t="shared" ref="AK335:AQ335" si="59">SUM(AK333,AK334)</f>
        <v>3.0000000000000027E-2</v>
      </c>
      <c r="AL335" s="165">
        <f t="shared" si="59"/>
        <v>3.0000000000000027E-2</v>
      </c>
      <c r="AM335" s="165">
        <f t="shared" si="59"/>
        <v>3.0000000000000027E-2</v>
      </c>
      <c r="AN335" s="165">
        <f t="shared" si="59"/>
        <v>3.0000000000000027E-2</v>
      </c>
      <c r="AO335" s="165">
        <f t="shared" si="59"/>
        <v>3.0000000000000027E-2</v>
      </c>
      <c r="AP335" s="165">
        <f t="shared" si="59"/>
        <v>3.0000000000000027E-2</v>
      </c>
      <c r="AQ335" s="165">
        <f t="shared" si="59"/>
        <v>3.0000000000000027E-2</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60">SUM(AE337,AE338)</f>
        <v>0</v>
      </c>
      <c r="AF339" s="165">
        <f t="shared" si="60"/>
        <v>0</v>
      </c>
      <c r="AG339" s="165">
        <f t="shared" si="60"/>
        <v>0</v>
      </c>
      <c r="AH339" s="165">
        <f t="shared" si="60"/>
        <v>0</v>
      </c>
      <c r="AI339" s="165">
        <f t="shared" si="60"/>
        <v>0</v>
      </c>
      <c r="AJ339" s="165">
        <f>SUM(AJ337,AJ338)</f>
        <v>0</v>
      </c>
      <c r="AK339" s="165">
        <f t="shared" ref="AK339:AQ339" si="61">SUM(AK337,AK338)</f>
        <v>0</v>
      </c>
      <c r="AL339" s="165">
        <f t="shared" si="61"/>
        <v>0</v>
      </c>
      <c r="AM339" s="165">
        <f t="shared" si="61"/>
        <v>0</v>
      </c>
      <c r="AN339" s="165">
        <f t="shared" si="61"/>
        <v>0</v>
      </c>
      <c r="AO339" s="165">
        <f t="shared" si="61"/>
        <v>0</v>
      </c>
      <c r="AP339" s="165">
        <f t="shared" si="61"/>
        <v>0</v>
      </c>
      <c r="AQ339" s="165">
        <f t="shared" si="61"/>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2">SUM(AE341,AE342)</f>
        <v>0</v>
      </c>
      <c r="AF343" s="165">
        <f t="shared" si="62"/>
        <v>0</v>
      </c>
      <c r="AG343" s="165">
        <f t="shared" si="62"/>
        <v>0</v>
      </c>
      <c r="AH343" s="165">
        <f t="shared" si="62"/>
        <v>0</v>
      </c>
      <c r="AI343" s="165">
        <f t="shared" si="62"/>
        <v>0</v>
      </c>
      <c r="AJ343" s="165">
        <f>SUM(AJ341,AJ342)</f>
        <v>0</v>
      </c>
      <c r="AK343" s="165">
        <f t="shared" ref="AK343:AQ343" si="63">SUM(AK341,AK342)</f>
        <v>0</v>
      </c>
      <c r="AL343" s="165">
        <f t="shared" si="63"/>
        <v>0</v>
      </c>
      <c r="AM343" s="165">
        <f t="shared" si="63"/>
        <v>0</v>
      </c>
      <c r="AN343" s="165">
        <f t="shared" si="63"/>
        <v>0</v>
      </c>
      <c r="AO343" s="165">
        <f t="shared" si="63"/>
        <v>0</v>
      </c>
      <c r="AP343" s="165">
        <f t="shared" si="63"/>
        <v>0</v>
      </c>
      <c r="AQ343" s="165">
        <f t="shared" si="63"/>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4">AE295+AE299+AE303+AE307+AE311+AE315+AE319+AE323+AE327+AE331+AE335+AE339+AE343</f>
        <v>0</v>
      </c>
      <c r="AF345" s="165">
        <f t="shared" si="64"/>
        <v>0</v>
      </c>
      <c r="AG345" s="165">
        <f t="shared" si="64"/>
        <v>0</v>
      </c>
      <c r="AH345" s="165">
        <f t="shared" si="64"/>
        <v>0</v>
      </c>
      <c r="AI345" s="165">
        <f t="shared" si="64"/>
        <v>0</v>
      </c>
      <c r="AJ345" s="165">
        <f>AJ295+AJ299+AJ303+AJ307+AJ311+AJ315+AJ319+AJ323+AJ327+AJ331+AJ335+AJ339+AJ343</f>
        <v>1.4459999999999984</v>
      </c>
      <c r="AK345" s="165">
        <f t="shared" ref="AK345:AQ345" si="65">AK295+AK299+AK303+AK307+AK311+AK315+AK319+AK323+AK327+AK331+AK335+AK339+AK343</f>
        <v>1.0620000000000032</v>
      </c>
      <c r="AL345" s="165">
        <f t="shared" si="65"/>
        <v>0.54500000000000104</v>
      </c>
      <c r="AM345" s="165">
        <f t="shared" si="65"/>
        <v>0.1969999999999999</v>
      </c>
      <c r="AN345" s="165">
        <f t="shared" si="65"/>
        <v>0.14899999999999944</v>
      </c>
      <c r="AO345" s="165">
        <f t="shared" si="65"/>
        <v>0.14600000000000452</v>
      </c>
      <c r="AP345" s="165">
        <f t="shared" si="65"/>
        <v>0.11700000000000088</v>
      </c>
      <c r="AQ345" s="165">
        <f t="shared" si="65"/>
        <v>0.19699999999999918</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20</v>
      </c>
    </row>
    <row r="352" spans="2:43" ht="15" customHeight="1">
      <c r="E352" s="25" t="str">
        <f>Input!E352</f>
        <v>Pre vesting asset depn in first year (mths)</v>
      </c>
      <c r="G352" s="147" t="s">
        <v>551</v>
      </c>
      <c r="I352" s="227">
        <v>12</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11.991372657266627</v>
      </c>
    </row>
    <row r="355" spans="3:43" ht="15" customHeight="1">
      <c r="E355" s="378"/>
      <c r="G355" s="190"/>
      <c r="I355" s="378"/>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38</v>
      </c>
      <c r="L359" s="227">
        <v>38</v>
      </c>
      <c r="M359" s="227">
        <v>38</v>
      </c>
      <c r="N359" s="227">
        <v>38</v>
      </c>
      <c r="O359" s="227">
        <v>38</v>
      </c>
      <c r="P359" s="227">
        <v>38</v>
      </c>
      <c r="Q359" s="227">
        <v>38</v>
      </c>
      <c r="R359" s="227">
        <v>38</v>
      </c>
      <c r="S359" s="227">
        <v>38</v>
      </c>
      <c r="T359" s="227">
        <v>38</v>
      </c>
      <c r="U359" s="227">
        <v>38</v>
      </c>
      <c r="V359" s="227">
        <v>38</v>
      </c>
      <c r="W359" s="227">
        <v>38</v>
      </c>
      <c r="X359" s="227">
        <v>38</v>
      </c>
      <c r="Y359" s="227">
        <v>38</v>
      </c>
      <c r="Z359" s="227">
        <v>38</v>
      </c>
      <c r="AA359" s="227">
        <v>38</v>
      </c>
      <c r="AB359" s="227">
        <v>38</v>
      </c>
      <c r="AC359" s="227">
        <v>38</v>
      </c>
      <c r="AD359" s="227">
        <v>38</v>
      </c>
      <c r="AE359" s="227">
        <v>38</v>
      </c>
      <c r="AF359" s="227">
        <v>38</v>
      </c>
      <c r="AG359" s="227">
        <v>38</v>
      </c>
      <c r="AH359" s="227">
        <v>38</v>
      </c>
      <c r="AI359" s="287">
        <v>38</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71.950396179881395</v>
      </c>
      <c r="L363" s="219">
        <v>46.683019362963734</v>
      </c>
      <c r="M363" s="219">
        <v>51.151031117174789</v>
      </c>
      <c r="N363" s="219">
        <v>61.935887075615248</v>
      </c>
      <c r="O363" s="219">
        <v>72.720743034055729</v>
      </c>
      <c r="P363" s="219">
        <v>72.104465550716256</v>
      </c>
      <c r="Q363" s="219">
        <v>89.514304455055864</v>
      </c>
      <c r="R363" s="219">
        <v>83.043390879991605</v>
      </c>
      <c r="S363" s="219">
        <v>90.555538342806614</v>
      </c>
      <c r="T363" s="219">
        <v>63.678323766174522</v>
      </c>
      <c r="U363" s="219">
        <v>70.124773810681972</v>
      </c>
      <c r="V363" s="219">
        <v>60.783854504075684</v>
      </c>
      <c r="W363" s="219">
        <v>45.898012584710187</v>
      </c>
      <c r="X363" s="219">
        <v>49.075791204274566</v>
      </c>
      <c r="Y363" s="219">
        <v>52.40973611480203</v>
      </c>
      <c r="Z363" s="219">
        <v>46.753596298035866</v>
      </c>
      <c r="AA363" s="219">
        <v>53.621253245485775</v>
      </c>
      <c r="AB363" s="219">
        <v>65.687177390087911</v>
      </c>
      <c r="AC363" s="219">
        <v>74.046131760689065</v>
      </c>
      <c r="AD363" s="219">
        <v>95.730601828381879</v>
      </c>
      <c r="AE363" s="219">
        <v>67.571095456684347</v>
      </c>
      <c r="AF363" s="219">
        <v>84.925079978630095</v>
      </c>
      <c r="AG363" s="219">
        <v>87.363653143183456</v>
      </c>
      <c r="AH363" s="419">
        <v>84.035454834265678</v>
      </c>
      <c r="AI363" s="227">
        <v>94.293577336240077</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6">AH36</f>
        <v>0</v>
      </c>
      <c r="AI364" s="213">
        <f t="shared" si="66"/>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-0.52</v>
      </c>
      <c r="AK367" s="227">
        <v>-0.52</v>
      </c>
      <c r="AL367" s="227">
        <v>-0.52</v>
      </c>
      <c r="AM367" s="227">
        <v>-0.52</v>
      </c>
      <c r="AN367" s="227">
        <v>-0.52</v>
      </c>
      <c r="AO367" s="227">
        <v>-0.52</v>
      </c>
      <c r="AP367" s="227">
        <v>-0.52</v>
      </c>
      <c r="AQ367" s="227">
        <v>-0.52</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7">AJ38</f>
        <v>0</v>
      </c>
      <c r="AK374" s="213">
        <f t="shared" si="67"/>
        <v>0</v>
      </c>
      <c r="AL374" s="213">
        <f t="shared" si="67"/>
        <v>0</v>
      </c>
      <c r="AM374" s="213">
        <f t="shared" si="67"/>
        <v>0</v>
      </c>
      <c r="AN374" s="213">
        <f t="shared" si="67"/>
        <v>0</v>
      </c>
      <c r="AO374" s="213">
        <f t="shared" si="67"/>
        <v>0</v>
      </c>
      <c r="AP374" s="213">
        <f t="shared" si="67"/>
        <v>0</v>
      </c>
      <c r="AQ374" s="213">
        <f t="shared" si="67"/>
        <v>0</v>
      </c>
    </row>
    <row r="375" spans="2:43" ht="15" customHeight="1">
      <c r="E375" s="378" t="str">
        <f>E39</f>
        <v xml:space="preserve">Tax liability revenue allowance adjustments - tax trigger events                                                       </v>
      </c>
      <c r="G375" s="147" t="s">
        <v>657</v>
      </c>
      <c r="AJ375" s="213">
        <f t="shared" si="67"/>
        <v>0</v>
      </c>
      <c r="AK375" s="213">
        <f t="shared" si="67"/>
        <v>0</v>
      </c>
      <c r="AL375" s="213">
        <f t="shared" si="67"/>
        <v>0</v>
      </c>
      <c r="AM375" s="213">
        <f t="shared" si="67"/>
        <v>0</v>
      </c>
      <c r="AN375" s="213">
        <f t="shared" si="67"/>
        <v>0</v>
      </c>
      <c r="AO375" s="213">
        <f t="shared" si="67"/>
        <v>0</v>
      </c>
      <c r="AP375" s="213">
        <f t="shared" si="67"/>
        <v>0</v>
      </c>
      <c r="AQ375" s="213">
        <f t="shared" si="67"/>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19">
        <v>19.81664</v>
      </c>
      <c r="AI385" s="155"/>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19">
        <v>2.2955456000000005</v>
      </c>
      <c r="AI386" s="219">
        <v>0.30062721919999991</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19">
        <v>146.01516879999997</v>
      </c>
      <c r="AI389" s="155"/>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19">
        <v>24.183514496000004</v>
      </c>
      <c r="AI390" s="219">
        <v>7.1997911411200022</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19">
        <v>268.94350000000003</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19">
        <v>12.821143250000004</v>
      </c>
      <c r="AI394" s="219">
        <v>33.913136295775004</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219">
        <v>285.5</v>
      </c>
      <c r="AI397" s="15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219">
        <v>24.118520000000004</v>
      </c>
      <c r="AI398" s="219">
        <v>46.657013600000006</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1.5631725095812905E-2</v>
      </c>
      <c r="AK408" s="289">
        <v>1.5631725095812905E-2</v>
      </c>
      <c r="AL408" s="289">
        <v>1.5631725095812905E-2</v>
      </c>
      <c r="AM408" s="289">
        <v>1.5631725095812905E-2</v>
      </c>
      <c r="AN408" s="289">
        <v>1.5631725095812905E-2</v>
      </c>
      <c r="AO408" s="289">
        <v>1.5631725095812905E-2</v>
      </c>
      <c r="AP408" s="289">
        <v>1.5631725095812905E-2</v>
      </c>
      <c r="AQ408" s="289">
        <v>1.5631725095812905E-2</v>
      </c>
    </row>
    <row r="409" spans="3:43" s="155" customFormat="1">
      <c r="E409" s="93" t="str">
        <f>Input!E409</f>
        <v>Non-Load Related capex - other</v>
      </c>
      <c r="G409" s="155" t="s">
        <v>47</v>
      </c>
      <c r="AJ409" s="289">
        <v>0.13048825172250986</v>
      </c>
      <c r="AK409" s="289">
        <v>0.13048825172250986</v>
      </c>
      <c r="AL409" s="289">
        <v>0.13048825172250986</v>
      </c>
      <c r="AM409" s="289">
        <v>0.13048825172250986</v>
      </c>
      <c r="AN409" s="289">
        <v>0.13048825172250986</v>
      </c>
      <c r="AO409" s="289">
        <v>0.13048825172250986</v>
      </c>
      <c r="AP409" s="289">
        <v>0.13048825172250986</v>
      </c>
      <c r="AQ409" s="289">
        <v>0.13048825172250986</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6.018771654877444E-3</v>
      </c>
      <c r="AK413" s="289">
        <v>6.018771654877444E-3</v>
      </c>
      <c r="AL413" s="289">
        <v>6.018771654877444E-3</v>
      </c>
      <c r="AM413" s="289">
        <v>6.018771654877444E-3</v>
      </c>
      <c r="AN413" s="289">
        <v>6.018771654877444E-3</v>
      </c>
      <c r="AO413" s="289">
        <v>6.018771654877444E-3</v>
      </c>
      <c r="AP413" s="289">
        <v>6.018771654877444E-3</v>
      </c>
      <c r="AQ413" s="289">
        <v>6.018771654877444E-3</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0.61173619904694776</v>
      </c>
      <c r="AK417" s="289">
        <v>0.61173619904694776</v>
      </c>
      <c r="AL417" s="289">
        <v>0.61173619904694776</v>
      </c>
      <c r="AM417" s="289">
        <v>0.61173619904694776</v>
      </c>
      <c r="AN417" s="289">
        <v>0.61173619904694776</v>
      </c>
      <c r="AO417" s="289">
        <v>0.61173619904694776</v>
      </c>
      <c r="AP417" s="289">
        <v>0.61173619904694776</v>
      </c>
      <c r="AQ417" s="289">
        <v>0.61173619904694776</v>
      </c>
    </row>
    <row r="418" spans="4:43" s="155" customFormat="1">
      <c r="E418" s="93" t="str">
        <f>Input!E418</f>
        <v>Non-load related capex - asset replacement</v>
      </c>
      <c r="G418" s="155" t="s">
        <v>47</v>
      </c>
      <c r="AJ418" s="289">
        <v>0.2724313829342877</v>
      </c>
      <c r="AK418" s="289">
        <v>0.2724313829342877</v>
      </c>
      <c r="AL418" s="289">
        <v>0.2724313829342877</v>
      </c>
      <c r="AM418" s="289">
        <v>0.2724313829342877</v>
      </c>
      <c r="AN418" s="289">
        <v>0.2724313829342877</v>
      </c>
      <c r="AO418" s="289">
        <v>0.2724313829342877</v>
      </c>
      <c r="AP418" s="289">
        <v>0.2724313829342877</v>
      </c>
      <c r="AQ418" s="289">
        <v>0.2724313829342877</v>
      </c>
    </row>
    <row r="419" spans="4:43" s="155" customFormat="1">
      <c r="E419" s="93" t="str">
        <f>Input!E419</f>
        <v>Non-Load Related capex - other</v>
      </c>
      <c r="G419" s="155" t="s">
        <v>47</v>
      </c>
      <c r="AJ419" s="289">
        <v>0.62347781895900944</v>
      </c>
      <c r="AK419" s="289">
        <v>0.62347781895900944</v>
      </c>
      <c r="AL419" s="289">
        <v>0.62347781895900944</v>
      </c>
      <c r="AM419" s="289">
        <v>0.62347781895900944</v>
      </c>
      <c r="AN419" s="289">
        <v>0.62347781895900944</v>
      </c>
      <c r="AO419" s="289">
        <v>0.62347781895900944</v>
      </c>
      <c r="AP419" s="289">
        <v>0.62347781895900944</v>
      </c>
      <c r="AQ419" s="289">
        <v>0.62347781895900944</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0.11712817511755486</v>
      </c>
      <c r="AK423" s="289">
        <v>0.11712817511755486</v>
      </c>
      <c r="AL423" s="289">
        <v>0.11712817511755486</v>
      </c>
      <c r="AM423" s="289">
        <v>0.11712817511755486</v>
      </c>
      <c r="AN423" s="289">
        <v>0.11712817511755486</v>
      </c>
      <c r="AO423" s="289">
        <v>0.11712817511755486</v>
      </c>
      <c r="AP423" s="289">
        <v>0.11712817511755486</v>
      </c>
      <c r="AQ423" s="289">
        <v>0.11712817511755486</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0.69177921582604818</v>
      </c>
      <c r="AK428" s="289">
        <v>0.69177921582604818</v>
      </c>
      <c r="AL428" s="289">
        <v>0.69177921582604818</v>
      </c>
      <c r="AM428" s="289">
        <v>0.69177921582604818</v>
      </c>
      <c r="AN428" s="289">
        <v>0.69177921582604818</v>
      </c>
      <c r="AO428" s="289">
        <v>0.69177921582604818</v>
      </c>
      <c r="AP428" s="289">
        <v>0.69177921582604818</v>
      </c>
      <c r="AQ428" s="289">
        <v>0.69177921582604818</v>
      </c>
    </row>
    <row r="429" spans="4:43" s="155" customFormat="1">
      <c r="E429" s="93" t="str">
        <f>Input!E429</f>
        <v>Non-Load Related capex - other</v>
      </c>
      <c r="G429" s="155" t="s">
        <v>47</v>
      </c>
      <c r="AJ429" s="289">
        <v>0.24603392931848073</v>
      </c>
      <c r="AK429" s="289">
        <v>0.24603392931848073</v>
      </c>
      <c r="AL429" s="289">
        <v>0.24603392931848073</v>
      </c>
      <c r="AM429" s="289">
        <v>0.24603392931848073</v>
      </c>
      <c r="AN429" s="289">
        <v>0.24603392931848073</v>
      </c>
      <c r="AO429" s="289">
        <v>0.24603392931848073</v>
      </c>
      <c r="AP429" s="289">
        <v>0.24603392931848073</v>
      </c>
      <c r="AQ429" s="289">
        <v>0.24603392931848073</v>
      </c>
    </row>
    <row r="430" spans="4:43" s="155" customFormat="1">
      <c r="E430" s="155" t="str">
        <f>Input!E430</f>
        <v>Faults</v>
      </c>
      <c r="G430" s="155" t="s">
        <v>47</v>
      </c>
      <c r="AJ430" s="289">
        <v>0.45060260294543836</v>
      </c>
      <c r="AK430" s="289">
        <v>0.45060260294543836</v>
      </c>
      <c r="AL430" s="289">
        <v>0.45060260294543836</v>
      </c>
      <c r="AM430" s="289">
        <v>0.45060260294543836</v>
      </c>
      <c r="AN430" s="289">
        <v>0.45060260294543836</v>
      </c>
      <c r="AO430" s="289">
        <v>0.45060260294543836</v>
      </c>
      <c r="AP430" s="289">
        <v>0.45060260294543836</v>
      </c>
      <c r="AQ430" s="289">
        <v>0.45060260294543836</v>
      </c>
    </row>
    <row r="431" spans="4:43" s="155" customFormat="1">
      <c r="E431" s="269" t="s">
        <v>719</v>
      </c>
      <c r="G431" s="155" t="s">
        <v>47</v>
      </c>
      <c r="AJ431" s="289">
        <v>0.5</v>
      </c>
      <c r="AK431" s="289">
        <v>0.5</v>
      </c>
      <c r="AL431" s="289">
        <v>0.5</v>
      </c>
      <c r="AM431" s="289">
        <v>0.5</v>
      </c>
      <c r="AN431" s="289">
        <v>0.5</v>
      </c>
      <c r="AO431" s="289">
        <v>0.5</v>
      </c>
      <c r="AP431" s="289">
        <v>0.5</v>
      </c>
      <c r="AQ431" s="289">
        <v>0.5</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0.13810173240953885</v>
      </c>
      <c r="AK433" s="289">
        <v>0.13810173240953885</v>
      </c>
      <c r="AL433" s="289">
        <v>0.13810173240953885</v>
      </c>
      <c r="AM433" s="289">
        <v>0.13810173240953885</v>
      </c>
      <c r="AN433" s="289">
        <v>0.13810173240953885</v>
      </c>
      <c r="AO433" s="289">
        <v>0.13810173240953885</v>
      </c>
      <c r="AP433" s="289">
        <v>0.13810173240953885</v>
      </c>
      <c r="AQ433" s="289">
        <v>0.13810173240953885</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0.38826380095305218</v>
      </c>
      <c r="AK437" s="289">
        <v>0.38826380095305218</v>
      </c>
      <c r="AL437" s="289">
        <v>0.38826380095305218</v>
      </c>
      <c r="AM437" s="289">
        <v>0.38826380095305218</v>
      </c>
      <c r="AN437" s="289">
        <v>0.38826380095305218</v>
      </c>
      <c r="AO437" s="289">
        <v>0.38826380095305218</v>
      </c>
      <c r="AP437" s="289">
        <v>0.38826380095305218</v>
      </c>
      <c r="AQ437" s="289">
        <v>0.38826380095305218</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0.54939739705456159</v>
      </c>
      <c r="AK440" s="289">
        <v>0.54939739705456159</v>
      </c>
      <c r="AL440" s="289">
        <v>0.54939739705456159</v>
      </c>
      <c r="AM440" s="289">
        <v>0.54939739705456159</v>
      </c>
      <c r="AN440" s="289">
        <v>0.54939739705456159</v>
      </c>
      <c r="AO440" s="289">
        <v>0.54939739705456159</v>
      </c>
      <c r="AP440" s="289">
        <v>0.54939739705456159</v>
      </c>
      <c r="AQ440" s="289">
        <v>0.54939739705456159</v>
      </c>
    </row>
    <row r="441" spans="4:43" s="155" customFormat="1">
      <c r="E441" s="269" t="s">
        <v>719</v>
      </c>
      <c r="G441" s="155" t="s">
        <v>47</v>
      </c>
      <c r="AJ441" s="289">
        <v>0.5</v>
      </c>
      <c r="AK441" s="289">
        <v>0.5</v>
      </c>
      <c r="AL441" s="289">
        <v>0.5</v>
      </c>
      <c r="AM441" s="289">
        <v>0.5</v>
      </c>
      <c r="AN441" s="289">
        <v>0.5</v>
      </c>
      <c r="AO441" s="289">
        <v>0.5</v>
      </c>
      <c r="AP441" s="289">
        <v>0.5</v>
      </c>
      <c r="AQ441" s="289">
        <v>0.5</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0.67528756287747327</v>
      </c>
      <c r="AK443" s="289">
        <v>0.67528756287747327</v>
      </c>
      <c r="AL443" s="289">
        <v>0.67528756287747327</v>
      </c>
      <c r="AM443" s="289">
        <v>0.67528756287747327</v>
      </c>
      <c r="AN443" s="289">
        <v>0.67528756287747327</v>
      </c>
      <c r="AO443" s="289">
        <v>0.67528756287747327</v>
      </c>
      <c r="AP443" s="289">
        <v>0.67528756287747327</v>
      </c>
      <c r="AQ443" s="289">
        <v>0.67528756287747327</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0</v>
      </c>
      <c r="AK447" s="289">
        <v>0</v>
      </c>
      <c r="AL447" s="289">
        <v>0</v>
      </c>
      <c r="AM447" s="289">
        <v>0</v>
      </c>
      <c r="AN447" s="289">
        <v>0</v>
      </c>
      <c r="AO447" s="289">
        <v>0</v>
      </c>
      <c r="AP447" s="289">
        <v>0</v>
      </c>
      <c r="AQ447" s="289">
        <v>0</v>
      </c>
    </row>
    <row r="448" spans="4:43" s="155" customFormat="1">
      <c r="E448" s="93" t="str">
        <f>Input!E448</f>
        <v>Non-load related capex - asset replacement</v>
      </c>
      <c r="G448" s="155" t="s">
        <v>47</v>
      </c>
      <c r="AJ448" s="289">
        <v>2.0157676143851059E-2</v>
      </c>
      <c r="AK448" s="289">
        <v>2.0157676143851059E-2</v>
      </c>
      <c r="AL448" s="289">
        <v>2.0157676143851059E-2</v>
      </c>
      <c r="AM448" s="289">
        <v>2.0157676143851059E-2</v>
      </c>
      <c r="AN448" s="289">
        <v>2.0157676143851059E-2</v>
      </c>
      <c r="AO448" s="289">
        <v>2.0157676143851059E-2</v>
      </c>
      <c r="AP448" s="289">
        <v>2.0157676143851059E-2</v>
      </c>
      <c r="AQ448" s="289">
        <v>2.0157676143851059E-2</v>
      </c>
    </row>
    <row r="449" spans="4:45" s="155" customFormat="1">
      <c r="E449" s="93" t="str">
        <f>Input!E449</f>
        <v>Non-Load Related capex - other</v>
      </c>
      <c r="G449" s="155" t="s">
        <v>47</v>
      </c>
      <c r="AG449" s="24"/>
      <c r="AJ449" s="289">
        <v>0</v>
      </c>
      <c r="AK449" s="289">
        <v>0</v>
      </c>
      <c r="AL449" s="289">
        <v>0</v>
      </c>
      <c r="AM449" s="289">
        <v>0</v>
      </c>
      <c r="AN449" s="289">
        <v>0</v>
      </c>
      <c r="AO449" s="289">
        <v>0</v>
      </c>
      <c r="AP449" s="289">
        <v>0</v>
      </c>
      <c r="AQ449" s="289">
        <v>0</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6.3463757940555574E-2</v>
      </c>
      <c r="AK453" s="289">
        <v>6.3463757940555574E-2</v>
      </c>
      <c r="AL453" s="289">
        <v>6.3463757940555574E-2</v>
      </c>
      <c r="AM453" s="289">
        <v>6.3463757940555574E-2</v>
      </c>
      <c r="AN453" s="289">
        <v>6.3463757940555574E-2</v>
      </c>
      <c r="AO453" s="289">
        <v>6.3463757940555574E-2</v>
      </c>
      <c r="AP453" s="289">
        <v>6.3463757940555574E-2</v>
      </c>
      <c r="AQ453" s="289">
        <v>6.3463757940555574E-2</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8">AJ407+AJ417+AJ427+AJ437+AJ447</f>
        <v>1</v>
      </c>
      <c r="AK458" s="209">
        <f t="shared" si="68"/>
        <v>1</v>
      </c>
      <c r="AL458" s="209">
        <f t="shared" si="68"/>
        <v>1</v>
      </c>
      <c r="AM458" s="209">
        <f t="shared" si="68"/>
        <v>1</v>
      </c>
      <c r="AN458" s="209">
        <f t="shared" si="68"/>
        <v>1</v>
      </c>
      <c r="AO458" s="209">
        <f t="shared" si="68"/>
        <v>1</v>
      </c>
      <c r="AP458" s="209">
        <f t="shared" si="68"/>
        <v>1</v>
      </c>
      <c r="AQ458" s="209">
        <f t="shared" si="68"/>
        <v>1</v>
      </c>
    </row>
    <row r="459" spans="4:45" s="155" customFormat="1">
      <c r="E459" s="93" t="str">
        <f>Input!E459</f>
        <v>Non-load related capex - asset replacement</v>
      </c>
      <c r="G459" s="155" t="s">
        <v>47</v>
      </c>
      <c r="AJ459" s="209">
        <f t="shared" si="68"/>
        <v>0.99999999999999989</v>
      </c>
      <c r="AK459" s="209">
        <f t="shared" si="68"/>
        <v>0.99999999999999989</v>
      </c>
      <c r="AL459" s="209">
        <f t="shared" si="68"/>
        <v>0.99999999999999989</v>
      </c>
      <c r="AM459" s="209">
        <f t="shared" si="68"/>
        <v>0.99999999999999989</v>
      </c>
      <c r="AN459" s="209">
        <f t="shared" si="68"/>
        <v>0.99999999999999989</v>
      </c>
      <c r="AO459" s="209">
        <f t="shared" si="68"/>
        <v>0.99999999999999989</v>
      </c>
      <c r="AP459" s="209">
        <f t="shared" si="68"/>
        <v>0.99999999999999989</v>
      </c>
      <c r="AQ459" s="209">
        <f t="shared" si="68"/>
        <v>0.99999999999999989</v>
      </c>
    </row>
    <row r="460" spans="4:45" s="155" customFormat="1">
      <c r="E460" s="93" t="str">
        <f>Input!E460</f>
        <v>Non-Load Related capex - other</v>
      </c>
      <c r="G460" s="155" t="s">
        <v>47</v>
      </c>
      <c r="AJ460" s="209">
        <f t="shared" si="68"/>
        <v>1</v>
      </c>
      <c r="AK460" s="209">
        <f t="shared" si="68"/>
        <v>1</v>
      </c>
      <c r="AL460" s="209">
        <f t="shared" si="68"/>
        <v>1</v>
      </c>
      <c r="AM460" s="209">
        <f t="shared" si="68"/>
        <v>1</v>
      </c>
      <c r="AN460" s="209">
        <f t="shared" si="68"/>
        <v>1</v>
      </c>
      <c r="AO460" s="209">
        <f t="shared" si="68"/>
        <v>1</v>
      </c>
      <c r="AP460" s="209">
        <f t="shared" si="68"/>
        <v>1</v>
      </c>
      <c r="AQ460" s="209">
        <f t="shared" si="68"/>
        <v>1</v>
      </c>
    </row>
    <row r="461" spans="4:45" s="155" customFormat="1">
      <c r="E461" s="155" t="str">
        <f>Input!E461</f>
        <v>Faults</v>
      </c>
      <c r="G461" s="155" t="s">
        <v>47</v>
      </c>
      <c r="AJ461" s="209">
        <f t="shared" si="68"/>
        <v>1</v>
      </c>
      <c r="AK461" s="209">
        <f t="shared" si="68"/>
        <v>1</v>
      </c>
      <c r="AL461" s="209">
        <f t="shared" si="68"/>
        <v>1</v>
      </c>
      <c r="AM461" s="209">
        <f t="shared" si="68"/>
        <v>1</v>
      </c>
      <c r="AN461" s="209">
        <f t="shared" si="68"/>
        <v>1</v>
      </c>
      <c r="AO461" s="209">
        <f t="shared" si="68"/>
        <v>1</v>
      </c>
      <c r="AP461" s="209">
        <f t="shared" si="68"/>
        <v>1</v>
      </c>
      <c r="AQ461" s="209">
        <f t="shared" si="68"/>
        <v>1</v>
      </c>
    </row>
    <row r="462" spans="4:45" s="155" customFormat="1">
      <c r="E462" s="269" t="s">
        <v>719</v>
      </c>
      <c r="G462" s="155" t="s">
        <v>47</v>
      </c>
      <c r="AJ462" s="209">
        <f t="shared" si="68"/>
        <v>1</v>
      </c>
      <c r="AK462" s="209">
        <f t="shared" si="68"/>
        <v>1</v>
      </c>
      <c r="AL462" s="209">
        <f t="shared" si="68"/>
        <v>1</v>
      </c>
      <c r="AM462" s="209">
        <f t="shared" si="68"/>
        <v>1</v>
      </c>
      <c r="AN462" s="209">
        <f t="shared" si="68"/>
        <v>1</v>
      </c>
      <c r="AO462" s="209">
        <f t="shared" si="68"/>
        <v>1</v>
      </c>
      <c r="AP462" s="209">
        <f t="shared" si="68"/>
        <v>1</v>
      </c>
      <c r="AQ462" s="209">
        <f t="shared" si="68"/>
        <v>1</v>
      </c>
    </row>
    <row r="463" spans="4:45" s="155" customFormat="1">
      <c r="E463" s="155" t="str">
        <f>Input!E463</f>
        <v>100% ‘revenue pool’ expenditure</v>
      </c>
      <c r="G463" s="155" t="s">
        <v>47</v>
      </c>
      <c r="AJ463" s="209">
        <f t="shared" si="68"/>
        <v>1</v>
      </c>
      <c r="AK463" s="209">
        <f t="shared" si="68"/>
        <v>1</v>
      </c>
      <c r="AL463" s="209">
        <f t="shared" si="68"/>
        <v>1</v>
      </c>
      <c r="AM463" s="209">
        <f t="shared" si="68"/>
        <v>1</v>
      </c>
      <c r="AN463" s="209">
        <f t="shared" si="68"/>
        <v>1</v>
      </c>
      <c r="AO463" s="209">
        <f t="shared" si="68"/>
        <v>1</v>
      </c>
      <c r="AP463" s="209">
        <f t="shared" si="68"/>
        <v>1</v>
      </c>
      <c r="AQ463" s="209">
        <f t="shared" si="68"/>
        <v>1</v>
      </c>
    </row>
    <row r="464" spans="4:45" s="155" customFormat="1">
      <c r="E464" s="155" t="str">
        <f>Input!E464</f>
        <v>Controllable Opex</v>
      </c>
      <c r="G464" s="155" t="s">
        <v>47</v>
      </c>
      <c r="AJ464" s="209">
        <f t="shared" si="68"/>
        <v>1</v>
      </c>
      <c r="AK464" s="209">
        <f t="shared" si="68"/>
        <v>1</v>
      </c>
      <c r="AL464" s="209">
        <f t="shared" si="68"/>
        <v>1</v>
      </c>
      <c r="AM464" s="209">
        <f t="shared" si="68"/>
        <v>1</v>
      </c>
      <c r="AN464" s="209">
        <f t="shared" si="68"/>
        <v>1</v>
      </c>
      <c r="AO464" s="209">
        <f t="shared" si="68"/>
        <v>1</v>
      </c>
      <c r="AP464" s="209">
        <f t="shared" si="68"/>
        <v>1</v>
      </c>
      <c r="AQ464" s="209">
        <f t="shared" si="68"/>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0.81315845343093007</v>
      </c>
      <c r="AK468" s="219">
        <v>0.84974572393068459</v>
      </c>
      <c r="AL468" s="219">
        <v>0.84972071232300561</v>
      </c>
      <c r="AM468" s="219">
        <v>0.84970279705486418</v>
      </c>
      <c r="AN468" s="219">
        <v>0.84966807012257139</v>
      </c>
      <c r="AO468" s="219">
        <v>0.84968608978720139</v>
      </c>
      <c r="AP468" s="219">
        <v>0.84969863637118592</v>
      </c>
      <c r="AQ468" s="219">
        <v>0.84970613611736678</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-16.07017321933937</v>
      </c>
      <c r="AK472" s="227">
        <v>-8.1563377101725969</v>
      </c>
      <c r="AL472" s="227">
        <v>-9.5895239784753308</v>
      </c>
      <c r="AM472" s="227">
        <v>-10.92576581245574</v>
      </c>
      <c r="AN472" s="227">
        <v>10.569043678756213</v>
      </c>
      <c r="AO472" s="227">
        <v>10.928880900806927</v>
      </c>
      <c r="AP472" s="227">
        <v>10.840698421884621</v>
      </c>
      <c r="AQ472" s="227">
        <v>12.525217357848316</v>
      </c>
      <c r="AS472" s="155"/>
    </row>
    <row r="473" spans="2:45" ht="15" customHeight="1">
      <c r="E473" s="155" t="str">
        <f>Input!E473</f>
        <v>Time Value of Money Profile Adjustment</v>
      </c>
      <c r="G473" s="147" t="s">
        <v>657</v>
      </c>
      <c r="AJ473" s="227">
        <v>0.37773516094831605</v>
      </c>
      <c r="AK473" s="227">
        <v>0.94774816374449278</v>
      </c>
      <c r="AL473" s="227">
        <v>1.3661752182672433</v>
      </c>
      <c r="AM473" s="227">
        <v>1.850063578468867</v>
      </c>
      <c r="AN473" s="227">
        <v>1.8604643746522465</v>
      </c>
      <c r="AO473" s="227">
        <v>1.3566730430988041</v>
      </c>
      <c r="AP473" s="227">
        <v>0.84523253345733029</v>
      </c>
      <c r="AQ473" s="227">
        <v>0.29512250201296991</v>
      </c>
      <c r="AS473" s="155"/>
    </row>
    <row r="474" spans="2:45" ht="15" customHeight="1">
      <c r="E474" s="155" t="str">
        <f>Input!E474</f>
        <v>Time Value of Money Profile Increment</v>
      </c>
      <c r="G474" s="147" t="s">
        <v>657</v>
      </c>
      <c r="AJ474" s="147">
        <f>AJ486</f>
        <v>0</v>
      </c>
      <c r="AK474" s="147">
        <f t="shared" ref="AK474:AQ474" si="69">AK486</f>
        <v>0</v>
      </c>
      <c r="AL474" s="147">
        <f t="shared" si="69"/>
        <v>0</v>
      </c>
      <c r="AM474" s="147">
        <f t="shared" si="69"/>
        <v>0</v>
      </c>
      <c r="AN474" s="147">
        <f t="shared" si="69"/>
        <v>0</v>
      </c>
      <c r="AO474" s="147">
        <f t="shared" si="69"/>
        <v>0</v>
      </c>
      <c r="AP474" s="147">
        <f t="shared" si="69"/>
        <v>0</v>
      </c>
      <c r="AQ474" s="147">
        <f t="shared" si="69"/>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70">AK53</f>
        <v>3.7574999999999997E-2</v>
      </c>
      <c r="AL479" s="163">
        <f t="shared" si="70"/>
        <v>3.7574999999999997E-2</v>
      </c>
      <c r="AM479" s="163">
        <f t="shared" si="70"/>
        <v>3.7574999999999997E-2</v>
      </c>
      <c r="AN479" s="163">
        <f t="shared" si="70"/>
        <v>3.7574999999999997E-2</v>
      </c>
      <c r="AO479" s="163">
        <f t="shared" si="70"/>
        <v>3.7574999999999997E-2</v>
      </c>
      <c r="AP479" s="163">
        <f t="shared" si="70"/>
        <v>3.7574999999999997E-2</v>
      </c>
      <c r="AQ479" s="163">
        <f t="shared" si="70"/>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-20.105663922731395</v>
      </c>
      <c r="AL482" s="219">
        <v>-30.340014418799484</v>
      </c>
      <c r="AM482" s="219">
        <v>-42.377232312258258</v>
      </c>
      <c r="AN482" s="219">
        <v>-56.095880978196277</v>
      </c>
      <c r="AO482" s="219">
        <v>-42.93082718921778</v>
      </c>
      <c r="AP482" s="219">
        <v>-29.280629050470168</v>
      </c>
      <c r="AQ482" s="219">
        <v>-15.708433563220325</v>
      </c>
    </row>
    <row r="483" spans="2:43" ht="15" customHeight="1">
      <c r="E483" s="155" t="str">
        <f>Input!E483</f>
        <v>Profiling Impact on Actual Revenues</v>
      </c>
      <c r="AJ483" s="219">
        <v>-20.105663922731395</v>
      </c>
      <c r="AK483" s="219">
        <v>-10.234350496068089</v>
      </c>
      <c r="AL483" s="219">
        <v>-12.037217893458774</v>
      </c>
      <c r="AM483" s="219">
        <v>-13.718648665938019</v>
      </c>
      <c r="AN483" s="219">
        <v>13.165053788978497</v>
      </c>
      <c r="AO483" s="219">
        <v>13.650198138747612</v>
      </c>
      <c r="AP483" s="219">
        <v>13.572195487249843</v>
      </c>
      <c r="AQ483" s="219">
        <v>15.708452310427248</v>
      </c>
    </row>
    <row r="484" spans="2:43" ht="15" customHeight="1">
      <c r="E484" s="155" t="str">
        <f>Input!E484</f>
        <v>Closing balance</v>
      </c>
      <c r="AJ484" s="219">
        <v>-20.105663922731395</v>
      </c>
      <c r="AK484" s="219">
        <v>-30.340014418799484</v>
      </c>
      <c r="AL484" s="219">
        <v>-42.377232312258258</v>
      </c>
      <c r="AM484" s="219">
        <v>-56.095880978196277</v>
      </c>
      <c r="AN484" s="219">
        <v>-42.93082718921778</v>
      </c>
      <c r="AO484" s="219">
        <v>-29.280629050470168</v>
      </c>
      <c r="AP484" s="219">
        <v>-15.708433563220325</v>
      </c>
      <c r="AQ484" s="219">
        <v>1.8747206922853366E-5</v>
      </c>
    </row>
    <row r="485" spans="2:43" ht="15" customHeight="1">
      <c r="E485" s="155"/>
    </row>
    <row r="486" spans="2:43" ht="15" customHeight="1">
      <c r="E486" s="155" t="str">
        <f>Input!E486</f>
        <v>Time Value of Money Increment</v>
      </c>
      <c r="AJ486" s="147">
        <f>AVERAGE(AJ482,AJ484)*(AJ479-AJ478)</f>
        <v>0</v>
      </c>
      <c r="AK486" s="147">
        <f t="shared" ref="AK486:AQ486" si="71">AVERAGE(AK482,AK484)*(AK479-AK478)</f>
        <v>0</v>
      </c>
      <c r="AL486" s="147">
        <f t="shared" si="71"/>
        <v>0</v>
      </c>
      <c r="AM486" s="147">
        <f t="shared" si="71"/>
        <v>0</v>
      </c>
      <c r="AN486" s="147">
        <f t="shared" si="71"/>
        <v>0</v>
      </c>
      <c r="AO486" s="147">
        <f t="shared" si="71"/>
        <v>0</v>
      </c>
      <c r="AP486" s="147">
        <f t="shared" si="71"/>
        <v>0</v>
      </c>
      <c r="AQ486" s="147">
        <f t="shared" si="71"/>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137.27834544765582</v>
      </c>
      <c r="AK490" s="227">
        <v>137.54446143540892</v>
      </c>
      <c r="AL490" s="227">
        <v>136.90302414271235</v>
      </c>
      <c r="AM490" s="227">
        <v>137.03040768891975</v>
      </c>
      <c r="AN490" s="227">
        <v>137.46780055758637</v>
      </c>
      <c r="AO490" s="227">
        <v>135.4637649058744</v>
      </c>
      <c r="AP490" s="227">
        <v>137.22560655264064</v>
      </c>
      <c r="AQ490" s="227">
        <v>132.62210852421816</v>
      </c>
    </row>
    <row r="491" spans="2:43" s="378" customFormat="1" ht="15" customHeight="1">
      <c r="E491" s="155" t="str">
        <f>Input!E491</f>
        <v>DNO Finance Totex Adjustments (DRS8/Disposals)</v>
      </c>
      <c r="G491" s="155" t="str">
        <f>Input!G491</f>
        <v>£m 12/13 prices</v>
      </c>
      <c r="I491" s="227">
        <f>-SUM(SSEH!$AJ$285:$AQ$285)+SUM(SSEH!$AJ$367:$AQ$367)</f>
        <v>-5.19292</v>
      </c>
    </row>
    <row r="492" spans="2:43" s="378" customFormat="1" ht="15" customHeight="1">
      <c r="E492" s="155" t="str">
        <f>Input!E492</f>
        <v>Group Finance Totex Adjustments (DRS8/Disposals)</v>
      </c>
      <c r="G492" s="155" t="str">
        <f>Input!G492</f>
        <v>£m 12/13 prices</v>
      </c>
      <c r="I492" s="227">
        <f>SSEH!I491+SSES!I491</f>
        <v>-9.352920000000001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3" priority="1" operator="lessThan">
      <formula>1</formula>
    </cfRule>
    <cfRule type="cellIs" dxfId="2"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pageSetUpPr autoPageBreaks="0" fitToPage="1"/>
  </sheetPr>
  <dimension ref="A1:XDG495"/>
  <sheetViews>
    <sheetView zoomScale="70" zoomScaleNormal="70" workbookViewId="0">
      <pane xSplit="10" ySplit="7" topLeftCell="AJ9"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520</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520</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560</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560</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4.4331989648722203</v>
      </c>
      <c r="AK20" s="216">
        <v>4.4218476063663132</v>
      </c>
      <c r="AL20" s="216">
        <v>8.8267849169105244</v>
      </c>
      <c r="AM20" s="216">
        <v>8.7584621512741183</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1.2550932743566807</v>
      </c>
      <c r="AK23" s="216">
        <v>2.3971371281907183</v>
      </c>
      <c r="AL23" s="216">
        <v>3.4016662363092602</v>
      </c>
      <c r="AM23" s="216">
        <v>3.7877373888249091</v>
      </c>
      <c r="AN23" s="216">
        <v>3.5918771334728357</v>
      </c>
      <c r="AO23" s="216">
        <v>2.5231788834817466</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25.832019863691382</v>
      </c>
      <c r="AK25" s="216">
        <v>32.820003984751018</v>
      </c>
      <c r="AL25" s="216">
        <v>26.241942606122297</v>
      </c>
      <c r="AM25" s="216">
        <v>29.952919167105037</v>
      </c>
      <c r="AN25" s="216">
        <v>18.265004942154651</v>
      </c>
      <c r="AO25" s="216">
        <v>27.473887362664815</v>
      </c>
      <c r="AP25" s="216">
        <v>38.740428934150096</v>
      </c>
      <c r="AQ25" s="216">
        <v>33.809334586305127</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32.225321017886749</v>
      </c>
      <c r="AK34" s="216">
        <v>32.225321017886749</v>
      </c>
      <c r="AL34" s="216">
        <v>32.225321017886749</v>
      </c>
      <c r="AM34" s="216">
        <v>32.225321017886749</v>
      </c>
      <c r="AN34" s="216">
        <v>32.225321017886749</v>
      </c>
      <c r="AO34" s="216">
        <v>32.225321017886749</v>
      </c>
      <c r="AP34" s="216">
        <v>32.225321017886749</v>
      </c>
      <c r="AQ34" s="216">
        <v>32.225321017886749</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417">
        <v>0.06</v>
      </c>
      <c r="AK50" s="417">
        <v>0.06</v>
      </c>
      <c r="AL50" s="417">
        <v>0.06</v>
      </c>
      <c r="AM50" s="417">
        <v>0.06</v>
      </c>
      <c r="AN50" s="417">
        <v>0.06</v>
      </c>
      <c r="AO50" s="417">
        <v>0.06</v>
      </c>
      <c r="AP50" s="417">
        <v>0.06</v>
      </c>
      <c r="AQ50" s="417">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ROUND(AH59*(1+3.1%),3)</f>
        <v>259.53699999999998</v>
      </c>
      <c r="AJ59" s="227">
        <f t="shared" ref="AJ59:AQ60" si="2">ROUND(AI59*(1+3.1%),3)</f>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ROUND(AH60*(1+3.1%),3)</f>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417">
        <v>0.7</v>
      </c>
      <c r="AK66" s="417">
        <v>0.7</v>
      </c>
      <c r="AL66" s="417">
        <v>0.7</v>
      </c>
      <c r="AM66" s="417">
        <v>0.7</v>
      </c>
      <c r="AN66" s="417">
        <v>0.7</v>
      </c>
      <c r="AO66" s="417">
        <v>0.7</v>
      </c>
      <c r="AP66" s="417">
        <v>0.7</v>
      </c>
      <c r="AQ66" s="417">
        <v>0.7</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1.2012274398135502E-3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0.56471375271214463</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2304.2703882017963</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2425.0378713269629</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SSEH!I75</f>
        <v>3395.8059074568127</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SSEH!I76</f>
        <v>3635.4537663671244</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98.544285533684103</v>
      </c>
      <c r="AK98" s="227">
        <v>98.101321463569775</v>
      </c>
      <c r="AL98" s="227">
        <v>94.127846133068672</v>
      </c>
      <c r="AM98" s="227">
        <v>90.328260662393177</v>
      </c>
      <c r="AN98" s="227">
        <v>85.802977841768524</v>
      </c>
      <c r="AO98" s="227">
        <v>80.784021747478221</v>
      </c>
      <c r="AP98" s="227">
        <v>79.465281145138448</v>
      </c>
      <c r="AQ98" s="227">
        <v>81.212985445714878</v>
      </c>
    </row>
    <row r="99" spans="4:43" s="269" customFormat="1" ht="15" customHeight="1">
      <c r="E99" s="161" t="s">
        <v>797</v>
      </c>
      <c r="G99" s="269" t="s">
        <v>657</v>
      </c>
      <c r="I99" s="356"/>
      <c r="AJ99" s="227">
        <v>18.583812963111676</v>
      </c>
      <c r="AK99" s="227">
        <v>19.182044749337773</v>
      </c>
      <c r="AL99" s="227">
        <v>16.212014727851898</v>
      </c>
      <c r="AM99" s="227">
        <v>17.148923953317148</v>
      </c>
      <c r="AN99" s="227">
        <v>12.686327025206619</v>
      </c>
      <c r="AO99" s="227">
        <v>12.111862018109841</v>
      </c>
      <c r="AP99" s="227">
        <v>11.786702004360976</v>
      </c>
      <c r="AQ99" s="227">
        <v>11.226316773819125</v>
      </c>
    </row>
    <row r="100" spans="4:43" s="269" customFormat="1" ht="15" customHeight="1">
      <c r="E100" s="161" t="str">
        <f>Input!E100</f>
        <v>Non-variant allowed faults</v>
      </c>
      <c r="G100" s="269" t="s">
        <v>657</v>
      </c>
      <c r="I100" s="356"/>
      <c r="AJ100" s="227">
        <v>33.075472950866427</v>
      </c>
      <c r="AK100" s="227">
        <v>32.647566650312378</v>
      </c>
      <c r="AL100" s="227">
        <v>32.409723916290844</v>
      </c>
      <c r="AM100" s="227">
        <v>31.959557488822796</v>
      </c>
      <c r="AN100" s="227">
        <v>31.728500492700274</v>
      </c>
      <c r="AO100" s="227">
        <v>31.337508334745625</v>
      </c>
      <c r="AP100" s="227">
        <v>32.269075565111294</v>
      </c>
      <c r="AQ100" s="227">
        <v>30.716348122946656</v>
      </c>
    </row>
    <row r="101" spans="4:43" s="269" customFormat="1" ht="15" customHeight="1">
      <c r="E101" s="161" t="s">
        <v>726</v>
      </c>
      <c r="G101" s="269" t="s">
        <v>657</v>
      </c>
      <c r="I101" s="356"/>
      <c r="AJ101" s="227">
        <v>14.464667097377436</v>
      </c>
      <c r="AK101" s="227">
        <v>13.781760263106239</v>
      </c>
      <c r="AL101" s="227">
        <v>13.291261586067108</v>
      </c>
      <c r="AM101" s="227">
        <v>12.016137592784872</v>
      </c>
      <c r="AN101" s="227">
        <v>11.838555095112556</v>
      </c>
      <c r="AO101" s="227">
        <v>11.764027339866416</v>
      </c>
      <c r="AP101" s="227">
        <v>11.583421337604523</v>
      </c>
      <c r="AQ101" s="227">
        <v>11.406190361918512</v>
      </c>
    </row>
    <row r="102" spans="4:43" s="269" customFormat="1" ht="15" customHeight="1">
      <c r="E102" s="161" t="str">
        <f>Input!E102</f>
        <v>Non-variant allowed 100% ‘revenue pool’ expenditure</v>
      </c>
      <c r="G102" s="269" t="s">
        <v>657</v>
      </c>
      <c r="I102" s="356"/>
      <c r="AJ102" s="227">
        <v>10.656092713963259</v>
      </c>
      <c r="AK102" s="227">
        <v>10.577261674693908</v>
      </c>
      <c r="AL102" s="227">
        <v>10.363768179334746</v>
      </c>
      <c r="AM102" s="227">
        <v>10.187083821464032</v>
      </c>
      <c r="AN102" s="227">
        <v>9.8642972963823095</v>
      </c>
      <c r="AO102" s="227">
        <v>9.5846003543413563</v>
      </c>
      <c r="AP102" s="227">
        <v>9.545373434068317</v>
      </c>
      <c r="AQ102" s="227">
        <v>9.4232282233687279</v>
      </c>
    </row>
    <row r="103" spans="4:43" s="269" customFormat="1" ht="15" customHeight="1">
      <c r="E103" s="161" t="s">
        <v>796</v>
      </c>
      <c r="G103" s="269" t="s">
        <v>657</v>
      </c>
      <c r="I103" s="356"/>
      <c r="AJ103" s="227">
        <v>99.822264307741051</v>
      </c>
      <c r="AK103" s="227">
        <v>99.090466734464513</v>
      </c>
      <c r="AL103" s="227">
        <v>100.04435851290387</v>
      </c>
      <c r="AM103" s="227">
        <v>100.3466087505071</v>
      </c>
      <c r="AN103" s="227">
        <v>100.10550221389391</v>
      </c>
      <c r="AO103" s="227">
        <v>98.680511555059496</v>
      </c>
      <c r="AP103" s="227">
        <v>98.834025048714594</v>
      </c>
      <c r="AQ103" s="227">
        <v>97.209532647618673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0.94518636896566333</v>
      </c>
      <c r="AK109" s="229">
        <v>0.94508237895076208</v>
      </c>
      <c r="AL109" s="229">
        <v>0.9451246632944198</v>
      </c>
      <c r="AM109" s="229">
        <v>0.94530249896785068</v>
      </c>
      <c r="AN109" s="229">
        <v>0.94520436528871432</v>
      </c>
      <c r="AO109" s="229">
        <v>0.94524302799996551</v>
      </c>
      <c r="AP109" s="229">
        <v>0.94544622484379348</v>
      </c>
      <c r="AQ109" s="229">
        <v>0.94532505141256196</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5.4813631034336674E-2</v>
      </c>
      <c r="AK113" s="229">
        <v>5.4917621049237919E-2</v>
      </c>
      <c r="AL113" s="229">
        <v>5.4875336705580202E-2</v>
      </c>
      <c r="AM113" s="229">
        <v>5.469750103214932E-2</v>
      </c>
      <c r="AN113" s="229">
        <v>5.4795634711285679E-2</v>
      </c>
      <c r="AO113" s="229">
        <v>5.4756972000034487E-2</v>
      </c>
      <c r="AP113" s="229">
        <v>5.4553775156206519E-2</v>
      </c>
      <c r="AQ113" s="229">
        <v>5.4674948587438044E-2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4.4331989648722203</v>
      </c>
      <c r="AK116" s="213">
        <f t="shared" si="5"/>
        <v>4.4218476063663132</v>
      </c>
      <c r="AL116" s="213">
        <f t="shared" si="5"/>
        <v>8.8267849169105244</v>
      </c>
      <c r="AM116" s="213">
        <f t="shared" si="5"/>
        <v>8.7584621512741183</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1</v>
      </c>
      <c r="AK117" s="229">
        <v>1</v>
      </c>
      <c r="AL117" s="229">
        <v>1</v>
      </c>
      <c r="AM117" s="229">
        <v>1</v>
      </c>
      <c r="AN117" s="229">
        <v>0.99</v>
      </c>
      <c r="AO117" s="229">
        <v>0.99</v>
      </c>
      <c r="AP117" s="229">
        <v>0.99</v>
      </c>
      <c r="AQ117" s="229">
        <v>0.99</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0</v>
      </c>
      <c r="AK122" s="229">
        <v>0</v>
      </c>
      <c r="AL122" s="229">
        <v>0</v>
      </c>
      <c r="AM122" s="229">
        <v>0</v>
      </c>
      <c r="AN122" s="229">
        <v>0.01</v>
      </c>
      <c r="AO122" s="229">
        <v>0.01</v>
      </c>
      <c r="AP122" s="229">
        <v>0.01</v>
      </c>
      <c r="AQ122" s="229">
        <v>0.01</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1</v>
      </c>
      <c r="AK128" s="229">
        <v>1</v>
      </c>
      <c r="AL128" s="229">
        <v>1</v>
      </c>
      <c r="AM128" s="229">
        <v>1</v>
      </c>
      <c r="AN128" s="229">
        <v>1</v>
      </c>
      <c r="AO128" s="229">
        <v>1</v>
      </c>
      <c r="AP128" s="229">
        <v>1</v>
      </c>
      <c r="AQ128" s="229">
        <v>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0</v>
      </c>
      <c r="AK131" s="229">
        <v>0</v>
      </c>
      <c r="AL131" s="229">
        <v>0</v>
      </c>
      <c r="AM131" s="229">
        <v>0</v>
      </c>
      <c r="AN131" s="229">
        <v>0</v>
      </c>
      <c r="AO131" s="229">
        <v>0</v>
      </c>
      <c r="AP131" s="229">
        <v>0</v>
      </c>
      <c r="AQ131" s="229">
        <v>0</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1.2550932743566807</v>
      </c>
      <c r="AK143" s="213">
        <f t="shared" si="8"/>
        <v>2.3971371281907183</v>
      </c>
      <c r="AL143" s="213">
        <f t="shared" si="8"/>
        <v>3.4016662363092602</v>
      </c>
      <c r="AM143" s="213">
        <f t="shared" si="8"/>
        <v>3.7877373888249091</v>
      </c>
      <c r="AN143" s="213">
        <f t="shared" si="8"/>
        <v>3.5918771334728357</v>
      </c>
      <c r="AO143" s="213">
        <f t="shared" si="8"/>
        <v>2.5231788834817466</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3.9494470774091635E-2</v>
      </c>
      <c r="AK149" s="229">
        <v>4.1525652471814459E-2</v>
      </c>
      <c r="AL149" s="229">
        <v>3.6797173977038557E-2</v>
      </c>
      <c r="AM149" s="229">
        <v>3.9793076004775163E-2</v>
      </c>
      <c r="AN149" s="229">
        <v>4.0845070422535205E-2</v>
      </c>
      <c r="AO149" s="229">
        <v>4.6427129592248699E-2</v>
      </c>
      <c r="AP149" s="229">
        <v>0</v>
      </c>
      <c r="AQ149" s="229">
        <v>0</v>
      </c>
    </row>
    <row r="150" spans="5:43" s="269" customFormat="1" ht="15" customHeight="1">
      <c r="E150" s="357" t="str">
        <f>Input!E150</f>
        <v>Allocation to controllable opex</v>
      </c>
      <c r="G150" s="269" t="s">
        <v>47</v>
      </c>
      <c r="I150" s="147"/>
      <c r="AJ150" s="229">
        <v>0.96050552922590826</v>
      </c>
      <c r="AK150" s="229">
        <v>0.9584743475281855</v>
      </c>
      <c r="AL150" s="229">
        <v>0.96320282602296148</v>
      </c>
      <c r="AM150" s="229">
        <v>0.96020692399522478</v>
      </c>
      <c r="AN150" s="229">
        <v>0.95915492957746484</v>
      </c>
      <c r="AO150" s="229">
        <v>0.95357287040775129</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0.35</v>
      </c>
      <c r="AK153" s="229">
        <v>0.35</v>
      </c>
      <c r="AL153" s="229">
        <v>0.35</v>
      </c>
      <c r="AM153" s="229">
        <v>0.35</v>
      </c>
      <c r="AN153" s="229">
        <v>0.35</v>
      </c>
      <c r="AO153" s="229">
        <v>0.35</v>
      </c>
      <c r="AP153" s="229">
        <v>0.35</v>
      </c>
      <c r="AQ153" s="229">
        <v>0.35</v>
      </c>
    </row>
    <row r="154" spans="5:43" s="269" customFormat="1" ht="15" customHeight="1">
      <c r="E154" s="357" t="str">
        <f>Input!E154</f>
        <v>Allocation to non-load related capex - asset replacement</v>
      </c>
      <c r="G154" s="269" t="s">
        <v>47</v>
      </c>
      <c r="I154" s="147"/>
      <c r="AJ154" s="229">
        <v>0</v>
      </c>
      <c r="AK154" s="229">
        <v>0</v>
      </c>
      <c r="AL154" s="229">
        <v>0</v>
      </c>
      <c r="AM154" s="229">
        <v>0</v>
      </c>
      <c r="AN154" s="229">
        <v>0</v>
      </c>
      <c r="AO154" s="229">
        <v>0</v>
      </c>
      <c r="AP154" s="229">
        <v>0</v>
      </c>
      <c r="AQ154" s="229">
        <v>0</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0.47</v>
      </c>
      <c r="AK156" s="229">
        <v>0.47</v>
      </c>
      <c r="AL156" s="229">
        <v>0.47</v>
      </c>
      <c r="AM156" s="229">
        <v>0.47</v>
      </c>
      <c r="AN156" s="229">
        <v>0.47</v>
      </c>
      <c r="AO156" s="229">
        <v>0.47</v>
      </c>
      <c r="AP156" s="229">
        <v>0.47</v>
      </c>
      <c r="AQ156" s="229">
        <v>0.47</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0.04</v>
      </c>
      <c r="AK158" s="229">
        <v>0.04</v>
      </c>
      <c r="AL158" s="229">
        <v>0.04</v>
      </c>
      <c r="AM158" s="229">
        <v>0.04</v>
      </c>
      <c r="AN158" s="229">
        <v>0.04</v>
      </c>
      <c r="AO158" s="229">
        <v>0.04</v>
      </c>
      <c r="AP158" s="229">
        <v>0.04</v>
      </c>
      <c r="AQ158" s="229">
        <v>0.04</v>
      </c>
    </row>
    <row r="159" spans="5:43" s="269" customFormat="1" ht="15" customHeight="1">
      <c r="E159" s="357" t="str">
        <f>Input!E159</f>
        <v>Allocation to controllable opex</v>
      </c>
      <c r="G159" s="269" t="s">
        <v>47</v>
      </c>
      <c r="I159" s="147"/>
      <c r="AJ159" s="229">
        <v>0.14000000000000001</v>
      </c>
      <c r="AK159" s="229">
        <v>0.14000000000000001</v>
      </c>
      <c r="AL159" s="229">
        <v>0.14000000000000001</v>
      </c>
      <c r="AM159" s="229">
        <v>0.14000000000000001</v>
      </c>
      <c r="AN159" s="229">
        <v>0.14000000000000001</v>
      </c>
      <c r="AO159" s="229">
        <v>0.14000000000000001</v>
      </c>
      <c r="AP159" s="229">
        <v>0.14000000000000001</v>
      </c>
      <c r="AQ159" s="229">
        <v>0.14000000000000001</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25.832019863691382</v>
      </c>
      <c r="AK161" s="213">
        <f t="shared" ref="AK161:AQ161" si="10">AK25</f>
        <v>32.820003984751018</v>
      </c>
      <c r="AL161" s="213">
        <f t="shared" si="10"/>
        <v>26.241942606122297</v>
      </c>
      <c r="AM161" s="213">
        <f t="shared" si="10"/>
        <v>29.952919167105037</v>
      </c>
      <c r="AN161" s="213">
        <f t="shared" si="10"/>
        <v>18.265004942154651</v>
      </c>
      <c r="AO161" s="213">
        <f t="shared" si="10"/>
        <v>27.473887362664815</v>
      </c>
      <c r="AP161" s="213">
        <f t="shared" si="10"/>
        <v>38.740428934150096</v>
      </c>
      <c r="AQ161" s="213">
        <f t="shared" si="10"/>
        <v>33.809334586305127</v>
      </c>
    </row>
    <row r="162" spans="5:43" s="269" customFormat="1" ht="15" customHeight="1">
      <c r="E162" s="357" t="str">
        <f>Input!E162</f>
        <v>Allocation to load related capex</v>
      </c>
      <c r="G162" s="269" t="s">
        <v>47</v>
      </c>
      <c r="I162" s="147"/>
      <c r="AJ162" s="229">
        <v>0.98967522979111489</v>
      </c>
      <c r="AK162" s="229">
        <v>0.98847178260626845</v>
      </c>
      <c r="AL162" s="229">
        <v>0.98901128666532401</v>
      </c>
      <c r="AM162" s="229">
        <v>0.98946430990098899</v>
      </c>
      <c r="AN162" s="229">
        <v>0.98866486741848913</v>
      </c>
      <c r="AO162" s="229">
        <v>0.98878112711370836</v>
      </c>
      <c r="AP162" s="229">
        <v>0.98935621204915003</v>
      </c>
      <c r="AQ162" s="229">
        <v>0.98924861954458043</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1.0324770208885115E-2</v>
      </c>
      <c r="AK167" s="229">
        <v>1.1528217393731555E-2</v>
      </c>
      <c r="AL167" s="229">
        <v>1.0988713334675992E-2</v>
      </c>
      <c r="AM167" s="229">
        <v>1.0535690099011008E-2</v>
      </c>
      <c r="AN167" s="229">
        <v>1.1335132581510865E-2</v>
      </c>
      <c r="AO167" s="229">
        <v>1.1218872886291642E-2</v>
      </c>
      <c r="AP167" s="229">
        <v>1.064378795084997E-2</v>
      </c>
      <c r="AQ167" s="229">
        <v>1.0751380455419568E-2</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0.99691884319005442</v>
      </c>
      <c r="AK172" s="229">
        <v>0.99688581798579623</v>
      </c>
      <c r="AL172" s="229">
        <v>0.9968601885124726</v>
      </c>
      <c r="AM172" s="229">
        <v>0.99680684966587663</v>
      </c>
      <c r="AN172" s="229">
        <v>0.99676581749878101</v>
      </c>
      <c r="AO172" s="229">
        <v>0.99672442479963053</v>
      </c>
      <c r="AP172" s="229">
        <v>0.99668282507874928</v>
      </c>
      <c r="AQ172" s="229">
        <v>0.99664786013554596</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3.0811568099455844E-3</v>
      </c>
      <c r="AK176" s="229">
        <v>3.1141820142037702E-3</v>
      </c>
      <c r="AL176" s="229">
        <v>3.1398114875273997E-3</v>
      </c>
      <c r="AM176" s="229">
        <v>3.1931503341233736E-3</v>
      </c>
      <c r="AN176" s="229">
        <v>3.2341825012189851E-3</v>
      </c>
      <c r="AO176" s="229">
        <v>3.2755752003694738E-3</v>
      </c>
      <c r="AP176" s="229">
        <v>3.3171749212507207E-3</v>
      </c>
      <c r="AQ176" s="229">
        <v>3.3521398644540401E-3</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0.99691884319005442</v>
      </c>
      <c r="AK226" s="229">
        <v>0.99688581798579623</v>
      </c>
      <c r="AL226" s="229">
        <v>0.9968601885124726</v>
      </c>
      <c r="AM226" s="229">
        <v>0.99680684966587663</v>
      </c>
      <c r="AN226" s="229">
        <v>0.99676581749878101</v>
      </c>
      <c r="AO226" s="229">
        <v>0.99672442479963053</v>
      </c>
      <c r="AP226" s="229">
        <v>0.99668282507874928</v>
      </c>
      <c r="AQ226" s="229">
        <v>0.99664786013554596</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3.0811568099455844E-3</v>
      </c>
      <c r="AK230" s="229">
        <v>3.1141820142037702E-3</v>
      </c>
      <c r="AL230" s="229">
        <v>3.1398114875273997E-3</v>
      </c>
      <c r="AM230" s="229">
        <v>3.1931503341233736E-3</v>
      </c>
      <c r="AN230" s="229">
        <v>3.2341825012189851E-3</v>
      </c>
      <c r="AO230" s="229">
        <v>3.2755752003694738E-3</v>
      </c>
      <c r="AP230" s="229">
        <v>3.3171749212507207E-3</v>
      </c>
      <c r="AQ230" s="229">
        <v>3.3521398644540401E-3</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29.998509159439635</v>
      </c>
      <c r="AK242" s="150">
        <f t="shared" ref="AK242:AQ242" si="19">(AK$107*AK108)+(AK$116*AK117)+(AK$125*AK126)+(AK$134*AK135)+(AK$143*AK144)+(AK$152*AK153)+(AK$161*AK162)+(AK$170*AK171)+(AK$179*AK180)+(AK$197*AK198)+(AK$188*AK189)+(AK206*AK207)+(AK215*AK216)+(AK$224*AK225)+(AK$233*AK234)</f>
        <v>36.863495450317984</v>
      </c>
      <c r="AL242" s="150">
        <f t="shared" si="19"/>
        <v>34.780362338389125</v>
      </c>
      <c r="AM242" s="150">
        <f t="shared" si="19"/>
        <v>38.395806644473808</v>
      </c>
      <c r="AN242" s="150">
        <f t="shared" si="19"/>
        <v>18.057968689533375</v>
      </c>
      <c r="AO242" s="150">
        <f t="shared" si="19"/>
        <v>27.165661312650784</v>
      </c>
      <c r="AP242" s="150">
        <f t="shared" si="19"/>
        <v>38.328084023450032</v>
      </c>
      <c r="AQ242" s="150">
        <f t="shared" si="19"/>
        <v>33.445837567223187</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0.31627891376680822</v>
      </c>
      <c r="AK247" s="150">
        <f t="shared" ref="AK247:AQ247" si="24">(AK$107*AK113)+(AK$116*AK122)+(AK$125*AK131)+(AK$134*AK140)+(AK$143*AK149)+(AK$152*AK158)+(AK$161*AK167)+(AK$170*AK176)+(AK$179*AK185)+(AK$197*AK203)+(AK$188*AK194)+(AK206*AK212)+(AK215*AK221)+(AK$224*AK230)+(AK$233*AK239)</f>
        <v>0.47789882411187673</v>
      </c>
      <c r="AL247" s="150">
        <f t="shared" si="24"/>
        <v>0.41353688895298796</v>
      </c>
      <c r="AM247" s="150">
        <f t="shared" si="24"/>
        <v>0.46630039570498383</v>
      </c>
      <c r="AN247" s="150">
        <f t="shared" si="24"/>
        <v>0.353746727087066</v>
      </c>
      <c r="AO247" s="150">
        <f t="shared" si="24"/>
        <v>0.42537000302186329</v>
      </c>
      <c r="AP247" s="150">
        <f t="shared" si="24"/>
        <v>0.41234491070006635</v>
      </c>
      <c r="AQ247" s="150">
        <f t="shared" si="24"/>
        <v>0.36349701908194176</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1.2055240297138416</v>
      </c>
      <c r="AK248" s="150">
        <f t="shared" ref="AK248:AQ248" si="25">(AK$107*AK114)+(AK$116*AK123)+(AK$125*AK132)+(AK$134*AK141)+(AK$143*AK150)+(AK$152*AK159)+(AK$161*AK168)+(AK$170*AK177)+(AK$179*AK186)+(AK$197*AK204)+(AK$188*AK195)+(AK206*AK213)+(AK215*AK222)+(AK$224*AK231)+(AK$233*AK240)</f>
        <v>2.2975944448781873</v>
      </c>
      <c r="AL248" s="150">
        <f t="shared" si="25"/>
        <v>3.2764945319999708</v>
      </c>
      <c r="AM248" s="150">
        <f t="shared" si="25"/>
        <v>3.6370116670252708</v>
      </c>
      <c r="AN248" s="150">
        <f t="shared" si="25"/>
        <v>3.445166659007044</v>
      </c>
      <c r="AO248" s="150">
        <f t="shared" si="25"/>
        <v>2.4060349304739139</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AJ262" s="227">
        <v>45.906857142857142</v>
      </c>
      <c r="AK262" s="227">
        <v>41.451999999999998</v>
      </c>
      <c r="AL262" s="227">
        <v>42.637</v>
      </c>
      <c r="AM262" s="227">
        <v>42.642000000000003</v>
      </c>
      <c r="AN262" s="227">
        <v>43.69614285714286</v>
      </c>
      <c r="AO262" s="227">
        <v>42.652000000000001</v>
      </c>
      <c r="AP262" s="227">
        <v>41.993000000000002</v>
      </c>
      <c r="AQ262" s="227">
        <v>41.993000000000002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AJ263" s="227">
        <v>13.22</v>
      </c>
      <c r="AK263" s="227">
        <v>13.29</v>
      </c>
      <c r="AL263" s="227">
        <v>13.359</v>
      </c>
      <c r="AM263" s="227">
        <v>13.356999999999999</v>
      </c>
      <c r="AN263" s="227">
        <v>13.355</v>
      </c>
      <c r="AO263" s="227">
        <v>13.353</v>
      </c>
      <c r="AP263" s="227">
        <v>13.351000000000001</v>
      </c>
      <c r="AQ263" s="227">
        <v>13.702999999999999</v>
      </c>
    </row>
    <row r="264" spans="2:44" ht="15" customHeight="1">
      <c r="E264" s="19" t="s">
        <v>105</v>
      </c>
      <c r="G264" s="19" t="s">
        <v>657</v>
      </c>
      <c r="Z264" s="378"/>
      <c r="AA264" s="378"/>
      <c r="AB264" s="378"/>
      <c r="AC264" s="378"/>
      <c r="AD264" s="378"/>
      <c r="AE264" s="378"/>
      <c r="AF264" s="378"/>
      <c r="AG264" s="378"/>
      <c r="AJ264" s="165">
        <f>SUM(AJ262:AJ263)</f>
        <v>59.126857142857141</v>
      </c>
      <c r="AK264" s="165">
        <f t="shared" ref="AK264:AQ264" si="31">SUM(AK262:AK263)</f>
        <v>54.741999999999997</v>
      </c>
      <c r="AL264" s="165">
        <f t="shared" si="31"/>
        <v>55.996000000000002</v>
      </c>
      <c r="AM264" s="165">
        <f t="shared" si="31"/>
        <v>55.999000000000002</v>
      </c>
      <c r="AN264" s="165">
        <f t="shared" si="31"/>
        <v>57.051142857142864</v>
      </c>
      <c r="AO264" s="165">
        <f t="shared" si="31"/>
        <v>56.005000000000003</v>
      </c>
      <c r="AP264" s="165">
        <f t="shared" si="31"/>
        <v>55.344000000000001</v>
      </c>
      <c r="AQ264" s="165">
        <f t="shared" si="31"/>
        <v>55.695999999999998</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32.225321017886749</v>
      </c>
      <c r="AK268" s="213">
        <f t="shared" si="33"/>
        <v>32.225321017886749</v>
      </c>
      <c r="AL268" s="213">
        <f t="shared" si="33"/>
        <v>32.225321017886749</v>
      </c>
      <c r="AM268" s="213">
        <f t="shared" si="33"/>
        <v>32.225321017886749</v>
      </c>
      <c r="AN268" s="213">
        <f t="shared" si="33"/>
        <v>32.225321017886749</v>
      </c>
      <c r="AO268" s="213">
        <f t="shared" si="33"/>
        <v>32.225321017886749</v>
      </c>
      <c r="AP268" s="213">
        <f t="shared" si="33"/>
        <v>32.225321017886749</v>
      </c>
      <c r="AQ268" s="213">
        <f t="shared" si="33"/>
        <v>32.225321017886749</v>
      </c>
      <c r="AR268" s="155"/>
    </row>
    <row r="269" spans="2:44" ht="15" customHeight="1">
      <c r="E269" s="378"/>
    </row>
    <row r="270" spans="2:44" ht="15" customHeight="1">
      <c r="E270" s="378" t="str">
        <f>Input!E270</f>
        <v>Other legacy adjustments' Revenue adjustment from previous controls</v>
      </c>
      <c r="G270" s="19" t="s">
        <v>657</v>
      </c>
      <c r="H270" s="378"/>
      <c r="I270" s="219">
        <v>28.325903754914044</v>
      </c>
      <c r="AJ270" s="421">
        <f>($I$270/8)</f>
        <v>3.5407379693642556</v>
      </c>
      <c r="AK270" s="423">
        <f>($I$270/8)*(1+$AK$53)</f>
        <v>3.673781198563117</v>
      </c>
      <c r="AL270" s="423">
        <f>($I$270/8)*(1+$AK$53)*(1+$AL$53)</f>
        <v>3.8118235270991256</v>
      </c>
      <c r="AM270" s="423">
        <f>($I$270/8)*(1+$AK$53)*(1+$AL$53)*(1+$AM$53)</f>
        <v>3.9550527961298751</v>
      </c>
      <c r="AN270" s="423">
        <f>($I$270/8)*(1+$AK$53)*(1+$AL$53)*(1+$AM$53)*(1+$AN$53)</f>
        <v>4.1036639049444545</v>
      </c>
      <c r="AO270" s="423">
        <f>($I$270/8)*(1+$AK$53)*(1+$AL$53)*(1+$AM$53)*(1+$AN$53)*(1+$AO$53)</f>
        <v>4.2578590761727417</v>
      </c>
      <c r="AP270" s="423">
        <f>($I$270/8)*(1+$AK$53)*(1+$AL$53)*(1+$AM$53)*(1+$AN$53)*(1+$AO$53)*(1+$AP$53)</f>
        <v>4.417848130959932</v>
      </c>
      <c r="AQ270" s="424">
        <f>($I$270/8)*(1+$AK$53)*(1+$AL$53)*(1+$AM$53)*(1+$AN$53)*(1+$AO$53)*(1+$AP$53)*(1+$AQ$53)</f>
        <v>4.5838487744807512</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3.5407379693642556</v>
      </c>
      <c r="AK272" s="165">
        <f t="shared" ref="AK272:AQ272" si="34">AK270+AK271</f>
        <v>3.673781198563117</v>
      </c>
      <c r="AL272" s="165">
        <f t="shared" si="34"/>
        <v>3.8118235270991256</v>
      </c>
      <c r="AM272" s="165">
        <f t="shared" si="34"/>
        <v>3.9550527961298751</v>
      </c>
      <c r="AN272" s="165">
        <f t="shared" si="34"/>
        <v>4.1036639049444545</v>
      </c>
      <c r="AO272" s="165">
        <f t="shared" si="34"/>
        <v>4.2578590761727417</v>
      </c>
      <c r="AP272" s="165">
        <f t="shared" si="34"/>
        <v>4.417848130959932</v>
      </c>
      <c r="AQ272" s="165">
        <f t="shared" si="34"/>
        <v>4.5838487744807512</v>
      </c>
    </row>
    <row r="273" spans="5:43" ht="15" customHeight="1">
      <c r="E273" s="378"/>
    </row>
    <row r="274" spans="5:43" ht="15" customHeight="1">
      <c r="E274" s="378" t="str">
        <f>Input!E274</f>
        <v>RAV Rolling Incentive legacy adjustments' price control allowed revenue</v>
      </c>
      <c r="G274" s="378" t="str">
        <f>Input!G274</f>
        <v>£m 12/13 prices</v>
      </c>
      <c r="I274" s="219">
        <v>8.800126440261268</v>
      </c>
      <c r="AJ274" s="422">
        <f>($I$274/8)</f>
        <v>1.1000158050326585</v>
      </c>
      <c r="AK274" s="423">
        <f>($I$274/8)*(1+$AK$53)</f>
        <v>1.1413488989067606</v>
      </c>
      <c r="AL274" s="423">
        <f>($I$274/8)*(1+$AK$53)*(1+$AL$53)</f>
        <v>1.1842350837831821</v>
      </c>
      <c r="AM274" s="423">
        <f>($I$274/8)*(1+$AK$53)*(1+$AL$53)*(1+$AM$53)</f>
        <v>1.2287327170563351</v>
      </c>
      <c r="AN274" s="423">
        <f>($I$274/8)*(1+$AK$53)*(1+$AL$53)*(1+$AM$53)*(1+$AN$53)</f>
        <v>1.2749023488997269</v>
      </c>
      <c r="AO274" s="423">
        <f>($I$274/8)*(1+$AK$53)*(1+$AL$53)*(1+$AM$53)*(1+$AN$53)*(1+$AO$53)</f>
        <v>1.322806804659634</v>
      </c>
      <c r="AP274" s="423">
        <f>($I$274/8)*(1+$AK$53)*(1+$AL$53)*(1+$AM$53)*(1+$AN$53)*(1+$AO$53)*(1+$AP$53)</f>
        <v>1.3725112703447195</v>
      </c>
      <c r="AQ274" s="424">
        <f>($I$274/8)*(1+$AK$53)*(1+$AL$53)*(1+$AM$53)*(1+$AN$53)*(1+$AO$53)*(1+$AP$53)*(1+$AQ$53)</f>
        <v>1.4240833813279223</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1.1000158050326585</v>
      </c>
      <c r="AK276" s="165">
        <f t="shared" ref="AK276:AQ276" si="35">AK274+AK275</f>
        <v>1.1413488989067606</v>
      </c>
      <c r="AL276" s="165">
        <f t="shared" si="35"/>
        <v>1.1842350837831821</v>
      </c>
      <c r="AM276" s="165">
        <f t="shared" si="35"/>
        <v>1.2287327170563351</v>
      </c>
      <c r="AN276" s="165">
        <f t="shared" si="35"/>
        <v>1.2749023488997269</v>
      </c>
      <c r="AO276" s="165">
        <f t="shared" si="35"/>
        <v>1.322806804659634</v>
      </c>
      <c r="AP276" s="165">
        <f t="shared" si="35"/>
        <v>1.3725112703447195</v>
      </c>
      <c r="AQ276" s="165">
        <f t="shared" si="35"/>
        <v>1.4240833813279223</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15.447403729421062</v>
      </c>
      <c r="AK280" s="227">
        <v>15.44740372942106</v>
      </c>
      <c r="AL280" s="227">
        <v>7.4655138810891444</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0.22000000000000003</v>
      </c>
      <c r="AK283" s="219">
        <v>0.22000000000000003</v>
      </c>
      <c r="AL283" s="219">
        <v>0.22000000000000003</v>
      </c>
      <c r="AM283" s="219">
        <v>0.22000000000000003</v>
      </c>
      <c r="AN283" s="219">
        <v>0.22000000000000003</v>
      </c>
      <c r="AO283" s="219">
        <v>0.22000000000000003</v>
      </c>
      <c r="AP283" s="219">
        <v>0.22000000000000003</v>
      </c>
      <c r="AQ283" s="219">
        <v>0.22000000000000003</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0.22000000000000003</v>
      </c>
      <c r="AK285" s="165">
        <f t="shared" ref="AK285:AQ285" si="36">SUM(AK283,AK284)</f>
        <v>0.22000000000000003</v>
      </c>
      <c r="AL285" s="165">
        <f t="shared" si="36"/>
        <v>0.22000000000000003</v>
      </c>
      <c r="AM285" s="165">
        <f t="shared" si="36"/>
        <v>0.22000000000000003</v>
      </c>
      <c r="AN285" s="165">
        <f t="shared" si="36"/>
        <v>0.22000000000000003</v>
      </c>
      <c r="AO285" s="165">
        <f t="shared" si="36"/>
        <v>0.22000000000000003</v>
      </c>
      <c r="AP285" s="165">
        <f t="shared" si="36"/>
        <v>0.22000000000000003</v>
      </c>
      <c r="AQ285" s="165">
        <f t="shared" si="36"/>
        <v>0.22000000000000003</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33.56</v>
      </c>
      <c r="AK293" s="219">
        <v>34.54</v>
      </c>
      <c r="AL293" s="219">
        <v>35.5</v>
      </c>
      <c r="AM293" s="219">
        <v>36.299999999999997</v>
      </c>
      <c r="AN293" s="219">
        <v>37.090000000000003</v>
      </c>
      <c r="AO293" s="219">
        <v>38.590000000000003</v>
      </c>
      <c r="AP293" s="219">
        <v>39.369999999999997</v>
      </c>
      <c r="AQ293" s="219">
        <v>40.090000000000003</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-32.729999999999997</v>
      </c>
      <c r="AK294" s="219">
        <v>-33.67</v>
      </c>
      <c r="AL294" s="219">
        <v>-34.630000000000003</v>
      </c>
      <c r="AM294" s="219">
        <v>-35.410000000000004</v>
      </c>
      <c r="AN294" s="219">
        <v>-36.169999999999995</v>
      </c>
      <c r="AO294" s="219">
        <v>-37.64</v>
      </c>
      <c r="AP294" s="219">
        <v>-38.4</v>
      </c>
      <c r="AQ294" s="219">
        <v>-39.159999999999997</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0.8300000000000054</v>
      </c>
      <c r="AK295" s="165">
        <f t="shared" si="38"/>
        <v>0.86999999999999744</v>
      </c>
      <c r="AL295" s="165">
        <f t="shared" si="38"/>
        <v>0.86999999999999744</v>
      </c>
      <c r="AM295" s="165">
        <f t="shared" si="38"/>
        <v>0.88999999999999346</v>
      </c>
      <c r="AN295" s="165">
        <f t="shared" si="38"/>
        <v>0.92000000000000881</v>
      </c>
      <c r="AO295" s="165">
        <f t="shared" si="38"/>
        <v>0.95000000000000284</v>
      </c>
      <c r="AP295" s="165">
        <f t="shared" si="38"/>
        <v>0.96999999999999886</v>
      </c>
      <c r="AQ295" s="165">
        <f t="shared" si="38"/>
        <v>0.93000000000000682</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10.18</v>
      </c>
      <c r="AK297" s="219">
        <v>10.4</v>
      </c>
      <c r="AL297" s="219">
        <v>10.66</v>
      </c>
      <c r="AM297" s="219">
        <v>10.91</v>
      </c>
      <c r="AN297" s="219">
        <v>11.15</v>
      </c>
      <c r="AO297" s="219">
        <v>11.41</v>
      </c>
      <c r="AP297" s="219">
        <v>11.66</v>
      </c>
      <c r="AQ297" s="219">
        <v>11.97</v>
      </c>
    </row>
    <row r="298" spans="4:43" ht="15" customHeight="1">
      <c r="E298" s="378" t="str">
        <f>Input!E298</f>
        <v>Connection projects UMC (DRS 1) costs</v>
      </c>
      <c r="G298" s="147" t="str">
        <f>Input!G298</f>
        <v>£m 12/13 prices</v>
      </c>
      <c r="AE298" s="219">
        <v>0</v>
      </c>
      <c r="AF298" s="219">
        <v>0</v>
      </c>
      <c r="AG298" s="219">
        <v>0</v>
      </c>
      <c r="AH298" s="219">
        <v>0</v>
      </c>
      <c r="AI298" s="219">
        <v>0</v>
      </c>
      <c r="AJ298" s="219">
        <v>-9.93</v>
      </c>
      <c r="AK298" s="219">
        <v>-10.17</v>
      </c>
      <c r="AL298" s="219">
        <v>-10.4</v>
      </c>
      <c r="AM298" s="219">
        <v>-10.639999999999999</v>
      </c>
      <c r="AN298" s="219">
        <v>-10.879999999999999</v>
      </c>
      <c r="AO298" s="219">
        <v>-11.129999999999999</v>
      </c>
      <c r="AP298" s="219">
        <v>-11.37</v>
      </c>
      <c r="AQ298" s="219">
        <v>-11.62</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0.25</v>
      </c>
      <c r="AK299" s="165">
        <f t="shared" si="39"/>
        <v>0.23000000000000043</v>
      </c>
      <c r="AL299" s="165">
        <f t="shared" si="39"/>
        <v>0.25999999999999979</v>
      </c>
      <c r="AM299" s="165">
        <f t="shared" si="39"/>
        <v>0.27000000000000135</v>
      </c>
      <c r="AN299" s="165">
        <f t="shared" si="39"/>
        <v>0.27000000000000135</v>
      </c>
      <c r="AO299" s="165">
        <f t="shared" si="39"/>
        <v>0.28000000000000114</v>
      </c>
      <c r="AP299" s="165">
        <f t="shared" si="39"/>
        <v>0.29000000000000092</v>
      </c>
      <c r="AQ299" s="165">
        <f t="shared" si="39"/>
        <v>0.35000000000000142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8</v>
      </c>
      <c r="AK301" s="219">
        <v>8</v>
      </c>
      <c r="AL301" s="219">
        <v>8</v>
      </c>
      <c r="AM301" s="219">
        <v>8</v>
      </c>
      <c r="AN301" s="219">
        <v>8</v>
      </c>
      <c r="AO301" s="219">
        <v>8</v>
      </c>
      <c r="AP301" s="219">
        <v>8</v>
      </c>
      <c r="AQ301" s="219">
        <v>8</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-6.5605195626507635</v>
      </c>
      <c r="AK302" s="219">
        <v>-6.5506515687103759</v>
      </c>
      <c r="AL302" s="219">
        <v>-6.5408822547093921</v>
      </c>
      <c r="AM302" s="219">
        <v>-6.5312106338484188</v>
      </c>
      <c r="AN302" s="219">
        <v>-6.5216357291960545</v>
      </c>
      <c r="AO302" s="219">
        <v>-6.5121565735902136</v>
      </c>
      <c r="AP302" s="219">
        <v>-6.5027722095404314</v>
      </c>
      <c r="AQ302" s="219">
        <v>-6.4934816891311478</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1.4394804373492365</v>
      </c>
      <c r="AK303" s="165">
        <f t="shared" ref="AK303:AQ303" si="41">SUM(AK301,AK302)</f>
        <v>1.4493484312896241</v>
      </c>
      <c r="AL303" s="165">
        <f t="shared" si="41"/>
        <v>1.4591177452906079</v>
      </c>
      <c r="AM303" s="165">
        <f t="shared" si="41"/>
        <v>1.4687893661515812</v>
      </c>
      <c r="AN303" s="165">
        <f t="shared" si="41"/>
        <v>1.4783642708039455</v>
      </c>
      <c r="AO303" s="165">
        <f t="shared" si="41"/>
        <v>1.4878434264097864</v>
      </c>
      <c r="AP303" s="165">
        <f t="shared" si="41"/>
        <v>1.4972277904595686</v>
      </c>
      <c r="AQ303" s="165">
        <f t="shared" si="41"/>
        <v>1.5065183108688522</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1.4</v>
      </c>
      <c r="AK305" s="219">
        <v>1.4</v>
      </c>
      <c r="AL305" s="219">
        <v>1.4</v>
      </c>
      <c r="AM305" s="219">
        <v>1.4</v>
      </c>
      <c r="AN305" s="219">
        <v>1.4</v>
      </c>
      <c r="AO305" s="219">
        <v>1.4</v>
      </c>
      <c r="AP305" s="219">
        <v>1.4</v>
      </c>
      <c r="AQ305" s="219">
        <v>1.4</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-1.3238163695140619</v>
      </c>
      <c r="AK306" s="219">
        <v>-1.3218251534544496</v>
      </c>
      <c r="AL306" s="219">
        <v>-1.3198538495554335</v>
      </c>
      <c r="AM306" s="219">
        <v>-1.3179022586954074</v>
      </c>
      <c r="AN306" s="219">
        <v>-1.3159701837439817</v>
      </c>
      <c r="AO306" s="219">
        <v>-1.3140574295420702</v>
      </c>
      <c r="AP306" s="219">
        <v>-1.3121638028821778</v>
      </c>
      <c r="AQ306" s="219">
        <v>-1.3102891124888845</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7.6183630485938014E-2</v>
      </c>
      <c r="AK307" s="165">
        <f t="shared" ref="AK307:AQ307" si="43">SUM(AK305,AK306)</f>
        <v>7.8174846545550292E-2</v>
      </c>
      <c r="AL307" s="165">
        <f t="shared" si="43"/>
        <v>8.0146150444566411E-2</v>
      </c>
      <c r="AM307" s="165">
        <f t="shared" si="43"/>
        <v>8.2097741304592464E-2</v>
      </c>
      <c r="AN307" s="165">
        <f t="shared" si="43"/>
        <v>8.4029816256018242E-2</v>
      </c>
      <c r="AO307" s="165">
        <f t="shared" si="43"/>
        <v>8.5942570457929746E-2</v>
      </c>
      <c r="AP307" s="165">
        <f t="shared" si="43"/>
        <v>8.783619711782209E-2</v>
      </c>
      <c r="AQ307" s="165">
        <f t="shared" si="43"/>
        <v>8.9710887511115445E-2</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v>
      </c>
      <c r="AK313" s="219">
        <v>0</v>
      </c>
      <c r="AL313" s="219">
        <v>0</v>
      </c>
      <c r="AM313" s="219">
        <v>0</v>
      </c>
      <c r="AN313" s="219">
        <v>0</v>
      </c>
      <c r="AO313" s="219">
        <v>0</v>
      </c>
      <c r="AP313" s="219">
        <v>0</v>
      </c>
      <c r="AQ313" s="219">
        <v>0</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v>
      </c>
      <c r="AK314" s="219">
        <v>0</v>
      </c>
      <c r="AL314" s="219">
        <v>0</v>
      </c>
      <c r="AM314" s="219">
        <v>0</v>
      </c>
      <c r="AN314" s="219">
        <v>0</v>
      </c>
      <c r="AO314" s="219">
        <v>0</v>
      </c>
      <c r="AP314" s="219">
        <v>0</v>
      </c>
      <c r="AQ314" s="219">
        <v>0</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v>
      </c>
      <c r="AK315" s="165">
        <f t="shared" ref="AK315:AQ315" si="47">SUM(AK313,AK314)</f>
        <v>0</v>
      </c>
      <c r="AL315" s="165">
        <f t="shared" si="47"/>
        <v>0</v>
      </c>
      <c r="AM315" s="165">
        <f t="shared" si="47"/>
        <v>0</v>
      </c>
      <c r="AN315" s="165">
        <f t="shared" si="47"/>
        <v>0</v>
      </c>
      <c r="AO315" s="165">
        <f t="shared" si="47"/>
        <v>0</v>
      </c>
      <c r="AP315" s="165">
        <f t="shared" si="47"/>
        <v>0</v>
      </c>
      <c r="AQ315" s="165">
        <f t="shared" si="47"/>
        <v>0</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0</v>
      </c>
      <c r="AK317" s="219">
        <v>0</v>
      </c>
      <c r="AL317" s="219">
        <v>0</v>
      </c>
      <c r="AM317" s="219">
        <v>0</v>
      </c>
      <c r="AN317" s="219">
        <v>0</v>
      </c>
      <c r="AO317" s="219">
        <v>0</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0</v>
      </c>
      <c r="AK319" s="165">
        <f t="shared" ref="AK319:AQ319" si="49">SUM(AK317,AK318)</f>
        <v>0</v>
      </c>
      <c r="AL319" s="165">
        <f t="shared" si="49"/>
        <v>0</v>
      </c>
      <c r="AM319" s="165">
        <f t="shared" si="49"/>
        <v>0</v>
      </c>
      <c r="AN319" s="165">
        <f t="shared" si="49"/>
        <v>0</v>
      </c>
      <c r="AO319" s="165">
        <f t="shared" si="49"/>
        <v>0</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4.8209999999999997</v>
      </c>
      <c r="AK321" s="219">
        <v>3.2610000000000001</v>
      </c>
      <c r="AL321" s="219">
        <v>1.58</v>
      </c>
      <c r="AM321" s="219">
        <v>0.26500000000000001</v>
      </c>
      <c r="AN321" s="219">
        <v>0</v>
      </c>
      <c r="AO321" s="219">
        <v>0</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4.8209999999999997</v>
      </c>
      <c r="AK323" s="165">
        <f t="shared" ref="AK323:AQ323" si="51">SUM(AK321,AK322)</f>
        <v>3.2610000000000001</v>
      </c>
      <c r="AL323" s="165">
        <f t="shared" si="51"/>
        <v>1.58</v>
      </c>
      <c r="AM323" s="165">
        <f t="shared" si="51"/>
        <v>0.26500000000000001</v>
      </c>
      <c r="AN323" s="165">
        <f t="shared" si="51"/>
        <v>0</v>
      </c>
      <c r="AO323" s="165">
        <f t="shared" si="51"/>
        <v>0</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0.19500000000000006</v>
      </c>
      <c r="AK325" s="219">
        <v>0.32900000000000007</v>
      </c>
      <c r="AL325" s="219">
        <v>0.41599999999999993</v>
      </c>
      <c r="AM325" s="219">
        <v>0.49899999999999994</v>
      </c>
      <c r="AN325" s="219">
        <v>0.49399999999999994</v>
      </c>
      <c r="AO325" s="219">
        <v>0.34500000000000008</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-0.14300000000000002</v>
      </c>
      <c r="AK326" s="219">
        <v>-0.23899999999999999</v>
      </c>
      <c r="AL326" s="219">
        <v>-0.30200000000000005</v>
      </c>
      <c r="AM326" s="219">
        <v>-0.36199999999999999</v>
      </c>
      <c r="AN326" s="219">
        <v>-0.35899999999999999</v>
      </c>
      <c r="AO326" s="219">
        <v>-0.24899999999999997</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5.2000000000000046E-2</v>
      </c>
      <c r="AK327" s="165">
        <f t="shared" ref="AK327:AQ327" si="53">SUM(AK325,AK326)</f>
        <v>9.000000000000008E-2</v>
      </c>
      <c r="AL327" s="165">
        <f t="shared" si="53"/>
        <v>0.11399999999999988</v>
      </c>
      <c r="AM327" s="165">
        <f t="shared" si="53"/>
        <v>0.13699999999999996</v>
      </c>
      <c r="AN327" s="165">
        <f t="shared" si="53"/>
        <v>0.13499999999999995</v>
      </c>
      <c r="AO327" s="165">
        <f t="shared" si="53"/>
        <v>9.6000000000000113E-2</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0.71</v>
      </c>
      <c r="AK329" s="219">
        <v>0.71</v>
      </c>
      <c r="AL329" s="219">
        <v>0.71</v>
      </c>
      <c r="AM329" s="219">
        <v>0.71</v>
      </c>
      <c r="AN329" s="219">
        <v>0.71</v>
      </c>
      <c r="AO329" s="219">
        <v>0.71</v>
      </c>
      <c r="AP329" s="219">
        <v>0.71</v>
      </c>
      <c r="AQ329" s="219">
        <v>0.71</v>
      </c>
    </row>
    <row r="330" spans="5:43" ht="15" customHeight="1">
      <c r="E330" s="378" t="str">
        <f>Input!E330</f>
        <v>De Minimis Activities costs</v>
      </c>
      <c r="G330" s="147" t="str">
        <f>Input!G330</f>
        <v>£m 12/13 prices</v>
      </c>
      <c r="AE330" s="219">
        <v>0</v>
      </c>
      <c r="AF330" s="219">
        <v>0</v>
      </c>
      <c r="AG330" s="219">
        <v>0</v>
      </c>
      <c r="AH330" s="219">
        <v>0</v>
      </c>
      <c r="AI330" s="219">
        <v>0</v>
      </c>
      <c r="AJ330" s="219">
        <v>-0.71000000000000008</v>
      </c>
      <c r="AK330" s="219">
        <v>-0.71000000000000008</v>
      </c>
      <c r="AL330" s="219">
        <v>-0.71000000000000008</v>
      </c>
      <c r="AM330" s="219">
        <v>-0.71000000000000008</v>
      </c>
      <c r="AN330" s="219">
        <v>-0.71000000000000008</v>
      </c>
      <c r="AO330" s="219">
        <v>-0.71000000000000008</v>
      </c>
      <c r="AP330" s="219">
        <v>-0.71000000000000008</v>
      </c>
      <c r="AQ330" s="219">
        <v>-0.71000000000000008</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13.105</v>
      </c>
      <c r="AK333" s="219">
        <v>13.105</v>
      </c>
      <c r="AL333" s="219">
        <v>13.105</v>
      </c>
      <c r="AM333" s="219">
        <v>13.105</v>
      </c>
      <c r="AN333" s="219">
        <v>13.105</v>
      </c>
      <c r="AO333" s="219">
        <v>13.105</v>
      </c>
      <c r="AP333" s="219">
        <v>13.105</v>
      </c>
      <c r="AQ333" s="219">
        <v>13.105</v>
      </c>
    </row>
    <row r="334" spans="5:43" ht="15" customHeight="1">
      <c r="E334" s="378" t="str">
        <f>Input!E334</f>
        <v>Out of Area Networks costs</v>
      </c>
      <c r="G334" s="147" t="str">
        <f>Input!G334</f>
        <v>£m 12/13 prices</v>
      </c>
      <c r="AE334" s="219">
        <v>0</v>
      </c>
      <c r="AF334" s="219">
        <v>0</v>
      </c>
      <c r="AG334" s="219">
        <v>0</v>
      </c>
      <c r="AH334" s="219">
        <v>0</v>
      </c>
      <c r="AI334" s="219">
        <v>0</v>
      </c>
      <c r="AJ334" s="219">
        <v>-9.5391611190696892</v>
      </c>
      <c r="AK334" s="219">
        <v>-9.5391611190696892</v>
      </c>
      <c r="AL334" s="219">
        <v>-9.5391611190696892</v>
      </c>
      <c r="AM334" s="219">
        <v>-9.5391611190696892</v>
      </c>
      <c r="AN334" s="219">
        <v>-9.5391611190696892</v>
      </c>
      <c r="AO334" s="219">
        <v>-9.5391611190696892</v>
      </c>
      <c r="AP334" s="219">
        <v>-9.5391611190696892</v>
      </c>
      <c r="AQ334" s="219">
        <v>-9.5391611190696892</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3.5658388809303112</v>
      </c>
      <c r="AK335" s="165">
        <f t="shared" ref="AK335:AQ335" si="57">SUM(AK333,AK334)</f>
        <v>3.5658388809303112</v>
      </c>
      <c r="AL335" s="165">
        <f t="shared" si="57"/>
        <v>3.5658388809303112</v>
      </c>
      <c r="AM335" s="165">
        <f t="shared" si="57"/>
        <v>3.5658388809303112</v>
      </c>
      <c r="AN335" s="165">
        <f t="shared" si="57"/>
        <v>3.5658388809303112</v>
      </c>
      <c r="AO335" s="165">
        <f t="shared" si="57"/>
        <v>3.5658388809303112</v>
      </c>
      <c r="AP335" s="165">
        <f t="shared" si="57"/>
        <v>3.5658388809303112</v>
      </c>
      <c r="AQ335" s="165">
        <f t="shared" si="57"/>
        <v>3.5658388809303112</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11.034502948765491</v>
      </c>
      <c r="AK345" s="165">
        <f t="shared" ref="AK345:AQ345" si="63">AK295+AK299+AK303+AK307+AK311+AK315+AK319+AK323+AK327+AK331+AK335+AK339+AK343</f>
        <v>9.5443621587654839</v>
      </c>
      <c r="AL345" s="165">
        <f t="shared" si="63"/>
        <v>7.9291027766654825</v>
      </c>
      <c r="AM345" s="165">
        <f t="shared" si="63"/>
        <v>6.6787259883864802</v>
      </c>
      <c r="AN345" s="165">
        <f t="shared" si="63"/>
        <v>6.4532329679902851</v>
      </c>
      <c r="AO345" s="165">
        <f t="shared" si="63"/>
        <v>6.4656248777980316</v>
      </c>
      <c r="AP345" s="165">
        <f t="shared" si="63"/>
        <v>6.4109028685077014</v>
      </c>
      <c r="AQ345" s="165">
        <f t="shared" si="63"/>
        <v>6.4420680793102871</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19.70995735619687</v>
      </c>
      <c r="L354" s="362"/>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38.825481450385681</v>
      </c>
      <c r="L363" s="219">
        <v>140.66533557223065</v>
      </c>
      <c r="M363" s="219">
        <v>164.7001574224694</v>
      </c>
      <c r="N363" s="219">
        <v>196.13030907278159</v>
      </c>
      <c r="O363" s="219">
        <v>190.89195046439625</v>
      </c>
      <c r="P363" s="219">
        <v>198.59541900613948</v>
      </c>
      <c r="Q363" s="219">
        <v>211.22910741459825</v>
      </c>
      <c r="R363" s="219">
        <v>194.74368473526786</v>
      </c>
      <c r="S363" s="219">
        <v>175.87346563991051</v>
      </c>
      <c r="T363" s="219">
        <v>147.08446047490233</v>
      </c>
      <c r="U363" s="219">
        <v>125.97832883611149</v>
      </c>
      <c r="V363" s="219">
        <v>130.80244427294289</v>
      </c>
      <c r="W363" s="219">
        <v>110.541159438251</v>
      </c>
      <c r="X363" s="219">
        <v>125.77347581860529</v>
      </c>
      <c r="Y363" s="219">
        <v>136.48520298735869</v>
      </c>
      <c r="Z363" s="219">
        <v>133.16539216595041</v>
      </c>
      <c r="AA363" s="219">
        <v>138.99996854980139</v>
      </c>
      <c r="AB363" s="219">
        <v>166.44661556524062</v>
      </c>
      <c r="AC363" s="219">
        <v>200.72197563436023</v>
      </c>
      <c r="AD363" s="219">
        <v>215.32272941719307</v>
      </c>
      <c r="AE363" s="219">
        <v>168.84150388749299</v>
      </c>
      <c r="AF363" s="219">
        <v>190.27311408313142</v>
      </c>
      <c r="AG363" s="219">
        <v>215.06223577807756</v>
      </c>
      <c r="AH363" s="419">
        <v>241.2930578422361</v>
      </c>
      <c r="AI363" s="227">
        <v>252.92877731841884</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-0.3</v>
      </c>
      <c r="AK367" s="227">
        <v>-0.3</v>
      </c>
      <c r="AL367" s="227">
        <v>-0.3</v>
      </c>
      <c r="AM367" s="227">
        <v>-0.3</v>
      </c>
      <c r="AN367" s="227">
        <v>-0.3</v>
      </c>
      <c r="AO367" s="227">
        <v>-0.3</v>
      </c>
      <c r="AP367" s="227">
        <v>-0.3</v>
      </c>
      <c r="AQ367" s="227">
        <v>-0.3</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19">
        <v>27.861959999999996</v>
      </c>
      <c r="AI385" s="155"/>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19">
        <v>2.2669064000000008</v>
      </c>
      <c r="AI386" s="219">
        <v>3.8490268640000016</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19">
        <v>437.83453199999997</v>
      </c>
      <c r="AI389" s="155"/>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19">
        <v>72.143375040000009</v>
      </c>
      <c r="AI390" s="219">
        <v>47.102101561599994</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19">
        <v>688.75100000000009</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19">
        <v>82.373040000000003</v>
      </c>
      <c r="AI394" s="219">
        <v>108.27005637333335</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219">
        <v>735.4</v>
      </c>
      <c r="AI397" s="15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219">
        <v>109.31104000000001</v>
      </c>
      <c r="AI398" s="219">
        <v>139.82309104000001</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3.1899477452032709E-3</v>
      </c>
      <c r="AK408" s="289">
        <v>3.1899477452032709E-3</v>
      </c>
      <c r="AL408" s="289">
        <v>3.1899477452032709E-3</v>
      </c>
      <c r="AM408" s="289">
        <v>3.1899477452032709E-3</v>
      </c>
      <c r="AN408" s="289">
        <v>3.1899477452032709E-3</v>
      </c>
      <c r="AO408" s="289">
        <v>3.1899477452032709E-3</v>
      </c>
      <c r="AP408" s="289">
        <v>3.1899477452032709E-3</v>
      </c>
      <c r="AQ408" s="289">
        <v>3.1899477452032709E-3</v>
      </c>
    </row>
    <row r="409" spans="3:43" s="155" customFormat="1">
      <c r="E409" s="93" t="str">
        <f>Input!E409</f>
        <v>Non-Load Related capex - other</v>
      </c>
      <c r="G409" s="155" t="s">
        <v>47</v>
      </c>
      <c r="AJ409" s="289">
        <v>0.68041237113402053</v>
      </c>
      <c r="AK409" s="289">
        <v>0.68041237113402053</v>
      </c>
      <c r="AL409" s="289">
        <v>0.68041237113402053</v>
      </c>
      <c r="AM409" s="289">
        <v>0.68041237113402053</v>
      </c>
      <c r="AN409" s="289">
        <v>0.68041237113402053</v>
      </c>
      <c r="AO409" s="289">
        <v>0.68041237113402053</v>
      </c>
      <c r="AP409" s="289">
        <v>0.68041237113402053</v>
      </c>
      <c r="AQ409" s="289">
        <v>0.68041237113402053</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4.9001592551757931E-3</v>
      </c>
      <c r="AK413" s="289">
        <v>4.9001592551757931E-3</v>
      </c>
      <c r="AL413" s="289">
        <v>4.9001592551757931E-3</v>
      </c>
      <c r="AM413" s="289">
        <v>4.9001592551757931E-3</v>
      </c>
      <c r="AN413" s="289">
        <v>4.9001592551757931E-3</v>
      </c>
      <c r="AO413" s="289">
        <v>4.9001592551757931E-3</v>
      </c>
      <c r="AP413" s="289">
        <v>4.9001592551757931E-3</v>
      </c>
      <c r="AQ413" s="289">
        <v>4.9001592551757931E-3</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0.98510411886786298</v>
      </c>
      <c r="AK417" s="289">
        <v>0.98510411886786298</v>
      </c>
      <c r="AL417" s="289">
        <v>0.98510411886786298</v>
      </c>
      <c r="AM417" s="289">
        <v>0.98510411886786298</v>
      </c>
      <c r="AN417" s="289">
        <v>0.98510411886786298</v>
      </c>
      <c r="AO417" s="289">
        <v>0.98510411886786298</v>
      </c>
      <c r="AP417" s="289">
        <v>0.98510411886786298</v>
      </c>
      <c r="AQ417" s="289">
        <v>0.98510411886786298</v>
      </c>
    </row>
    <row r="418" spans="4:43" s="155" customFormat="1">
      <c r="E418" s="93" t="str">
        <f>Input!E418</f>
        <v>Non-load related capex - asset replacement</v>
      </c>
      <c r="G418" s="155" t="s">
        <v>47</v>
      </c>
      <c r="AJ418" s="289">
        <v>0.27433550608748125</v>
      </c>
      <c r="AK418" s="289">
        <v>0.27433550608748125</v>
      </c>
      <c r="AL418" s="289">
        <v>0.27433550608748125</v>
      </c>
      <c r="AM418" s="289">
        <v>0.27433550608748125</v>
      </c>
      <c r="AN418" s="289">
        <v>0.27433550608748125</v>
      </c>
      <c r="AO418" s="289">
        <v>0.27433550608748125</v>
      </c>
      <c r="AP418" s="289">
        <v>0.27433550608748125</v>
      </c>
      <c r="AQ418" s="289">
        <v>0.27433550608748125</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0.20494916084772755</v>
      </c>
      <c r="AK423" s="289">
        <v>0.20494916084772755</v>
      </c>
      <c r="AL423" s="289">
        <v>0.20494916084772755</v>
      </c>
      <c r="AM423" s="289">
        <v>0.20494916084772755</v>
      </c>
      <c r="AN423" s="289">
        <v>0.20494916084772755</v>
      </c>
      <c r="AO423" s="289">
        <v>0.20494916084772755</v>
      </c>
      <c r="AP423" s="289">
        <v>0.20494916084772755</v>
      </c>
      <c r="AQ423" s="289">
        <v>0.20494916084772755</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0.66483827589611488</v>
      </c>
      <c r="AK428" s="289">
        <v>0.66483827589611488</v>
      </c>
      <c r="AL428" s="289">
        <v>0.66483827589611488</v>
      </c>
      <c r="AM428" s="289">
        <v>0.66483827589611488</v>
      </c>
      <c r="AN428" s="289">
        <v>0.66483827589611488</v>
      </c>
      <c r="AO428" s="289">
        <v>0.66483827589611488</v>
      </c>
      <c r="AP428" s="289">
        <v>0.66483827589611488</v>
      </c>
      <c r="AQ428" s="289">
        <v>0.66483827589611488</v>
      </c>
    </row>
    <row r="429" spans="4:43" s="155" customFormat="1">
      <c r="E429" s="93" t="str">
        <f>Input!E429</f>
        <v>Non-Load Related capex - other</v>
      </c>
      <c r="G429" s="155" t="s">
        <v>47</v>
      </c>
      <c r="AJ429" s="289">
        <v>0.14908802537668517</v>
      </c>
      <c r="AK429" s="289">
        <v>0.14908802537668517</v>
      </c>
      <c r="AL429" s="289">
        <v>0.14908802537668517</v>
      </c>
      <c r="AM429" s="289">
        <v>0.14908802537668517</v>
      </c>
      <c r="AN429" s="289">
        <v>0.14908802537668517</v>
      </c>
      <c r="AO429" s="289">
        <v>0.14908802537668517</v>
      </c>
      <c r="AP429" s="289">
        <v>0.14908802537668517</v>
      </c>
      <c r="AQ429" s="289">
        <v>0.14908802537668517</v>
      </c>
    </row>
    <row r="430" spans="4:43" s="155" customFormat="1">
      <c r="E430" s="155" t="str">
        <f>Input!E430</f>
        <v>Faults</v>
      </c>
      <c r="G430" s="155" t="s">
        <v>47</v>
      </c>
      <c r="AJ430" s="289">
        <v>0.37540902588706376</v>
      </c>
      <c r="AK430" s="289">
        <v>0.37540902588706376</v>
      </c>
      <c r="AL430" s="289">
        <v>0.37540902588706376</v>
      </c>
      <c r="AM430" s="289">
        <v>0.37540902588706376</v>
      </c>
      <c r="AN430" s="289">
        <v>0.37540902588706376</v>
      </c>
      <c r="AO430" s="289">
        <v>0.37540902588706376</v>
      </c>
      <c r="AP430" s="289">
        <v>0.37540902588706376</v>
      </c>
      <c r="AQ430" s="289">
        <v>0.37540902588706376</v>
      </c>
    </row>
    <row r="431" spans="4:43" s="155" customFormat="1">
      <c r="E431" s="269" t="s">
        <v>719</v>
      </c>
      <c r="G431" s="155" t="s">
        <v>47</v>
      </c>
      <c r="AJ431" s="289">
        <v>0.5</v>
      </c>
      <c r="AK431" s="289">
        <v>0.5</v>
      </c>
      <c r="AL431" s="289">
        <v>0.5</v>
      </c>
      <c r="AM431" s="289">
        <v>0.5</v>
      </c>
      <c r="AN431" s="289">
        <v>0.5</v>
      </c>
      <c r="AO431" s="289">
        <v>0.5</v>
      </c>
      <c r="AP431" s="289">
        <v>0.5</v>
      </c>
      <c r="AQ431" s="289">
        <v>0.5</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0.22626485360774226</v>
      </c>
      <c r="AK433" s="289">
        <v>0.22626485360774226</v>
      </c>
      <c r="AL433" s="289">
        <v>0.22626485360774226</v>
      </c>
      <c r="AM433" s="289">
        <v>0.22626485360774226</v>
      </c>
      <c r="AN433" s="289">
        <v>0.22626485360774226</v>
      </c>
      <c r="AO433" s="289">
        <v>0.22626485360774226</v>
      </c>
      <c r="AP433" s="289">
        <v>0.22626485360774226</v>
      </c>
      <c r="AQ433" s="289">
        <v>0.22626485360774226</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1.4895881132137087E-2</v>
      </c>
      <c r="AK437" s="289">
        <v>1.4895881132137087E-2</v>
      </c>
      <c r="AL437" s="289">
        <v>1.4895881132137087E-2</v>
      </c>
      <c r="AM437" s="289">
        <v>1.4895881132137087E-2</v>
      </c>
      <c r="AN437" s="289">
        <v>1.4895881132137087E-2</v>
      </c>
      <c r="AO437" s="289">
        <v>1.4895881132137087E-2</v>
      </c>
      <c r="AP437" s="289">
        <v>1.4895881132137087E-2</v>
      </c>
      <c r="AQ437" s="289">
        <v>1.4895881132137087E-2</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0.62459097411293629</v>
      </c>
      <c r="AK440" s="289">
        <v>0.62459097411293629</v>
      </c>
      <c r="AL440" s="289">
        <v>0.62459097411293629</v>
      </c>
      <c r="AM440" s="289">
        <v>0.62459097411293629</v>
      </c>
      <c r="AN440" s="289">
        <v>0.62459097411293629</v>
      </c>
      <c r="AO440" s="289">
        <v>0.62459097411293629</v>
      </c>
      <c r="AP440" s="289">
        <v>0.62459097411293629</v>
      </c>
      <c r="AQ440" s="289">
        <v>0.62459097411293629</v>
      </c>
    </row>
    <row r="441" spans="4:43" s="155" customFormat="1">
      <c r="E441" s="269" t="s">
        <v>719</v>
      </c>
      <c r="G441" s="155" t="s">
        <v>47</v>
      </c>
      <c r="AJ441" s="289">
        <v>0.5</v>
      </c>
      <c r="AK441" s="289">
        <v>0.5</v>
      </c>
      <c r="AL441" s="289">
        <v>0.5</v>
      </c>
      <c r="AM441" s="289">
        <v>0.5</v>
      </c>
      <c r="AN441" s="289">
        <v>0.5</v>
      </c>
      <c r="AO441" s="289">
        <v>0.5</v>
      </c>
      <c r="AP441" s="289">
        <v>0.5</v>
      </c>
      <c r="AQ441" s="289">
        <v>0.5</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0.50679897096655635</v>
      </c>
      <c r="AK443" s="289">
        <v>0.50679897096655635</v>
      </c>
      <c r="AL443" s="289">
        <v>0.50679897096655635</v>
      </c>
      <c r="AM443" s="289">
        <v>0.50679897096655635</v>
      </c>
      <c r="AN443" s="289">
        <v>0.50679897096655635</v>
      </c>
      <c r="AO443" s="289">
        <v>0.50679897096655635</v>
      </c>
      <c r="AP443" s="289">
        <v>0.50679897096655635</v>
      </c>
      <c r="AQ443" s="289">
        <v>0.50679897096655635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0</v>
      </c>
      <c r="AK447" s="289">
        <v>0</v>
      </c>
      <c r="AL447" s="289">
        <v>0</v>
      </c>
      <c r="AM447" s="289">
        <v>0</v>
      </c>
      <c r="AN447" s="289">
        <v>0</v>
      </c>
      <c r="AO447" s="289">
        <v>0</v>
      </c>
      <c r="AP447" s="289">
        <v>0</v>
      </c>
      <c r="AQ447" s="289">
        <v>0</v>
      </c>
    </row>
    <row r="448" spans="4:43" s="155" customFormat="1">
      <c r="E448" s="93" t="str">
        <f>Input!E448</f>
        <v>Non-load related capex - asset replacement</v>
      </c>
      <c r="G448" s="155" t="s">
        <v>47</v>
      </c>
      <c r="AJ448" s="289">
        <v>5.7636270271200496E-2</v>
      </c>
      <c r="AK448" s="289">
        <v>5.7636270271200496E-2</v>
      </c>
      <c r="AL448" s="289">
        <v>5.7636270271200496E-2</v>
      </c>
      <c r="AM448" s="289">
        <v>5.7636270271200496E-2</v>
      </c>
      <c r="AN448" s="289">
        <v>5.7636270271200496E-2</v>
      </c>
      <c r="AO448" s="289">
        <v>5.7636270271200496E-2</v>
      </c>
      <c r="AP448" s="289">
        <v>5.7636270271200496E-2</v>
      </c>
      <c r="AQ448" s="289">
        <v>5.7636270271200496E-2</v>
      </c>
    </row>
    <row r="449" spans="4:45" s="155" customFormat="1">
      <c r="E449" s="93" t="str">
        <f>Input!E449</f>
        <v>Non-Load Related capex - other</v>
      </c>
      <c r="G449" s="155" t="s">
        <v>47</v>
      </c>
      <c r="AG449" s="24"/>
      <c r="AJ449" s="289">
        <v>0.17049960348929416</v>
      </c>
      <c r="AK449" s="289">
        <v>0.17049960348929416</v>
      </c>
      <c r="AL449" s="289">
        <v>0.17049960348929416</v>
      </c>
      <c r="AM449" s="289">
        <v>0.17049960348929416</v>
      </c>
      <c r="AN449" s="289">
        <v>0.17049960348929416</v>
      </c>
      <c r="AO449" s="289">
        <v>0.17049960348929416</v>
      </c>
      <c r="AP449" s="289">
        <v>0.17049960348929416</v>
      </c>
      <c r="AQ449" s="289">
        <v>0.17049960348929416</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5.7086855322797982E-2</v>
      </c>
      <c r="AK453" s="289">
        <v>5.7086855322797982E-2</v>
      </c>
      <c r="AL453" s="289">
        <v>5.7086855322797982E-2</v>
      </c>
      <c r="AM453" s="289">
        <v>5.7086855322797982E-2</v>
      </c>
      <c r="AN453" s="289">
        <v>5.7086855322797982E-2</v>
      </c>
      <c r="AO453" s="289">
        <v>5.7086855322797982E-2</v>
      </c>
      <c r="AP453" s="289">
        <v>5.7086855322797982E-2</v>
      </c>
      <c r="AQ453" s="289">
        <v>5.7086855322797982E-2</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0.99999999999999989</v>
      </c>
      <c r="AK460" s="209">
        <f t="shared" si="66"/>
        <v>0.99999999999999989</v>
      </c>
      <c r="AL460" s="209">
        <f t="shared" si="66"/>
        <v>0.99999999999999989</v>
      </c>
      <c r="AM460" s="209">
        <f t="shared" si="66"/>
        <v>0.99999999999999989</v>
      </c>
      <c r="AN460" s="209">
        <f t="shared" si="66"/>
        <v>0.99999999999999989</v>
      </c>
      <c r="AO460" s="209">
        <f t="shared" si="66"/>
        <v>0.99999999999999989</v>
      </c>
      <c r="AP460" s="209">
        <f t="shared" si="66"/>
        <v>0.99999999999999989</v>
      </c>
      <c r="AQ460" s="209">
        <f t="shared" si="66"/>
        <v>0.99999999999999989</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0.99999999999999989</v>
      </c>
      <c r="AK464" s="209">
        <f t="shared" si="66"/>
        <v>0.99999999999999989</v>
      </c>
      <c r="AL464" s="209">
        <f t="shared" si="66"/>
        <v>0.99999999999999989</v>
      </c>
      <c r="AM464" s="209">
        <f t="shared" si="66"/>
        <v>0.99999999999999989</v>
      </c>
      <c r="AN464" s="209">
        <f t="shared" si="66"/>
        <v>0.99999999999999989</v>
      </c>
      <c r="AO464" s="209">
        <f t="shared" si="66"/>
        <v>0.99999999999999989</v>
      </c>
      <c r="AP464" s="209">
        <f t="shared" si="66"/>
        <v>0.99999999999999989</v>
      </c>
      <c r="AQ464" s="209">
        <f t="shared" si="66"/>
        <v>0.99999999999999989</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1.5633743969242253</v>
      </c>
      <c r="AK468" s="219">
        <v>1.5686707892221732</v>
      </c>
      <c r="AL468" s="219">
        <v>1.5686136050136668</v>
      </c>
      <c r="AM468" s="219">
        <v>1.568584577606454</v>
      </c>
      <c r="AN468" s="219">
        <v>1.5685631013176282</v>
      </c>
      <c r="AO468" s="219">
        <v>1.5685713376859443</v>
      </c>
      <c r="AP468" s="219">
        <v>1.5685677095013983</v>
      </c>
      <c r="AQ468" s="219">
        <v>1.5685952954262763</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-16.922422342166954</v>
      </c>
      <c r="AK472" s="227">
        <v>-15.281952671227749</v>
      </c>
      <c r="AL472" s="227">
        <v>-12.282382349445506</v>
      </c>
      <c r="AM472" s="227">
        <v>-10.408685093159399</v>
      </c>
      <c r="AN472" s="227">
        <v>-0.74534648002296677</v>
      </c>
      <c r="AO472" s="227">
        <v>1.4482592984731113</v>
      </c>
      <c r="AP472" s="227">
        <v>25.552114174602103</v>
      </c>
      <c r="AQ472" s="227">
        <v>28.856234930889478</v>
      </c>
      <c r="AS472" s="155"/>
    </row>
    <row r="473" spans="2:45" ht="15" customHeight="1">
      <c r="E473" s="155" t="str">
        <f>Input!E473</f>
        <v>Time Value of Money Profile Adjustment</v>
      </c>
      <c r="G473" s="147" t="s">
        <v>657</v>
      </c>
      <c r="AJ473" s="227">
        <v>0.39776758095931602</v>
      </c>
      <c r="AK473" s="227">
        <v>1.1553327973824956</v>
      </c>
      <c r="AL473" s="227">
        <v>1.8048489911567855</v>
      </c>
      <c r="AM473" s="227">
        <v>2.340469196727029</v>
      </c>
      <c r="AN473" s="227">
        <v>2.6052123583765883</v>
      </c>
      <c r="AO473" s="227">
        <v>2.5910060378303261</v>
      </c>
      <c r="AP473" s="227">
        <v>1.9579267340766278</v>
      </c>
      <c r="AQ473" s="227">
        <v>0.67894763262946711</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-21.171927130236384</v>
      </c>
      <c r="AL482" s="219">
        <v>-40.322834361652895</v>
      </c>
      <c r="AM482" s="219">
        <v>-55.743651585305827</v>
      </c>
      <c r="AN482" s="219">
        <v>-68.832227862275772</v>
      </c>
      <c r="AO482" s="219">
        <v>-69.835097716215103</v>
      </c>
      <c r="AP482" s="219">
        <v>-68.076057034205689</v>
      </c>
      <c r="AQ482" s="219">
        <v>-36.138247217736989</v>
      </c>
    </row>
    <row r="483" spans="2:43" ht="15" customHeight="1">
      <c r="E483" s="155" t="str">
        <f>Input!E483</f>
        <v>Profiling Impact on Actual Revenues</v>
      </c>
      <c r="AJ483" s="219">
        <v>-21.171927130236384</v>
      </c>
      <c r="AK483" s="219">
        <v>-19.150907231416511</v>
      </c>
      <c r="AL483" s="219">
        <v>-15.420817223652932</v>
      </c>
      <c r="AM483" s="219">
        <v>-13.088576276969945</v>
      </c>
      <c r="AN483" s="219">
        <v>-1.0028698539393304</v>
      </c>
      <c r="AO483" s="219">
        <v>1.7590406820094131</v>
      </c>
      <c r="AP483" s="219">
        <v>31.9378098164687</v>
      </c>
      <c r="AQ483" s="219">
        <v>36.138267432916848</v>
      </c>
    </row>
    <row r="484" spans="2:43" ht="15" customHeight="1">
      <c r="E484" s="155" t="str">
        <f>Input!E484</f>
        <v>Closing balance</v>
      </c>
      <c r="AJ484" s="219">
        <v>-21.171927130236384</v>
      </c>
      <c r="AK484" s="219">
        <v>-40.322834361652895</v>
      </c>
      <c r="AL484" s="219">
        <v>-55.743651585305827</v>
      </c>
      <c r="AM484" s="219">
        <v>-68.832227862275772</v>
      </c>
      <c r="AN484" s="219">
        <v>-69.835097716215103</v>
      </c>
      <c r="AO484" s="219">
        <v>-68.076057034205689</v>
      </c>
      <c r="AP484" s="219">
        <v>-36.138247217736989</v>
      </c>
      <c r="AQ484" s="219">
        <v>2.021517985895116E-5</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305.91570472904777</v>
      </c>
      <c r="AK490" s="227">
        <v>311.16790654266606</v>
      </c>
      <c r="AL490" s="227">
        <v>302.47054690373665</v>
      </c>
      <c r="AM490" s="227">
        <v>301.26270370960032</v>
      </c>
      <c r="AN490" s="227">
        <v>270.62628921045308</v>
      </c>
      <c r="AO490" s="227">
        <v>269.49328349442953</v>
      </c>
      <c r="AP490" s="227">
        <v>275.6740547607734</v>
      </c>
      <c r="AQ490" s="227">
        <v>267.65989885108968</v>
      </c>
    </row>
    <row r="491" spans="2:43" s="378" customFormat="1" ht="15" customHeight="1">
      <c r="E491" s="155" t="str">
        <f>Input!E491</f>
        <v>DNO Finance Totex Adjustments (DRS8/Disposals)</v>
      </c>
      <c r="G491" s="155" t="str">
        <f>Input!G491</f>
        <v>£m 12/13 prices</v>
      </c>
      <c r="I491" s="227">
        <f>-SUM(SSES!$AJ$285:$AQ$285)+SUM(SSES!$AJ$367:$AQ$367)</f>
        <v>-4.16</v>
      </c>
    </row>
    <row r="492" spans="2:43" s="378" customFormat="1" ht="15" customHeight="1">
      <c r="E492" s="155" t="str">
        <f>Input!E492</f>
        <v>Group Finance Totex Adjustments (DRS8/Disposals)</v>
      </c>
      <c r="G492" s="155" t="str">
        <f>Input!G492</f>
        <v>£m 12/13 prices</v>
      </c>
      <c r="I492" s="227">
        <f>SSEH!I491+SSES!I491</f>
        <v>-9.352920000000001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 priority="1" operator="lessThan">
      <formula>1</formula>
    </cfRule>
    <cfRule type="cellIs" dxfId="0"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Classification xmlns="eecedeb9-13b3-4e62-b003-046c92e1668a">Unclassified</Classification>
    <Descriptor xmlns="eecedeb9-13b3-4e62-b003-046c92e1668a" xsi:nil="true"/>
    <_Status xmlns="http://schemas.microsoft.com/sharepoint/v3/fields" xsi:nil="true"/>
    <Organisation xmlns="eecedeb9-13b3-4e62-b003-046c92e1668a">Choose an Organisation</Organisation>
    <Applicable_x0020_Start_x0020_Date xmlns="eecedeb9-13b3-4e62-b003-046c92e1668a">2015-01-29T00:00:00+00:00</Applicable_x0020_Start_x0020_Date>
    <Applicable_x0020_Duration xmlns="eecedeb9-13b3-4e62-b003-046c92e1668a">-</Applicable_x0020_Duration>
  </documentManagement>
</p:properties>
</file>

<file path=customXml/item3.xml><?xml version="1.0" encoding="utf-8"?>
<?mso-contentType ?>
<SharedContentType xmlns="Microsoft.SharePoint.Taxonomy.ContentTypeSync" SourceId="69773578-b348-4185-91b0-0c3a7eda8d2a" ContentTypeId="0x0101004C9F495A7355574383679A0A27B29121" PreviousValue="false"/>
</file>

<file path=customXml/item4.xml><?xml version="1.0" encoding="utf-8"?>
<ct:contentTypeSchema xmlns:ct="http://schemas.microsoft.com/office/2006/metadata/contentType" xmlns:ma="http://schemas.microsoft.com/office/2006/metadata/properties/metaAttributes" ct:_="" ma:_="" ma:contentTypeName="Analysis" ma:contentTypeID="0x0101004C9F495A7355574383679A0A27B2912100DE5CF8977757374FA5ABDEB211CD5278" ma:contentTypeVersion="0" ma:contentTypeDescription="This is used to create spreadsheets" ma:contentTypeScope="" ma:versionID="3102ecac90e16efc9cabe7363fb2dd33">
  <xsd:schema xmlns:xsd="http://www.w3.org/2001/XMLSchema" xmlns:xs="http://www.w3.org/2001/XMLSchema" xmlns:p="http://schemas.microsoft.com/office/2006/metadata/properties" xmlns:ns2="eecedeb9-13b3-4e62-b003-046c92e1668a" xmlns:ns3="http://schemas.microsoft.com/sharepoint/v3/fields" targetNamespace="http://schemas.microsoft.com/office/2006/metadata/properties" ma:root="true" ma:fieldsID="f5b47ca95b2d3c08328e6236d5ec7486" ns2:_="" ns3:_="">
    <xsd:import namespace="eecedeb9-13b3-4e62-b003-046c92e1668a"/>
    <xsd:import namespace="http://schemas.microsoft.com/sharepoint/v3/fields"/>
    <xsd:element name="properties">
      <xsd:complexType>
        <xsd:sequence>
          <xsd:element name="documentManagement">
            <xsd:complexType>
              <xsd:all>
                <xsd:element ref="ns2:Applicable_x0020_Start_x0020_Date" minOccurs="0"/>
                <xsd:element ref="ns2:Applicable_x0020_Duration" minOccurs="0"/>
                <xsd:element ref="ns2:Organisation" minOccurs="0"/>
                <xsd:element ref="ns3:_Status" minOccurs="0"/>
                <xsd:element ref="ns2:Classification"/>
                <xsd:element ref="ns2:Descript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cedeb9-13b3-4e62-b003-046c92e1668a" elementFormDefault="qualified">
    <xsd:import namespace="http://schemas.microsoft.com/office/2006/documentManagement/types"/>
    <xsd:import namespace="http://schemas.microsoft.com/office/infopath/2007/PartnerControls"/>
    <xsd:element name="Applicable_x0020_Start_x0020_Date" ma:index="8" nillable="true" ma:displayName="Applicable Start Date" ma:default="[today]" ma:description="The Starting Date for the work - format is DD/MM/YYYY" ma:format="DateOnly" ma:internalName="Applicable_x0020_Start_x0020_Date">
      <xsd:simpleType>
        <xsd:restriction base="dms:DateTime"/>
      </xsd:simpleType>
    </xsd:element>
    <xsd:element name="Applicable_x0020_Duration" ma:index="9" nillable="true" ma:displayName="Applicable Duration" ma:default="-" ma:description="For how long is this document applicable, from the Applicable Start Date?" ma:format="Dropdown" ma:internalName="Applicable_x0020_Duration">
      <xsd:simpleType>
        <xsd:restriction base="dms:Choice">
          <xsd:enumeration value="-"/>
          <xsd:enumeration value="Day"/>
          <xsd:enumeration value="Week"/>
          <xsd:enumeration value="Month"/>
          <xsd:enumeration value="Quarter"/>
          <xsd:enumeration value="6 Months"/>
          <xsd:enumeration value="Winter"/>
          <xsd:enumeration value="Summer"/>
          <xsd:enumeration value="1 Year"/>
          <xsd:enumeration value="2 Years"/>
          <xsd:enumeration value="3 Years"/>
          <xsd:enumeration value="5 Years"/>
          <xsd:enumeration value="6 - 10 Years"/>
          <xsd:enumeration value="Enduring"/>
        </xsd:restriction>
      </xsd:simpleType>
    </xsd:element>
    <xsd:element name="Organisation" ma:index="10" nillable="true" ma:displayName="Organisation" ma:default="Choose an Organisation" ma:description="Choose from the drop-down menu or fill in a value" ma:format="Dropdown" ma:internalName="Organisation">
      <xsd:simpleType>
        <xsd:union memberTypes="dms:Text">
          <xsd:simpleType>
            <xsd:restriction base="dms:Choice">
              <xsd:enumeration value="Choose an Organisation"/>
              <xsd:enumeration value="Assoc Elec Producers"/>
              <xsd:enumeration value="Atomic Energy Auth"/>
              <xsd:enumeration value="BERR"/>
              <xsd:enumeration value="British Energy"/>
              <xsd:enumeration value="Brit Wind Energy Assoc"/>
              <xsd:enumeration value="Building Research Est"/>
              <xsd:enumeration value="Carbon Trust"/>
              <xsd:enumeration value="Cavendish"/>
              <xsd:enumeration value="Centrica"/>
              <xsd:enumeration value="Central Networks"/>
              <xsd:enumeration value="CEER"/>
              <xsd:enumeration value="CHPA"/>
              <xsd:enumeration value="Competition Commission"/>
              <xsd:enumeration value="DCLG"/>
              <xsd:enumeration value="DCUSA Ltd"/>
              <xsd:enumeration value="DECC"/>
              <xsd:enumeration value="DEFRA"/>
              <xsd:enumeration value="DETI (Northern Ireland)"/>
              <xsd:enumeration value="European Commission"/>
              <xsd:enumeration value="EdF"/>
              <xsd:enumeration value="Elec DNO"/>
              <xsd:enumeration value="ELEXON"/>
              <xsd:enumeration value="eon"/>
              <xsd:enumeration value="Electricity North West"/>
              <xsd:enumeration value="Energy Networks Association"/>
              <xsd:enumeration value="Energy Retail Association"/>
              <xsd:enumeration value="Energy Saving Trust"/>
              <xsd:enumeration value="energywatch"/>
              <xsd:enumeration value="ERGEG"/>
              <xsd:enumeration value="Ernst &amp; Young"/>
              <xsd:enumeration value="ESTA"/>
              <xsd:enumeration value="Gas DNs"/>
              <xsd:enumeration value="Gas Forum"/>
              <xsd:enumeration value="Gaz de France"/>
              <xsd:enumeration value="Government"/>
              <xsd:enumeration value="HM Revenue &amp; Customs"/>
              <xsd:enumeration value="HM Treasury"/>
              <xsd:enumeration value="House of Commons"/>
              <xsd:enumeration value="HSE"/>
              <xsd:enumeration value="IDNO"/>
              <xsd:enumeration value="IGT"/>
              <xsd:enumeration value="National Grid Gas"/>
              <xsd:enumeration value="National Grid Elec"/>
              <xsd:enumeration value="nPower"/>
              <xsd:enumeration value="NWOperators"/>
              <xsd:enumeration value="NEDL &amp;  YEDL"/>
              <xsd:enumeration value="Northern Gas Networks"/>
              <xsd:enumeration value="Northern Powergrid"/>
              <xsd:enumeration value="OFGEM"/>
              <xsd:enumeration value="OFREG"/>
              <xsd:enumeration value="OFT"/>
              <xsd:enumeration value="Parity"/>
              <xsd:enumeration value="Parl Renew &amp; Sustain Energy Grp"/>
              <xsd:enumeration value="Renewble Energy Assoc"/>
              <xsd:enumeration value="RWE"/>
              <xsd:enumeration value="Scotia Gas Networks"/>
              <xsd:enumeration value="Scottish and Southern"/>
              <xsd:enumeration value="Scottish Executive"/>
              <xsd:enumeration value="Scottish Power"/>
              <xsd:enumeration value="SmartestEnergy"/>
              <xsd:enumeration value="Suppliers"/>
              <xsd:enumeration value="UK Power Networks"/>
              <xsd:enumeration value="Wales &amp; West Utilities"/>
              <xsd:enumeration value="Welsh Assembly"/>
              <xsd:enumeration value="WPD"/>
              <xsd:enumeration value="Xoserve"/>
              <xsd:enumeration value="-"/>
            </xsd:restriction>
          </xsd:simpleType>
        </xsd:union>
      </xsd:simpleType>
    </xsd:element>
    <xsd:element name="Classification" ma:index="12" ma:displayName="Classification" ma:default="Unclassified" ma:format="Dropdown" ma:internalName="Classification">
      <xsd:simpleType>
        <xsd:restriction base="dms:Choice">
          <xsd:enumeration value="Unclassified"/>
          <xsd:enumeration value="Protect"/>
          <xsd:enumeration value="Restricted"/>
        </xsd:restriction>
      </xsd:simpleType>
    </xsd:element>
    <xsd:element name="Descriptor" ma:index="13" nillable="true" ma:displayName="Descriptor" ma:format="Dropdown" ma:internalName="Descriptor">
      <xsd:simpleType>
        <xsd:restriction base="dms:Choice">
          <xsd:enumeration value="Commercial"/>
          <xsd:enumeration value="Management"/>
          <xsd:enumeration value="Market Sensitive"/>
          <xsd:enumeration value="Staff"/>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11" nillable="true" ma:displayName="Status" ma:default="Draft" ma:description="Choose the appropriate status from the drop-down" ma:format="Dropdown" ma:internalName="_Status">
      <xsd:simpleType>
        <xsd:restriction base="dms:Choice">
          <xsd:enumeration value="Draft"/>
          <xsd:enumeration value="For comment"/>
          <xsd:enumeration value="Peer Reviewed"/>
          <xsd:enumeration value="Head of Dept Reviewed"/>
          <xsd:enumeration value="Legally Reviewed"/>
          <xsd:enumeration value="MD Approved"/>
          <xsd:enumeration value="Final not for Registry"/>
          <xsd:enumeration value="Final and Sent to Registry"/>
          <xsd:enumeration value="Published"/>
          <xsd:enumeration value="For deletion review"/>
          <xsd:enumeration value="External Draft"/>
          <xsd:enumeration value="External for comment"/>
          <xsd:enumeration value="External for action"/>
          <xsd:enumeration value="External Fina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8F784A-F9E9-4513-A5D0-4AC25ED363B9}">
  <ds:schemaRefs>
    <ds:schemaRef ds:uri="http://schemas.microsoft.com/sharepoint/v3/contenttype/forms"/>
  </ds:schemaRefs>
</ds:datastoreItem>
</file>

<file path=customXml/itemProps2.xml><?xml version="1.0" encoding="utf-8"?>
<ds:datastoreItem xmlns:ds="http://schemas.openxmlformats.org/officeDocument/2006/customXml" ds:itemID="{AB75074D-0FBD-4CEE-B0F1-EFED773218AE}">
  <ds:schemaRefs>
    <ds:schemaRef ds:uri="eecedeb9-13b3-4e62-b003-046c92e1668a"/>
    <ds:schemaRef ds:uri="http://www.w3.org/XML/1998/namespace"/>
    <ds:schemaRef ds:uri="http://schemas.microsoft.com/office/infopath/2007/PartnerControls"/>
    <ds:schemaRef ds:uri="http://schemas.microsoft.com/office/2006/documentManagement/types"/>
    <ds:schemaRef ds:uri="http://schemas.microsoft.com/sharepoint/v3/fields"/>
    <ds:schemaRef ds:uri="http://purl.org/dc/elements/1.1/"/>
    <ds:schemaRef ds:uri="http://purl.org/dc/dcmitype/"/>
    <ds:schemaRef ds:uri="http://purl.org/dc/term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1589B08A-43AB-4537-ADC8-846B05399DA4}">
  <ds:schemaRefs>
    <ds:schemaRef ds:uri="Microsoft.SharePoint.Taxonomy.ContentTypeSync"/>
  </ds:schemaRefs>
</ds:datastoreItem>
</file>

<file path=customXml/itemProps4.xml><?xml version="1.0" encoding="utf-8"?>
<ds:datastoreItem xmlns:ds="http://schemas.openxmlformats.org/officeDocument/2006/customXml" ds:itemID="{D6C3B1ED-AA5D-49AF-9D19-BBC42292A4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cedeb9-13b3-4e62-b003-046c92e1668a"/>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83</vt:i4>
      </vt:variant>
    </vt:vector>
  </HeadingPairs>
  <TitlesOfParts>
    <vt:vector size="112" baseType="lpstr">
      <vt:lpstr>Cover</vt:lpstr>
      <vt:lpstr>UserInterface</vt:lpstr>
      <vt:lpstr>TaxTrigger</vt:lpstr>
      <vt:lpstr>MOD</vt:lpstr>
      <vt:lpstr>Input</vt:lpstr>
      <vt:lpstr>Totex</vt:lpstr>
      <vt:lpstr>TIM</vt:lpstr>
      <vt:lpstr>DARTs</vt:lpstr>
      <vt:lpstr>Depn</vt:lpstr>
      <vt:lpstr>Return&amp;RAV</vt:lpstr>
      <vt:lpstr>TaxPools</vt:lpstr>
      <vt:lpstr>Finance&amp;Tax</vt:lpstr>
      <vt:lpstr>Revenue</vt:lpstr>
      <vt:lpstr>LiveResults</vt:lpstr>
      <vt:lpstr>SavedResults</vt:lpstr>
      <vt:lpstr>ENWL</vt:lpstr>
      <vt:lpstr>NPgN</vt:lpstr>
      <vt:lpstr>NPgY</vt:lpstr>
      <vt:lpstr>WMID</vt:lpstr>
      <vt:lpstr>EMID</vt:lpstr>
      <vt:lpstr>SWALES</vt:lpstr>
      <vt:lpstr>SWEST</vt:lpstr>
      <vt:lpstr>LPN</vt:lpstr>
      <vt:lpstr>SPN</vt:lpstr>
      <vt:lpstr>EPN</vt:lpstr>
      <vt:lpstr>SPD</vt:lpstr>
      <vt:lpstr>SPMW</vt:lpstr>
      <vt:lpstr>SSEH</vt:lpstr>
      <vt:lpstr>SSES</vt:lpstr>
      <vt:lpstr>IncentiveStrength</vt:lpstr>
      <vt:lpstr>m_calculated_tax</vt:lpstr>
      <vt:lpstr>m_identity</vt:lpstr>
      <vt:lpstr>m_live_results</vt:lpstr>
      <vt:lpstr>m_live_results_end</vt:lpstr>
      <vt:lpstr>m_PCFM_year_t</vt:lpstr>
      <vt:lpstr>m_results_01</vt:lpstr>
      <vt:lpstr>m_results_02</vt:lpstr>
      <vt:lpstr>m_results_03</vt:lpstr>
      <vt:lpstr>m_results_04</vt:lpstr>
      <vt:lpstr>m_results_05</vt:lpstr>
      <vt:lpstr>m_results_06</vt:lpstr>
      <vt:lpstr>m_results_07</vt:lpstr>
      <vt:lpstr>m_results_08</vt:lpstr>
      <vt:lpstr>m_results_09</vt:lpstr>
      <vt:lpstr>m_results_10</vt:lpstr>
      <vt:lpstr>m_results_11</vt:lpstr>
      <vt:lpstr>m_results_12</vt:lpstr>
      <vt:lpstr>m_results_13</vt:lpstr>
      <vt:lpstr>m_results_14</vt:lpstr>
      <vt:lpstr>m_saved_original_test</vt:lpstr>
      <vt:lpstr>m_tax_trigger_results</vt:lpstr>
      <vt:lpstr>m_tax_trigger_state</vt:lpstr>
      <vt:lpstr>m_tracked</vt:lpstr>
      <vt:lpstr>NumberofOperators</vt:lpstr>
      <vt:lpstr>Cover!Print_Area</vt:lpstr>
      <vt:lpstr>DARTs!Print_Area</vt:lpstr>
      <vt:lpstr>Depn!Print_Area</vt:lpstr>
      <vt:lpstr>EMID!Print_Area</vt:lpstr>
      <vt:lpstr>ENWL!Print_Area</vt:lpstr>
      <vt:lpstr>EPN!Print_Area</vt:lpstr>
      <vt:lpstr>'Finance&amp;Tax'!Print_Area</vt:lpstr>
      <vt:lpstr>Input!Print_Area</vt:lpstr>
      <vt:lpstr>LiveResults!Print_Area</vt:lpstr>
      <vt:lpstr>LPN!Print_Area</vt:lpstr>
      <vt:lpstr>MOD!Print_Area</vt:lpstr>
      <vt:lpstr>NPgN!Print_Area</vt:lpstr>
      <vt:lpstr>NPgY!Print_Area</vt:lpstr>
      <vt:lpstr>'Return&amp;RAV'!Print_Area</vt:lpstr>
      <vt:lpstr>Revenue!Print_Area</vt:lpstr>
      <vt:lpstr>SPD!Print_Area</vt:lpstr>
      <vt:lpstr>SPMW!Print_Area</vt:lpstr>
      <vt:lpstr>SPN!Print_Area</vt:lpstr>
      <vt:lpstr>SSEH!Print_Area</vt:lpstr>
      <vt:lpstr>SSES!Print_Area</vt:lpstr>
      <vt:lpstr>SWALES!Print_Area</vt:lpstr>
      <vt:lpstr>SWEST!Print_Area</vt:lpstr>
      <vt:lpstr>TaxPools!Print_Area</vt:lpstr>
      <vt:lpstr>TaxTrigger!Print_Area</vt:lpstr>
      <vt:lpstr>TIM!Print_Area</vt:lpstr>
      <vt:lpstr>Totex!Print_Area</vt:lpstr>
      <vt:lpstr>UserInterface!Print_Area</vt:lpstr>
      <vt:lpstr>WMID!Print_Area</vt:lpstr>
      <vt:lpstr>Cover!Print_Titles</vt:lpstr>
      <vt:lpstr>DARTs!Print_Titles</vt:lpstr>
      <vt:lpstr>Depn!Print_Titles</vt:lpstr>
      <vt:lpstr>EMID!Print_Titles</vt:lpstr>
      <vt:lpstr>ENWL!Print_Titles</vt:lpstr>
      <vt:lpstr>EPN!Print_Titles</vt:lpstr>
      <vt:lpstr>'Finance&amp;Tax'!Print_Titles</vt:lpstr>
      <vt:lpstr>Input!Print_Titles</vt:lpstr>
      <vt:lpstr>LiveResults!Print_Titles</vt:lpstr>
      <vt:lpstr>LPN!Print_Titles</vt:lpstr>
      <vt:lpstr>MOD!Print_Titles</vt:lpstr>
      <vt:lpstr>NPgN!Print_Titles</vt:lpstr>
      <vt:lpstr>NPgY!Print_Titles</vt:lpstr>
      <vt:lpstr>'Return&amp;RAV'!Print_Titles</vt:lpstr>
      <vt:lpstr>Revenue!Print_Titles</vt:lpstr>
      <vt:lpstr>SavedResults!Print_Titles</vt:lpstr>
      <vt:lpstr>SPD!Print_Titles</vt:lpstr>
      <vt:lpstr>SPMW!Print_Titles</vt:lpstr>
      <vt:lpstr>SPN!Print_Titles</vt:lpstr>
      <vt:lpstr>SSEH!Print_Titles</vt:lpstr>
      <vt:lpstr>SSES!Print_Titles</vt:lpstr>
      <vt:lpstr>SWALES!Print_Titles</vt:lpstr>
      <vt:lpstr>SWEST!Print_Titles</vt:lpstr>
      <vt:lpstr>TaxPools!Print_Titles</vt:lpstr>
      <vt:lpstr>TaxTrigger!Print_Titles</vt:lpstr>
      <vt:lpstr>TIM!Print_Titles</vt:lpstr>
      <vt:lpstr>Totex!Print_Titles</vt:lpstr>
      <vt:lpstr>UserInterface!Print_Titles</vt:lpstr>
      <vt:lpstr>WMID!Print_Titles</vt:lpstr>
      <vt:lpstr>view</vt:lpstr>
    </vt:vector>
  </TitlesOfParts>
  <Company>Ofgem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doylet</dc:creator>
  <cp:lastModifiedBy>Ruth Smyth</cp:lastModifiedBy>
  <cp:lastPrinted>2014-12-17T10:02:06Z</cp:lastPrinted>
  <dcterms:created xsi:type="dcterms:W3CDTF">2010-01-06T13:07:24Z</dcterms:created>
  <dcterms:modified xsi:type="dcterms:W3CDTF">2015-09-28T15:04:50Z</dcterms:modified>
  <cp:contentStatus>Draft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0x0101004C9F495A7355574383679A0A27B2912100DE5CF8977757374FA5ABDEB211CD5278</vt:lpwstr>
  </property>
  <property fmtid="{D5CDD505-2E9C-101B-9397-08002B2CF9AE}" pid="3" name="Meeting Date">
    <vt:filetime>2015-01-29T13:09:14Z</vt:filetime>
  </property>
</Properties>
</file>