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degtyarev/Development/bsuir/Diploma/"/>
    </mc:Choice>
  </mc:AlternateContent>
  <xr:revisionPtr revIDLastSave="0" documentId="10_ncr:8100000_{41849DEA-F1B9-DA4E-97A4-A6F64BB27705}" xr6:coauthVersionLast="33" xr6:coauthVersionMax="33" xr10:uidLastSave="{00000000-0000-0000-0000-000000000000}"/>
  <bookViews>
    <workbookView minimized="1" xWindow="8300" yWindow="460" windowWidth="17040" windowHeight="20540" xr2:uid="{82272E83-E535-1C48-A144-DC6D88DF4F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1" l="1"/>
  <c r="M26" i="1"/>
  <c r="M28" i="1" s="1"/>
  <c r="M29" i="1" s="1"/>
  <c r="M30" i="1" s="1"/>
  <c r="N35" i="1" s="1"/>
  <c r="M35" i="1"/>
  <c r="M34" i="1"/>
  <c r="M33" i="1"/>
  <c r="D35" i="1"/>
  <c r="D32" i="1"/>
  <c r="D33" i="1" s="1"/>
  <c r="D36" i="1"/>
  <c r="H1" i="1"/>
  <c r="H3" i="1" s="1"/>
  <c r="H4" i="1" s="1"/>
  <c r="H11" i="1"/>
  <c r="H9" i="1"/>
  <c r="D3" i="1"/>
  <c r="D29" i="1"/>
  <c r="D30" i="1" s="1"/>
  <c r="H5" i="1" s="1"/>
  <c r="H12" i="1" s="1"/>
  <c r="D27" i="1"/>
  <c r="N32" i="1" l="1"/>
  <c r="N33" i="1"/>
  <c r="N34" i="1"/>
  <c r="H14" i="1"/>
  <c r="H6" i="1" l="1"/>
  <c r="H8" i="1" s="1"/>
  <c r="H13" i="1"/>
  <c r="H7" i="1"/>
  <c r="H15" i="1" s="1"/>
  <c r="H42" i="1" l="1"/>
  <c r="H43" i="1" s="1"/>
  <c r="H41" i="1"/>
</calcChain>
</file>

<file path=xl/sharedStrings.xml><?xml version="1.0" encoding="utf-8"?>
<sst xmlns="http://schemas.openxmlformats.org/spreadsheetml/2006/main" count="189" uniqueCount="145">
  <si>
    <t>К_н</t>
  </si>
  <si>
    <t>К_сл</t>
  </si>
  <si>
    <t>К_т</t>
  </si>
  <si>
    <t>Ф_эф</t>
  </si>
  <si>
    <t>Т_м1</t>
  </si>
  <si>
    <t>К_п</t>
  </si>
  <si>
    <t>Н_д</t>
  </si>
  <si>
    <t>Н_сз</t>
  </si>
  <si>
    <t>Н_е</t>
  </si>
  <si>
    <t>Н_нк</t>
  </si>
  <si>
    <t>Н_пз</t>
  </si>
  <si>
    <t>Н_рн</t>
  </si>
  <si>
    <t>У_рп</t>
  </si>
  <si>
    <t>Н_дс</t>
  </si>
  <si>
    <t>Н_приб</t>
  </si>
  <si>
    <t>Н_м</t>
  </si>
  <si>
    <t>Н_мв</t>
  </si>
  <si>
    <t>Ц_мв</t>
  </si>
  <si>
    <t>Н_о</t>
  </si>
  <si>
    <t>Н_с</t>
  </si>
  <si>
    <t>ед</t>
  </si>
  <si>
    <t>дней</t>
  </si>
  <si>
    <t>руб</t>
  </si>
  <si>
    <t>%</t>
  </si>
  <si>
    <t>маш/ч</t>
  </si>
  <si>
    <t>К_дсл</t>
  </si>
  <si>
    <t>общ трудоемкость</t>
  </si>
  <si>
    <t>Т_о</t>
  </si>
  <si>
    <t>нормативная трудоемк</t>
  </si>
  <si>
    <t>Т_н</t>
  </si>
  <si>
    <t>чел/д</t>
  </si>
  <si>
    <t>коэффициент сложности</t>
  </si>
  <si>
    <t>К_с</t>
  </si>
  <si>
    <t>численность работников</t>
  </si>
  <si>
    <t>Ч_р</t>
  </si>
  <si>
    <t>cрок разработки</t>
  </si>
  <si>
    <t>лет</t>
  </si>
  <si>
    <t>Т_р</t>
  </si>
  <si>
    <t>Дг</t>
  </si>
  <si>
    <t>дней в году</t>
  </si>
  <si>
    <t>праздничных</t>
  </si>
  <si>
    <t>Дп</t>
  </si>
  <si>
    <t>выходных</t>
  </si>
  <si>
    <t>Дв</t>
  </si>
  <si>
    <t>отпуска</t>
  </si>
  <si>
    <t>До</t>
  </si>
  <si>
    <t>эффективный фонд времени</t>
  </si>
  <si>
    <t>работник №1</t>
  </si>
  <si>
    <t>Т_к№1</t>
  </si>
  <si>
    <t>месячная тарифная ставка</t>
  </si>
  <si>
    <t>Т_м№1</t>
  </si>
  <si>
    <t>дневная тарифная ставка</t>
  </si>
  <si>
    <t>Т_д№1</t>
  </si>
  <si>
    <t>работник №2</t>
  </si>
  <si>
    <t>Т_к№2</t>
  </si>
  <si>
    <t>Т_м№2</t>
  </si>
  <si>
    <t>Т_д№2</t>
  </si>
  <si>
    <t>основная зп</t>
  </si>
  <si>
    <t>З_оi</t>
  </si>
  <si>
    <t>Коэф новизны</t>
  </si>
  <si>
    <t>Группа сложности</t>
  </si>
  <si>
    <t>Тарифная ставка</t>
  </si>
  <si>
    <t>Коэф премирования</t>
  </si>
  <si>
    <t>Доп зп исполнителей</t>
  </si>
  <si>
    <t>ФСЗН</t>
  </si>
  <si>
    <t>Белгосстрах</t>
  </si>
  <si>
    <t>Научные командировки</t>
  </si>
  <si>
    <t>Прочие затраты</t>
  </si>
  <si>
    <t>Накладные расходы</t>
  </si>
  <si>
    <t>Уровень рентабельности</t>
  </si>
  <si>
    <t>НДС</t>
  </si>
  <si>
    <t>Налог на прибыль</t>
  </si>
  <si>
    <t>Норма материалов</t>
  </si>
  <si>
    <t>Норма маш времени</t>
  </si>
  <si>
    <t>Цена машиночаса</t>
  </si>
  <si>
    <t>Норматив на освоение по</t>
  </si>
  <si>
    <t>Норматив на сопров по</t>
  </si>
  <si>
    <t>руб на 100</t>
  </si>
  <si>
    <t>Доп коэф слож Прил(1, 2, 3, 4.1)</t>
  </si>
  <si>
    <t>Коэф использования станд модулей (20-40)</t>
  </si>
  <si>
    <t>дополнительня зп</t>
  </si>
  <si>
    <t>З_ди</t>
  </si>
  <si>
    <t>отчисл в фсзн</t>
  </si>
  <si>
    <t>З_сз</t>
  </si>
  <si>
    <t>отчисл в белгосстр</t>
  </si>
  <si>
    <t>Н_з</t>
  </si>
  <si>
    <t>расходы на материалы</t>
  </si>
  <si>
    <t>Р_м</t>
  </si>
  <si>
    <t>объем по(строк окда</t>
  </si>
  <si>
    <t>V_оу</t>
  </si>
  <si>
    <t>чел</t>
  </si>
  <si>
    <t>Р_со</t>
  </si>
  <si>
    <t>расходы на спецобор</t>
  </si>
  <si>
    <t>р на машинное время</t>
  </si>
  <si>
    <t>Р_мв</t>
  </si>
  <si>
    <t>р научные командировки</t>
  </si>
  <si>
    <t>Р_нк</t>
  </si>
  <si>
    <t>р прочие затраты</t>
  </si>
  <si>
    <t>Р_пз</t>
  </si>
  <si>
    <t>р накладные расходы</t>
  </si>
  <si>
    <t>Р_н</t>
  </si>
  <si>
    <t>сумма расходов</t>
  </si>
  <si>
    <t>C_р</t>
  </si>
  <si>
    <t>плановая прибыль</t>
  </si>
  <si>
    <t>П_с</t>
  </si>
  <si>
    <t>pатр на сопр и адапт</t>
  </si>
  <si>
    <t>Р_са</t>
  </si>
  <si>
    <t>общ сум затрат на разр</t>
  </si>
  <si>
    <t>C_п</t>
  </si>
  <si>
    <t>прирост чистой прибыли</t>
  </si>
  <si>
    <t>работник №3</t>
  </si>
  <si>
    <t>С_зе</t>
  </si>
  <si>
    <t>т_с1</t>
  </si>
  <si>
    <t>Т_с2</t>
  </si>
  <si>
    <t>А_1</t>
  </si>
  <si>
    <t>А_2</t>
  </si>
  <si>
    <t>сред трудоемкость</t>
  </si>
  <si>
    <t>число задач в год</t>
  </si>
  <si>
    <t>З_т2</t>
  </si>
  <si>
    <t>З_т1</t>
  </si>
  <si>
    <t>среднемесячная зп</t>
  </si>
  <si>
    <t>З_см</t>
  </si>
  <si>
    <t>экономия на 1 задачу</t>
  </si>
  <si>
    <t>дн</t>
  </si>
  <si>
    <t>рабочих дней</t>
  </si>
  <si>
    <t>рабочих часов</t>
  </si>
  <si>
    <t>часо</t>
  </si>
  <si>
    <t>Сначз</t>
  </si>
  <si>
    <t>экономия начислений</t>
  </si>
  <si>
    <t>общая эконом</t>
  </si>
  <si>
    <t>Cо</t>
  </si>
  <si>
    <t>дПч</t>
  </si>
  <si>
    <t>норматив дисконт</t>
  </si>
  <si>
    <t>Е</t>
  </si>
  <si>
    <t>коэф диск в первый год</t>
  </si>
  <si>
    <t>коэф диск в второй</t>
  </si>
  <si>
    <t>коэф диск в третий</t>
  </si>
  <si>
    <t>коэф диск в четвертый</t>
  </si>
  <si>
    <t>объем работы</t>
  </si>
  <si>
    <t>a1</t>
  </si>
  <si>
    <t>a2</t>
  </si>
  <si>
    <t>a3</t>
  </si>
  <si>
    <t>a4</t>
  </si>
  <si>
    <t>Результат с уч фактора</t>
  </si>
  <si>
    <t>Пчи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</si>
</sst>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0" fillId="2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3833-1F7A-6143-B1AF-C57914802857}">
  <dimension ref="A1:N43"/>
  <sheetViews>
    <sheetView tabSelected="1" topLeftCell="E1" workbookViewId="0">
      <selection activeCell="L24" sqref="L24"/>
    </sheetView>
  </sheetViews>
  <sheetFormatPr baseColWidth="10" defaultRowHeight="16" x14ac:dyDescent="0.2"/>
  <cols>
    <col min="1" max="1" width="25.33203125" customWidth="1"/>
    <col min="6" max="6" width="22.5" customWidth="1"/>
    <col min="11" max="11" width="21.83203125" customWidth="1"/>
    <col min="14" max="14" width="13.1640625" customWidth="1"/>
  </cols>
  <sheetData>
    <row r="1" spans="1:14" x14ac:dyDescent="0.2">
      <c r="A1" t="s">
        <v>59</v>
      </c>
      <c r="B1" s="2" t="s">
        <v>0</v>
      </c>
      <c r="C1" s="3" t="s">
        <v>20</v>
      </c>
      <c r="D1" s="4">
        <v>0.7</v>
      </c>
      <c r="E1" s="9"/>
      <c r="F1" t="s">
        <v>31</v>
      </c>
      <c r="G1" t="s">
        <v>32</v>
      </c>
      <c r="H1" s="22">
        <f>1+D3</f>
        <v>1.33</v>
      </c>
      <c r="K1" s="9"/>
      <c r="L1" s="9"/>
      <c r="M1" s="9"/>
      <c r="N1" s="9"/>
    </row>
    <row r="2" spans="1:14" x14ac:dyDescent="0.2">
      <c r="A2" t="s">
        <v>60</v>
      </c>
      <c r="B2" s="5" t="s">
        <v>1</v>
      </c>
      <c r="C2" s="6" t="s">
        <v>20</v>
      </c>
      <c r="D2" s="7">
        <v>1</v>
      </c>
      <c r="E2" s="6"/>
      <c r="F2" t="s">
        <v>28</v>
      </c>
      <c r="G2" s="14" t="s">
        <v>29</v>
      </c>
      <c r="H2" s="15">
        <v>556</v>
      </c>
      <c r="I2" s="14" t="s">
        <v>30</v>
      </c>
      <c r="K2" s="9"/>
      <c r="L2" s="9"/>
      <c r="M2" s="9"/>
      <c r="N2" s="9"/>
    </row>
    <row r="3" spans="1:14" x14ac:dyDescent="0.2">
      <c r="A3" t="s">
        <v>78</v>
      </c>
      <c r="B3" s="8" t="s">
        <v>25</v>
      </c>
      <c r="C3" s="9" t="s">
        <v>20</v>
      </c>
      <c r="D3">
        <f>0.08+0.06+0.07+0.12</f>
        <v>0.33</v>
      </c>
      <c r="E3" s="9"/>
      <c r="F3" t="s">
        <v>26</v>
      </c>
      <c r="G3" t="s">
        <v>27</v>
      </c>
      <c r="H3">
        <f>H2*H1*D4*D1</f>
        <v>414.10880000000003</v>
      </c>
      <c r="I3" t="s">
        <v>30</v>
      </c>
      <c r="K3" s="9"/>
      <c r="L3" s="9"/>
      <c r="M3" s="9"/>
      <c r="N3" s="9"/>
    </row>
    <row r="4" spans="1:14" x14ac:dyDescent="0.2">
      <c r="A4" t="s">
        <v>79</v>
      </c>
      <c r="B4" s="8" t="s">
        <v>2</v>
      </c>
      <c r="C4" s="9" t="s">
        <v>20</v>
      </c>
      <c r="D4" s="10">
        <v>0.8</v>
      </c>
      <c r="E4" s="9"/>
      <c r="F4" t="s">
        <v>33</v>
      </c>
      <c r="G4" t="s">
        <v>34</v>
      </c>
      <c r="H4">
        <f>H3/(D22*D27)</f>
        <v>3.6166707423580791</v>
      </c>
      <c r="I4" t="s">
        <v>90</v>
      </c>
      <c r="K4" s="9"/>
      <c r="L4" s="9"/>
      <c r="M4" s="9"/>
      <c r="N4" s="9"/>
    </row>
    <row r="5" spans="1:14" x14ac:dyDescent="0.2">
      <c r="E5" s="9"/>
      <c r="F5" t="s">
        <v>57</v>
      </c>
      <c r="G5" t="s">
        <v>58</v>
      </c>
      <c r="H5">
        <f>SUM(D30,D33,D36)*D27*D22*D7</f>
        <v>26569.724999999999</v>
      </c>
      <c r="I5" t="s">
        <v>22</v>
      </c>
      <c r="K5" s="9"/>
      <c r="L5" s="9"/>
      <c r="M5" s="9"/>
      <c r="N5" s="9"/>
    </row>
    <row r="6" spans="1:14" x14ac:dyDescent="0.2">
      <c r="A6" t="s">
        <v>61</v>
      </c>
      <c r="B6" s="8" t="s">
        <v>4</v>
      </c>
      <c r="C6" s="9" t="s">
        <v>22</v>
      </c>
      <c r="D6" s="10">
        <v>340</v>
      </c>
      <c r="E6" s="9"/>
      <c r="F6" s="16" t="s">
        <v>80</v>
      </c>
      <c r="G6" s="16" t="s">
        <v>81</v>
      </c>
      <c r="H6">
        <f>H5*D8/100</f>
        <v>5313.9449999999997</v>
      </c>
      <c r="I6" t="s">
        <v>22</v>
      </c>
      <c r="K6" s="9"/>
      <c r="L6" s="9"/>
      <c r="M6" s="9"/>
      <c r="N6" s="9"/>
    </row>
    <row r="7" spans="1:14" x14ac:dyDescent="0.2">
      <c r="A7" t="s">
        <v>62</v>
      </c>
      <c r="B7" s="8" t="s">
        <v>5</v>
      </c>
      <c r="C7" s="9" t="s">
        <v>20</v>
      </c>
      <c r="D7" s="10">
        <v>1.5</v>
      </c>
      <c r="E7" s="9"/>
      <c r="F7" s="16" t="s">
        <v>82</v>
      </c>
      <c r="G7" s="16" t="s">
        <v>83</v>
      </c>
      <c r="H7">
        <f>(H5+H6)*D9/100</f>
        <v>10840.4478</v>
      </c>
      <c r="I7" t="s">
        <v>22</v>
      </c>
      <c r="K7" s="9"/>
      <c r="L7" s="9"/>
      <c r="M7" s="9"/>
      <c r="N7" s="9"/>
    </row>
    <row r="8" spans="1:14" x14ac:dyDescent="0.2">
      <c r="A8" t="s">
        <v>63</v>
      </c>
      <c r="B8" s="8" t="s">
        <v>6</v>
      </c>
      <c r="C8" s="9" t="s">
        <v>23</v>
      </c>
      <c r="D8" s="10">
        <v>20</v>
      </c>
      <c r="E8" s="9"/>
      <c r="F8" s="16" t="s">
        <v>84</v>
      </c>
      <c r="G8" s="16" t="s">
        <v>85</v>
      </c>
      <c r="H8">
        <f>(H5+H6)*D10/100</f>
        <v>191.30201999999997</v>
      </c>
      <c r="I8" t="s">
        <v>22</v>
      </c>
      <c r="K8" s="9"/>
      <c r="L8" s="9"/>
      <c r="M8" s="9"/>
      <c r="N8" s="9"/>
    </row>
    <row r="9" spans="1:14" x14ac:dyDescent="0.2">
      <c r="A9" t="s">
        <v>64</v>
      </c>
      <c r="B9" s="8" t="s">
        <v>7</v>
      </c>
      <c r="C9" s="9" t="s">
        <v>23</v>
      </c>
      <c r="D9" s="10">
        <v>34</v>
      </c>
      <c r="E9" s="9"/>
      <c r="F9" s="16" t="s">
        <v>86</v>
      </c>
      <c r="G9" s="16" t="s">
        <v>87</v>
      </c>
      <c r="H9">
        <f>D17*D37/100</f>
        <v>76.760000000000005</v>
      </c>
      <c r="I9" t="s">
        <v>22</v>
      </c>
      <c r="K9" s="9"/>
      <c r="L9" s="9"/>
      <c r="M9" s="9"/>
      <c r="N9" s="9"/>
    </row>
    <row r="10" spans="1:14" x14ac:dyDescent="0.2">
      <c r="A10" t="s">
        <v>65</v>
      </c>
      <c r="B10" s="8" t="s">
        <v>8</v>
      </c>
      <c r="C10" s="9" t="s">
        <v>23</v>
      </c>
      <c r="D10" s="10">
        <v>0.6</v>
      </c>
      <c r="E10" s="9"/>
      <c r="F10" s="16" t="s">
        <v>92</v>
      </c>
      <c r="G10" s="16" t="s">
        <v>91</v>
      </c>
      <c r="H10">
        <v>0</v>
      </c>
      <c r="I10" t="s">
        <v>22</v>
      </c>
    </row>
    <row r="11" spans="1:14" x14ac:dyDescent="0.2">
      <c r="A11" t="s">
        <v>66</v>
      </c>
      <c r="B11" s="8" t="s">
        <v>9</v>
      </c>
      <c r="C11" s="9" t="s">
        <v>23</v>
      </c>
      <c r="D11" s="10">
        <v>0</v>
      </c>
      <c r="E11" s="9"/>
      <c r="F11" s="16" t="s">
        <v>93</v>
      </c>
      <c r="G11" s="16" t="s">
        <v>94</v>
      </c>
      <c r="H11">
        <f>D18*D37/100*D19</f>
        <v>48.48</v>
      </c>
      <c r="I11" t="s">
        <v>22</v>
      </c>
    </row>
    <row r="12" spans="1:14" x14ac:dyDescent="0.2">
      <c r="A12" t="s">
        <v>67</v>
      </c>
      <c r="B12" s="8" t="s">
        <v>10</v>
      </c>
      <c r="C12" s="9" t="s">
        <v>23</v>
      </c>
      <c r="D12" s="10">
        <v>10</v>
      </c>
      <c r="E12" s="9"/>
      <c r="F12" s="16" t="s">
        <v>95</v>
      </c>
      <c r="G12" s="16" t="s">
        <v>96</v>
      </c>
      <c r="H12">
        <f>H5*D11/100</f>
        <v>0</v>
      </c>
      <c r="I12" t="s">
        <v>22</v>
      </c>
    </row>
    <row r="13" spans="1:14" x14ac:dyDescent="0.2">
      <c r="A13" t="s">
        <v>68</v>
      </c>
      <c r="B13" s="8" t="s">
        <v>11</v>
      </c>
      <c r="C13" s="9" t="s">
        <v>23</v>
      </c>
      <c r="D13" s="10">
        <v>100</v>
      </c>
      <c r="E13" s="9"/>
      <c r="F13" s="16" t="s">
        <v>97</v>
      </c>
      <c r="G13" s="16" t="s">
        <v>98</v>
      </c>
      <c r="H13">
        <f>H5*D12/100</f>
        <v>2656.9724999999999</v>
      </c>
      <c r="I13" t="s">
        <v>22</v>
      </c>
    </row>
    <row r="14" spans="1:14" x14ac:dyDescent="0.2">
      <c r="A14" t="s">
        <v>69</v>
      </c>
      <c r="B14" s="8" t="s">
        <v>12</v>
      </c>
      <c r="C14" s="9" t="s">
        <v>23</v>
      </c>
      <c r="D14" s="10">
        <v>15</v>
      </c>
      <c r="E14" s="9"/>
      <c r="F14" s="16" t="s">
        <v>99</v>
      </c>
      <c r="G14" s="16" t="s">
        <v>100</v>
      </c>
      <c r="H14">
        <f>H5*D13/100</f>
        <v>26569.724999999999</v>
      </c>
      <c r="I14" t="s">
        <v>22</v>
      </c>
    </row>
    <row r="15" spans="1:14" x14ac:dyDescent="0.2">
      <c r="A15" t="s">
        <v>70</v>
      </c>
      <c r="B15" s="8" t="s">
        <v>13</v>
      </c>
      <c r="C15" s="9" t="s">
        <v>23</v>
      </c>
      <c r="D15" s="10">
        <v>20</v>
      </c>
      <c r="E15" s="9"/>
      <c r="F15" s="16" t="s">
        <v>101</v>
      </c>
      <c r="G15" s="16" t="s">
        <v>102</v>
      </c>
      <c r="H15">
        <f>H5+H6+H7+H8+H9+H10+H11+H12+H13+H14</f>
        <v>72267.35732000001</v>
      </c>
      <c r="I15" t="s">
        <v>22</v>
      </c>
    </row>
    <row r="16" spans="1:14" x14ac:dyDescent="0.2">
      <c r="A16" t="s">
        <v>71</v>
      </c>
      <c r="B16" s="8" t="s">
        <v>14</v>
      </c>
      <c r="C16" s="9" t="s">
        <v>23</v>
      </c>
      <c r="D16" s="10">
        <v>18</v>
      </c>
      <c r="E16" s="9"/>
    </row>
    <row r="17" spans="1:14" x14ac:dyDescent="0.2">
      <c r="A17" t="s">
        <v>72</v>
      </c>
      <c r="B17" s="8" t="s">
        <v>15</v>
      </c>
      <c r="C17" s="9" t="s">
        <v>77</v>
      </c>
      <c r="D17" s="10">
        <v>0.38</v>
      </c>
      <c r="E17" s="9"/>
      <c r="K17" t="s">
        <v>124</v>
      </c>
      <c r="L17" t="s">
        <v>123</v>
      </c>
      <c r="M17">
        <v>22</v>
      </c>
    </row>
    <row r="18" spans="1:14" x14ac:dyDescent="0.2">
      <c r="A18" t="s">
        <v>73</v>
      </c>
      <c r="B18" s="8" t="s">
        <v>16</v>
      </c>
      <c r="C18" s="9" t="s">
        <v>24</v>
      </c>
      <c r="D18" s="10">
        <v>2</v>
      </c>
      <c r="E18" s="9"/>
      <c r="K18" t="s">
        <v>125</v>
      </c>
      <c r="L18" t="s">
        <v>126</v>
      </c>
      <c r="M18">
        <v>8</v>
      </c>
    </row>
    <row r="19" spans="1:14" x14ac:dyDescent="0.2">
      <c r="A19" t="s">
        <v>74</v>
      </c>
      <c r="B19" s="8" t="s">
        <v>17</v>
      </c>
      <c r="C19" s="9" t="s">
        <v>22</v>
      </c>
      <c r="D19" s="10">
        <v>0.12</v>
      </c>
      <c r="E19" s="9"/>
      <c r="K19" t="s">
        <v>120</v>
      </c>
      <c r="L19" s="16" t="s">
        <v>121</v>
      </c>
      <c r="M19" s="16">
        <v>800</v>
      </c>
    </row>
    <row r="20" spans="1:14" x14ac:dyDescent="0.2">
      <c r="A20" t="s">
        <v>75</v>
      </c>
      <c r="B20" s="8" t="s">
        <v>18</v>
      </c>
      <c r="C20" s="9" t="s">
        <v>23</v>
      </c>
      <c r="D20" s="10">
        <v>10</v>
      </c>
      <c r="E20" s="9"/>
      <c r="K20" t="s">
        <v>117</v>
      </c>
      <c r="L20" t="s">
        <v>119</v>
      </c>
      <c r="M20">
        <v>40</v>
      </c>
    </row>
    <row r="21" spans="1:14" ht="17" thickBot="1" x14ac:dyDescent="0.25">
      <c r="A21" t="s">
        <v>76</v>
      </c>
      <c r="B21" s="11" t="s">
        <v>19</v>
      </c>
      <c r="C21" s="12" t="s">
        <v>23</v>
      </c>
      <c r="D21" s="13">
        <v>20</v>
      </c>
      <c r="E21" s="9"/>
      <c r="K21" t="s">
        <v>117</v>
      </c>
      <c r="L21" t="s">
        <v>118</v>
      </c>
      <c r="M21">
        <v>40</v>
      </c>
    </row>
    <row r="22" spans="1:14" x14ac:dyDescent="0.2">
      <c r="A22" t="s">
        <v>35</v>
      </c>
      <c r="B22" s="17" t="s">
        <v>37</v>
      </c>
      <c r="C22" s="16" t="s">
        <v>36</v>
      </c>
      <c r="D22" s="18">
        <v>0.5</v>
      </c>
      <c r="E22" s="16"/>
      <c r="K22" s="1" t="s">
        <v>138</v>
      </c>
      <c r="L22" t="s">
        <v>114</v>
      </c>
      <c r="M22">
        <v>20</v>
      </c>
    </row>
    <row r="23" spans="1:14" x14ac:dyDescent="0.2">
      <c r="A23" t="s">
        <v>39</v>
      </c>
      <c r="B23" s="17" t="s">
        <v>38</v>
      </c>
      <c r="C23" s="16" t="s">
        <v>21</v>
      </c>
      <c r="D23" s="18">
        <v>365</v>
      </c>
      <c r="K23" s="1" t="s">
        <v>138</v>
      </c>
      <c r="L23" t="s">
        <v>115</v>
      </c>
      <c r="M23">
        <v>16</v>
      </c>
    </row>
    <row r="24" spans="1:14" x14ac:dyDescent="0.2">
      <c r="A24" t="s">
        <v>40</v>
      </c>
      <c r="B24" s="17" t="s">
        <v>41</v>
      </c>
      <c r="C24" s="16" t="s">
        <v>21</v>
      </c>
      <c r="D24" s="18">
        <v>9</v>
      </c>
      <c r="K24" t="s">
        <v>116</v>
      </c>
      <c r="L24" t="s">
        <v>112</v>
      </c>
      <c r="M24">
        <v>40</v>
      </c>
    </row>
    <row r="25" spans="1:14" x14ac:dyDescent="0.2">
      <c r="A25" t="s">
        <v>42</v>
      </c>
      <c r="B25" s="17" t="s">
        <v>43</v>
      </c>
      <c r="C25" s="16" t="s">
        <v>21</v>
      </c>
      <c r="D25" s="18">
        <v>103</v>
      </c>
      <c r="K25" t="s">
        <v>116</v>
      </c>
      <c r="L25" t="s">
        <v>113</v>
      </c>
      <c r="M25">
        <v>20</v>
      </c>
    </row>
    <row r="26" spans="1:14" x14ac:dyDescent="0.2">
      <c r="A26" t="s">
        <v>44</v>
      </c>
      <c r="B26" s="17" t="s">
        <v>45</v>
      </c>
      <c r="C26" s="16" t="s">
        <v>21</v>
      </c>
      <c r="D26" s="18">
        <v>24</v>
      </c>
      <c r="K26" t="s">
        <v>122</v>
      </c>
      <c r="L26" t="s">
        <v>111</v>
      </c>
      <c r="M26">
        <f>M19*(M22*M24*M20-M23*M25*M21)/(M18*M17)</f>
        <v>87272.727272727279</v>
      </c>
    </row>
    <row r="27" spans="1:14" ht="17" thickBot="1" x14ac:dyDescent="0.25">
      <c r="A27" t="s">
        <v>46</v>
      </c>
      <c r="B27" s="8" t="s">
        <v>3</v>
      </c>
      <c r="C27" s="9" t="s">
        <v>21</v>
      </c>
      <c r="D27" s="10">
        <f>D23-D24-D25-D26</f>
        <v>229</v>
      </c>
    </row>
    <row r="28" spans="1:14" x14ac:dyDescent="0.2">
      <c r="A28" s="2" t="s">
        <v>47</v>
      </c>
      <c r="B28" s="19" t="s">
        <v>48</v>
      </c>
      <c r="C28" s="3"/>
      <c r="D28" s="20">
        <v>3.72</v>
      </c>
      <c r="K28" t="s">
        <v>128</v>
      </c>
      <c r="L28" t="s">
        <v>127</v>
      </c>
      <c r="M28">
        <f>M26*M27</f>
        <v>0</v>
      </c>
    </row>
    <row r="29" spans="1:14" x14ac:dyDescent="0.2">
      <c r="A29" s="8" t="s">
        <v>49</v>
      </c>
      <c r="B29" s="17" t="s">
        <v>50</v>
      </c>
      <c r="C29" s="9"/>
      <c r="D29" s="10">
        <f>D6*D28</f>
        <v>1264.8</v>
      </c>
      <c r="K29" t="s">
        <v>129</v>
      </c>
      <c r="L29" t="s">
        <v>130</v>
      </c>
      <c r="M29">
        <f>M26+M28</f>
        <v>87272.727272727279</v>
      </c>
    </row>
    <row r="30" spans="1:14" ht="17" thickBot="1" x14ac:dyDescent="0.25">
      <c r="A30" s="11" t="s">
        <v>51</v>
      </c>
      <c r="B30" s="21" t="s">
        <v>52</v>
      </c>
      <c r="C30" s="12"/>
      <c r="D30" s="13">
        <f>D29/22</f>
        <v>57.490909090909092</v>
      </c>
      <c r="K30" t="s">
        <v>109</v>
      </c>
      <c r="L30" t="s">
        <v>131</v>
      </c>
      <c r="M30">
        <f>M29*(1-D16/100)</f>
        <v>71563.636363636368</v>
      </c>
    </row>
    <row r="31" spans="1:14" x14ac:dyDescent="0.2">
      <c r="A31" s="2" t="s">
        <v>53</v>
      </c>
      <c r="B31" s="19" t="s">
        <v>54</v>
      </c>
      <c r="C31" s="3"/>
      <c r="D31" s="20">
        <v>3.25</v>
      </c>
      <c r="K31" t="s">
        <v>132</v>
      </c>
      <c r="L31" t="s">
        <v>133</v>
      </c>
      <c r="M31">
        <v>0.25</v>
      </c>
      <c r="N31" t="s">
        <v>143</v>
      </c>
    </row>
    <row r="32" spans="1:14" x14ac:dyDescent="0.2">
      <c r="A32" s="8" t="s">
        <v>49</v>
      </c>
      <c r="B32" s="17" t="s">
        <v>55</v>
      </c>
      <c r="C32" s="9"/>
      <c r="D32" s="10">
        <f>D6*D31</f>
        <v>1105</v>
      </c>
      <c r="K32" t="s">
        <v>134</v>
      </c>
      <c r="L32" t="s">
        <v>139</v>
      </c>
      <c r="M32">
        <f>(1+M31)^(0)</f>
        <v>1</v>
      </c>
      <c r="N32">
        <f>M30*M32</f>
        <v>71563.636363636368</v>
      </c>
    </row>
    <row r="33" spans="1:14" ht="17" thickBot="1" x14ac:dyDescent="0.25">
      <c r="A33" s="11" t="s">
        <v>51</v>
      </c>
      <c r="B33" s="21" t="s">
        <v>56</v>
      </c>
      <c r="C33" s="12"/>
      <c r="D33" s="13">
        <f>D32/22</f>
        <v>50.227272727272727</v>
      </c>
      <c r="K33" t="s">
        <v>135</v>
      </c>
      <c r="L33" t="s">
        <v>140</v>
      </c>
      <c r="M33">
        <f>(1+M31)^(-1)</f>
        <v>0.8</v>
      </c>
      <c r="N33">
        <f>M30*M33</f>
        <v>57250.909090909096</v>
      </c>
    </row>
    <row r="34" spans="1:14" x14ac:dyDescent="0.2">
      <c r="A34" s="2" t="s">
        <v>110</v>
      </c>
      <c r="B34" s="19" t="s">
        <v>54</v>
      </c>
      <c r="C34" s="3"/>
      <c r="D34" s="20">
        <v>3.04</v>
      </c>
      <c r="K34" t="s">
        <v>136</v>
      </c>
      <c r="L34" t="s">
        <v>141</v>
      </c>
      <c r="M34">
        <f>(1+M31)^(-2)</f>
        <v>0.64</v>
      </c>
      <c r="N34">
        <f>M30*M34</f>
        <v>45800.727272727279</v>
      </c>
    </row>
    <row r="35" spans="1:14" x14ac:dyDescent="0.2">
      <c r="A35" s="8" t="s">
        <v>49</v>
      </c>
      <c r="B35" s="17" t="s">
        <v>55</v>
      </c>
      <c r="C35" s="9"/>
      <c r="D35" s="10">
        <f>D6*D34</f>
        <v>1033.5999999999999</v>
      </c>
      <c r="K35" t="s">
        <v>137</v>
      </c>
      <c r="L35" t="s">
        <v>142</v>
      </c>
      <c r="M35">
        <f>(1+M31)^(-3)</f>
        <v>0.51200000000000001</v>
      </c>
      <c r="N35">
        <f>M30*M35</f>
        <v>36640.581818181818</v>
      </c>
    </row>
    <row r="36" spans="1:14" ht="17" thickBot="1" x14ac:dyDescent="0.25">
      <c r="A36" s="11" t="s">
        <v>51</v>
      </c>
      <c r="B36" s="21" t="s">
        <v>56</v>
      </c>
      <c r="C36" s="12"/>
      <c r="D36" s="13">
        <f>D35/22</f>
        <v>46.981818181818177</v>
      </c>
    </row>
    <row r="37" spans="1:14" x14ac:dyDescent="0.2">
      <c r="A37" s="17" t="s">
        <v>88</v>
      </c>
      <c r="B37" s="17" t="s">
        <v>89</v>
      </c>
      <c r="D37" s="15">
        <v>20200</v>
      </c>
      <c r="L37" t="s">
        <v>144</v>
      </c>
    </row>
    <row r="41" spans="1:14" x14ac:dyDescent="0.2">
      <c r="F41" s="16" t="s">
        <v>103</v>
      </c>
      <c r="G41" s="16" t="s">
        <v>104</v>
      </c>
      <c r="H41">
        <f>H15*D14/100</f>
        <v>10840.103598000002</v>
      </c>
      <c r="I41" t="s">
        <v>22</v>
      </c>
    </row>
    <row r="42" spans="1:14" x14ac:dyDescent="0.2">
      <c r="F42" s="16" t="s">
        <v>105</v>
      </c>
      <c r="G42" s="16" t="s">
        <v>106</v>
      </c>
      <c r="H42">
        <f>H15*D21/100</f>
        <v>14453.471464000002</v>
      </c>
      <c r="I42" t="s">
        <v>22</v>
      </c>
    </row>
    <row r="43" spans="1:14" x14ac:dyDescent="0.2">
      <c r="F43" s="16" t="s">
        <v>107</v>
      </c>
      <c r="G43" s="16" t="s">
        <v>108</v>
      </c>
      <c r="H43">
        <f>H15+H42</f>
        <v>86720.828784000012</v>
      </c>
      <c r="I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Degtyarev Alexander</dc:creator>
  <cp:lastModifiedBy>Degtyarev Alexander</cp:lastModifiedBy>
  <dcterms:created xsi:type="dcterms:W3CDTF">2018-05-18T16:13:05Z</dcterms:created>
  <dcterms:modified xsi:type="dcterms:W3CDTF">2018-05-24T15:27:40Z</dcterms:modified>
</cp:coreProperties>
</file>