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frost\git-repos\sparklitwizzl\fractal-rpg\materials\"/>
    </mc:Choice>
  </mc:AlternateContent>
  <xr:revisionPtr revIDLastSave="0" documentId="13_ncr:1_{60B1BBCF-05BD-472A-A2A1-7C73028B7FA6}" xr6:coauthVersionLast="47" xr6:coauthVersionMax="47" xr10:uidLastSave="{00000000-0000-0000-0000-000000000000}"/>
  <bookViews>
    <workbookView xWindow="13680" yWindow="0" windowWidth="13680" windowHeight="16200" firstSheet="6" activeTab="8" xr2:uid="{00000000-000D-0000-FFFF-FFFF00000000}"/>
  </bookViews>
  <sheets>
    <sheet name="Digital Character Sheet" sheetId="1" r:id="rId1"/>
    <sheet name="Digital Skills Sheet" sheetId="2" r:id="rId2"/>
    <sheet name="Digital Skill Specialties Sheet" sheetId="3" r:id="rId3"/>
    <sheet name="Printable Character Sheet" sheetId="4" r:id="rId4"/>
    <sheet name="Printable Skills Sheet" sheetId="5" r:id="rId5"/>
    <sheet name="Printable Skill Specialties She" sheetId="6" r:id="rId6"/>
    <sheet name="Traits Sheet" sheetId="7" r:id="rId7"/>
    <sheet name="Scaling Reference" sheetId="8" r:id="rId8"/>
    <sheet name="Scaling Calculator" sheetId="9" r:id="rId9"/>
    <sheet name="License" sheetId="10" r:id="rId10"/>
  </sheets>
  <definedNames>
    <definedName name="charStats_level">'Digital Character Sheet'!$B$9</definedName>
    <definedName name="skilltree_0_points">'Digital Skills Sheet'!$A$48</definedName>
    <definedName name="skilltree_1_1_1_1_bonusPoints">'Digital Skill Specialties Sheet'!$B$10</definedName>
    <definedName name="skilltree_1_1_1_1_percentage">'Digital Skill Specialties Sheet'!$C$10</definedName>
    <definedName name="skilltree_1_1_1_1_points">'Digital Skill Specialties Sheet'!$A$10</definedName>
    <definedName name="skilltree_1_1_1_2_bonusPoints">'Digital Skill Specialties Sheet'!$B$11</definedName>
    <definedName name="skilltree_1_1_1_2_points">'Digital Skill Specialties Sheet'!$A$11</definedName>
    <definedName name="skilltree_1_1_1_3_bonusPoints">'Digital Skill Specialties Sheet'!$B$12</definedName>
    <definedName name="skilltree_1_1_1_3_points">'Digital Skill Specialties Sheet'!$A$12</definedName>
    <definedName name="skilltree_1_1_1_bonusPoints">'Digital Skills Sheet'!$O$9</definedName>
    <definedName name="skilltree_1_1_1_label">'Digital Skills Sheet'!$N$8</definedName>
    <definedName name="skilltree_1_1_1_percentage">'Digital Skills Sheet'!$P$9</definedName>
    <definedName name="skilltree_1_1_1_points">'Digital Skills Sheet'!$N$9</definedName>
    <definedName name="skilltree_1_1_1_subSkills_points">'Digital Skill Specialties Sheet'!$A$10:$A$12</definedName>
    <definedName name="skilltree_1_1_2_1_bonusPoints">'Digital Skill Specialties Sheet'!$B$15</definedName>
    <definedName name="skilltree_1_1_2_1_points">'Digital Skill Specialties Sheet'!$A$15</definedName>
    <definedName name="skilltree_1_1_2_2_bonusPoints">'Digital Skill Specialties Sheet'!$B$16</definedName>
    <definedName name="skilltree_1_1_2_2_points">'Digital Skill Specialties Sheet'!$A$16</definedName>
    <definedName name="skilltree_1_1_2_3_bonusPoints">'Digital Skill Specialties Sheet'!$B$17</definedName>
    <definedName name="skilltree_1_1_2_3_points">'Digital Skill Specialties Sheet'!$A$17</definedName>
    <definedName name="skilltree_1_1_2_bonusPoints">'Digital Skills Sheet'!$O$12</definedName>
    <definedName name="skilltree_1_1_2_label">'Digital Skills Sheet'!$N$11</definedName>
    <definedName name="skilltree_1_1_2_percentage">'Digital Skills Sheet'!$P$12</definedName>
    <definedName name="skilltree_1_1_2_points">'Digital Skills Sheet'!$N$12</definedName>
    <definedName name="skilltree_1_1_2_subSkills_points">'Digital Skill Specialties Sheet'!$A$15:$A$17</definedName>
    <definedName name="skilltree_1_1_3_1_bonusPoints">'Digital Skill Specialties Sheet'!$B$20</definedName>
    <definedName name="skilltree_1_1_3_1_points">'Digital Skill Specialties Sheet'!$A$20</definedName>
    <definedName name="skilltree_1_1_3_2_bonusPoints">'Digital Skill Specialties Sheet'!$B$21</definedName>
    <definedName name="skilltree_1_1_3_2_points">'Digital Skill Specialties Sheet'!$A$21</definedName>
    <definedName name="skilltree_1_1_3_3_bonusPoints">'Digital Skill Specialties Sheet'!$B$22</definedName>
    <definedName name="skilltree_1_1_3_3_points">'Digital Skill Specialties Sheet'!$A$22</definedName>
    <definedName name="skilltree_1_1_3_bonusPoints">'Digital Skills Sheet'!$O$15</definedName>
    <definedName name="skilltree_1_1_3_label">'Digital Skills Sheet'!$N$14</definedName>
    <definedName name="skilltree_1_1_3_percentage">'Digital Skills Sheet'!$P$15</definedName>
    <definedName name="skilltree_1_1_3_points">'Digital Skills Sheet'!$N$15</definedName>
    <definedName name="skilltree_1_1_3_subSkills_points">'Digital Skill Specialties Sheet'!$A$20:$A$22</definedName>
    <definedName name="skilltree_1_1_bonusPoints">'Digital Skills Sheet'!$J$12</definedName>
    <definedName name="skilltree_1_1_percentage">'Digital Skills Sheet'!$K$12</definedName>
    <definedName name="skilltree_1_1_points">'Digital Skills Sheet'!$I$12</definedName>
    <definedName name="skilltree_1_1_subSkills_points">'Digital Skills Sheet'!$N$9:$N$15</definedName>
    <definedName name="skilltree_1_2_1_1_bonusPoints">'Digital Skill Specialties Sheet'!$B$25</definedName>
    <definedName name="skilltree_1_2_1_1_points">'Digital Skill Specialties Sheet'!$A$25</definedName>
    <definedName name="skilltree_1_2_1_2_bonusPoints">'Digital Skill Specialties Sheet'!$B$26</definedName>
    <definedName name="skilltree_1_2_1_2_points">'Digital Skill Specialties Sheet'!$A$26</definedName>
    <definedName name="skilltree_1_2_1_3_bonusPoints">'Digital Skill Specialties Sheet'!$B$27</definedName>
    <definedName name="skilltree_1_2_1_3_points">'Digital Skill Specialties Sheet'!$A$27</definedName>
    <definedName name="skilltree_1_2_1_bonusPoints">'Digital Skills Sheet'!$O$18</definedName>
    <definedName name="skilltree_1_2_1_label">'Digital Skills Sheet'!$N$17</definedName>
    <definedName name="skilltree_1_2_1_percentage">'Digital Skills Sheet'!$P$18</definedName>
    <definedName name="skilltree_1_2_1_points">'Digital Skills Sheet'!$N$18</definedName>
    <definedName name="skilltree_1_2_1_subSkills_points">'Digital Skill Specialties Sheet'!$A$25:$A$27</definedName>
    <definedName name="skilltree_1_2_2_1_bonusPoints">'Digital Skill Specialties Sheet'!$B$30</definedName>
    <definedName name="skilltree_1_2_2_1_points">'Digital Skill Specialties Sheet'!$A$30</definedName>
    <definedName name="skilltree_1_2_2_2_bonusPoints">'Digital Skill Specialties Sheet'!$B$31</definedName>
    <definedName name="skilltree_1_2_2_2_points">'Digital Skill Specialties Sheet'!$A$31</definedName>
    <definedName name="skilltree_1_2_2_3_bonusPoints">'Digital Skill Specialties Sheet'!$B$32</definedName>
    <definedName name="skilltree_1_2_2_3_points">'Digital Skill Specialties Sheet'!$A$32</definedName>
    <definedName name="skilltree_1_2_2_bonusPoints">'Digital Skills Sheet'!$O$21</definedName>
    <definedName name="skilltree_1_2_2_label">'Digital Skills Sheet'!$N$20</definedName>
    <definedName name="skilltree_1_2_2_percentage">'Digital Skills Sheet'!$P$21</definedName>
    <definedName name="skilltree_1_2_2_points">'Digital Skills Sheet'!$N$21</definedName>
    <definedName name="skilltree_1_2_2_subSkills_points">'Digital Skill Specialties Sheet'!$A$30:$A$32</definedName>
    <definedName name="skilltree_1_2_3_1_bonusPoints">'Digital Skill Specialties Sheet'!$B$35</definedName>
    <definedName name="skilltree_1_2_3_1_points">'Digital Skill Specialties Sheet'!$A$35</definedName>
    <definedName name="skilltree_1_2_3_2_bonusPoints">'Digital Skill Specialties Sheet'!$B$36</definedName>
    <definedName name="skilltree_1_2_3_2_points">'Digital Skill Specialties Sheet'!$A$36</definedName>
    <definedName name="skilltree_1_2_3_3_bonusPoints">'Digital Skill Specialties Sheet'!$B$37</definedName>
    <definedName name="skilltree_1_2_3_3_points">'Digital Skill Specialties Sheet'!$A$37</definedName>
    <definedName name="skilltree_1_2_3_bonusPoints">'Digital Skills Sheet'!$O$24</definedName>
    <definedName name="skilltree_1_2_3_label">'Digital Skills Sheet'!$N$23</definedName>
    <definedName name="skilltree_1_2_3_percentage">'Digital Skills Sheet'!$P$24</definedName>
    <definedName name="skilltree_1_2_3_points">'Digital Skills Sheet'!$N$24</definedName>
    <definedName name="skilltree_1_2_3_subSkills_points">'Digital Skill Specialties Sheet'!$A$35:$A$37</definedName>
    <definedName name="skilltree_1_2_bonusPoints">'Digital Skills Sheet'!$J$21</definedName>
    <definedName name="skilltree_1_2_percentage">'Digital Skills Sheet'!$K$21</definedName>
    <definedName name="skilltree_1_2_points">'Digital Skills Sheet'!$I$21</definedName>
    <definedName name="skilltree_1_2_subSkills_points">'Digital Skills Sheet'!$N$18:$N$24</definedName>
    <definedName name="skilltree_1_3_1_1_bonusPoints">'Digital Skill Specialties Sheet'!$B$40</definedName>
    <definedName name="skilltree_1_3_1_1_points">'Digital Skill Specialties Sheet'!$A$40</definedName>
    <definedName name="skilltree_1_3_1_2_bonusPoints">'Digital Skill Specialties Sheet'!$B$41</definedName>
    <definedName name="skilltree_1_3_1_2_points">'Digital Skill Specialties Sheet'!$A$41</definedName>
    <definedName name="skilltree_1_3_1_3_bonusPoints">'Digital Skill Specialties Sheet'!$B$42</definedName>
    <definedName name="skilltree_1_3_1_3_points">'Digital Skill Specialties Sheet'!$A$42</definedName>
    <definedName name="skilltree_1_3_1_bonusPoints">'Digital Skills Sheet'!$O$27</definedName>
    <definedName name="skilltree_1_3_1_label">'Digital Skills Sheet'!$N$26</definedName>
    <definedName name="skilltree_1_3_1_percentage">'Digital Skills Sheet'!$P$27</definedName>
    <definedName name="skilltree_1_3_1_points">'Digital Skills Sheet'!$N$27</definedName>
    <definedName name="skilltree_1_3_1_subSkills_points">'Digital Skill Specialties Sheet'!$A$40:$A$42</definedName>
    <definedName name="skilltree_1_3_2_1_bonusPoints">'Digital Skill Specialties Sheet'!$B$45</definedName>
    <definedName name="skilltree_1_3_2_1_points">'Digital Skill Specialties Sheet'!$A$45</definedName>
    <definedName name="skilltree_1_3_2_2_bonusPoints">'Digital Skill Specialties Sheet'!$B$46</definedName>
    <definedName name="skilltree_1_3_2_2_points">'Digital Skill Specialties Sheet'!$A$46</definedName>
    <definedName name="skilltree_1_3_2_3_bonusPoints">'Digital Skill Specialties Sheet'!$B$47</definedName>
    <definedName name="skilltree_1_3_2_3_points">'Digital Skill Specialties Sheet'!$A$47</definedName>
    <definedName name="skilltree_1_3_2_bonusPoints">'Digital Skills Sheet'!$O$30</definedName>
    <definedName name="skilltree_1_3_2_label">'Digital Skills Sheet'!$N$29</definedName>
    <definedName name="skilltree_1_3_2_percentage">'Digital Skills Sheet'!$P$30</definedName>
    <definedName name="skilltree_1_3_2_points">'Digital Skills Sheet'!$N$30</definedName>
    <definedName name="skilltree_1_3_2_subSkills_points">'Digital Skill Specialties Sheet'!$A$45:$A$47</definedName>
    <definedName name="skilltree_1_3_3_1_bonusPoints">'Digital Skill Specialties Sheet'!$B$50</definedName>
    <definedName name="skilltree_1_3_3_1_points">'Digital Skill Specialties Sheet'!$A$50</definedName>
    <definedName name="skilltree_1_3_3_2_bonusPoints">'Digital Skill Specialties Sheet'!$B$51</definedName>
    <definedName name="skilltree_1_3_3_2_points">'Digital Skill Specialties Sheet'!$A$51</definedName>
    <definedName name="skilltree_1_3_3_3_bonusPoints">'Digital Skill Specialties Sheet'!$B$52</definedName>
    <definedName name="skilltree_1_3_3_3_points">'Digital Skill Specialties Sheet'!$A$52</definedName>
    <definedName name="skilltree_1_3_3_bonusPoints">'Digital Skills Sheet'!$O$33</definedName>
    <definedName name="skilltree_1_3_3_label">'Digital Skills Sheet'!$N$32</definedName>
    <definedName name="skilltree_1_3_3_percentage">'Digital Skills Sheet'!$P$33</definedName>
    <definedName name="skilltree_1_3_3_points">'Digital Skills Sheet'!$N$33</definedName>
    <definedName name="skilltree_1_3_3_subSkills_points">'Digital Skill Specialties Sheet'!$A$50:$A$52</definedName>
    <definedName name="skilltree_1_3_bonusPoints">'Digital Skills Sheet'!$J$30</definedName>
    <definedName name="skilltree_1_3_percentage">'Digital Skills Sheet'!$K$30</definedName>
    <definedName name="skilltree_1_3_points">'Digital Skills Sheet'!$I$30</definedName>
    <definedName name="skilltree_1_3_subSkills_points">'Digital Skills Sheet'!$N$27:$N$33</definedName>
    <definedName name="skilltree_1_bonusPoints">'Digital Skills Sheet'!$E$21</definedName>
    <definedName name="skilltree_1_percentage">'Digital Skills Sheet'!$F$21</definedName>
    <definedName name="skilltree_1_points">'Digital Skills Sheet'!$D$21</definedName>
    <definedName name="skilltree_1_subSkills_points">'Digital Skills Sheet'!$I$12:$I$30</definedName>
    <definedName name="skilltree_2_1_1_1_bonusPoints">'Digital Skill Specialties Sheet'!$H$10</definedName>
    <definedName name="skilltree_2_1_1_1_points">'Digital Skill Specialties Sheet'!$G$10</definedName>
    <definedName name="skilltree_2_1_1_2_bonusPoints">'Digital Skill Specialties Sheet'!$H$11</definedName>
    <definedName name="skilltree_2_1_1_2_points">'Digital Skill Specialties Sheet'!$G$11</definedName>
    <definedName name="skilltree_2_1_1_3_bonusPoints">'Digital Skill Specialties Sheet'!$H$12</definedName>
    <definedName name="skilltree_2_1_1_3_points">'Digital Skill Specialties Sheet'!$G$12</definedName>
    <definedName name="skilltree_2_1_1_bonusPoints">'Digital Skills Sheet'!$O$36</definedName>
    <definedName name="skilltree_2_1_1_label">'Digital Skills Sheet'!$N$35</definedName>
    <definedName name="skilltree_2_1_1_percentage">'Digital Skills Sheet'!$P$36</definedName>
    <definedName name="skilltree_2_1_1_points">'Digital Skills Sheet'!$N$36</definedName>
    <definedName name="skilltree_2_1_1_subSkills_points">'Digital Skill Specialties Sheet'!$G$10:$G$12</definedName>
    <definedName name="skilltree_2_1_2_1_bonusPoints">'Digital Skill Specialties Sheet'!$H$15</definedName>
    <definedName name="skilltree_2_1_2_1_points">'Digital Skill Specialties Sheet'!$G$15</definedName>
    <definedName name="skilltree_2_1_2_2_bonusPoints">'Digital Skill Specialties Sheet'!$H$16</definedName>
    <definedName name="skilltree_2_1_2_2_points">'Digital Skill Specialties Sheet'!$G$16</definedName>
    <definedName name="skilltree_2_1_2_3_bonusPoints">'Digital Skill Specialties Sheet'!$H$17</definedName>
    <definedName name="skilltree_2_1_2_3_points">'Digital Skill Specialties Sheet'!$G$17</definedName>
    <definedName name="skilltree_2_1_2_bonusPoints">'Digital Skills Sheet'!$O$39</definedName>
    <definedName name="skilltree_2_1_2_label">'Digital Skills Sheet'!$N$38</definedName>
    <definedName name="skilltree_2_1_2_percentage">'Digital Skills Sheet'!$P$39</definedName>
    <definedName name="skilltree_2_1_2_points">'Digital Skills Sheet'!$N$39</definedName>
    <definedName name="skilltree_2_1_2_subSkills_points">'Digital Skill Specialties Sheet'!$G$15:$G$17</definedName>
    <definedName name="skilltree_2_1_3_1_bonusPoints">'Digital Skill Specialties Sheet'!$H$20</definedName>
    <definedName name="skilltree_2_1_3_1_points">'Digital Skill Specialties Sheet'!$G$20</definedName>
    <definedName name="skilltree_2_1_3_2_bonusPoints">'Digital Skill Specialties Sheet'!$H$21</definedName>
    <definedName name="skilltree_2_1_3_2_points">'Digital Skill Specialties Sheet'!$G$21</definedName>
    <definedName name="skilltree_2_1_3_3_bonusPoints">'Digital Skill Specialties Sheet'!$H$22</definedName>
    <definedName name="skilltree_2_1_3_3_points">'Digital Skill Specialties Sheet'!$G$22</definedName>
    <definedName name="skilltree_2_1_3_bonusPoints">'Digital Skills Sheet'!$O$42</definedName>
    <definedName name="skilltree_2_1_3_label">'Digital Skills Sheet'!$N$41</definedName>
    <definedName name="skilltree_2_1_3_percentage">'Digital Skills Sheet'!$P$42</definedName>
    <definedName name="skilltree_2_1_3_points">'Digital Skills Sheet'!$N$42</definedName>
    <definedName name="skilltree_2_1_3_subSkills_points">'Digital Skill Specialties Sheet'!$G$20:$G$22</definedName>
    <definedName name="skilltree_2_1_bonusPoints">'Digital Skills Sheet'!$J$39</definedName>
    <definedName name="skilltree_2_1_percentage">'Digital Skills Sheet'!$K$39</definedName>
    <definedName name="skilltree_2_1_points">'Digital Skills Sheet'!$I$39</definedName>
    <definedName name="skilltree_2_1_subSkills_points">'Digital Skills Sheet'!$N$36:$N$42</definedName>
    <definedName name="skilltree_2_2_1_1_bonusPoints">'Digital Skill Specialties Sheet'!$H$25</definedName>
    <definedName name="skilltree_2_2_1_1_points">'Digital Skill Specialties Sheet'!$G$25</definedName>
    <definedName name="skilltree_2_2_1_2_bonusPoints">'Digital Skill Specialties Sheet'!$H$26</definedName>
    <definedName name="skilltree_2_2_1_2_points">'Digital Skill Specialties Sheet'!$G$26</definedName>
    <definedName name="skilltree_2_2_1_3_bonusPoints">'Digital Skill Specialties Sheet'!$H$27</definedName>
    <definedName name="skilltree_2_2_1_3_points">'Digital Skill Specialties Sheet'!$G$27</definedName>
    <definedName name="skilltree_2_2_1_bonusPoints">'Digital Skills Sheet'!$O$45</definedName>
    <definedName name="skilltree_2_2_1_label">'Digital Skills Sheet'!$N$44</definedName>
    <definedName name="skilltree_2_2_1_percentage">'Digital Skills Sheet'!$P$45</definedName>
    <definedName name="skilltree_2_2_1_points">'Digital Skills Sheet'!$N$45</definedName>
    <definedName name="skilltree_2_2_1_subSkills_points">'Digital Skill Specialties Sheet'!$G$25:$G$27</definedName>
    <definedName name="skilltree_2_2_2_1_bonusPoints">'Digital Skill Specialties Sheet'!$H$30</definedName>
    <definedName name="skilltree_2_2_2_1_points">'Digital Skill Specialties Sheet'!$G$30</definedName>
    <definedName name="skilltree_2_2_2_2_bonusPoints">'Digital Skill Specialties Sheet'!$H$31</definedName>
    <definedName name="skilltree_2_2_2_2_points">'Digital Skill Specialties Sheet'!$G$31</definedName>
    <definedName name="skilltree_2_2_2_3_bonusPoints">'Digital Skill Specialties Sheet'!$H$32</definedName>
    <definedName name="skilltree_2_2_2_3_points">'Digital Skill Specialties Sheet'!$G$32</definedName>
    <definedName name="skilltree_2_2_2_bonusPoints">'Digital Skills Sheet'!$O$48</definedName>
    <definedName name="skilltree_2_2_2_label">'Digital Skills Sheet'!$N$47</definedName>
    <definedName name="skilltree_2_2_2_percentage">'Digital Skills Sheet'!$P$48</definedName>
    <definedName name="skilltree_2_2_2_points">'Digital Skills Sheet'!$N$48</definedName>
    <definedName name="skilltree_2_2_2_subSkills_points">'Digital Skill Specialties Sheet'!$G$30:$G$32</definedName>
    <definedName name="skilltree_2_2_3_1_bonusPoints">'Digital Skill Specialties Sheet'!$H$35</definedName>
    <definedName name="skilltree_2_2_3_1_points">'Digital Skill Specialties Sheet'!$G$35</definedName>
    <definedName name="skilltree_2_2_3_2_bonusPoints">'Digital Skill Specialties Sheet'!$H$36</definedName>
    <definedName name="skilltree_2_2_3_2_points">'Digital Skill Specialties Sheet'!$G$36</definedName>
    <definedName name="skilltree_2_2_3_3_bonusPoints">'Digital Skill Specialties Sheet'!$H$37</definedName>
    <definedName name="skilltree_2_2_3_3_points">'Digital Skill Specialties Sheet'!$G$37</definedName>
    <definedName name="skilltree_2_2_3_bonusPoints">'Digital Skills Sheet'!$O$51</definedName>
    <definedName name="skilltree_2_2_3_label">'Digital Skills Sheet'!$N$50</definedName>
    <definedName name="skilltree_2_2_3_percentage">'Digital Skills Sheet'!$P$51</definedName>
    <definedName name="skilltree_2_2_3_points">'Digital Skills Sheet'!$N$51</definedName>
    <definedName name="skilltree_2_2_3_subSkills_points">'Digital Skill Specialties Sheet'!$G$35:$G$37</definedName>
    <definedName name="skilltree_2_2_bonusPoints">'Digital Skills Sheet'!$J$48</definedName>
    <definedName name="skilltree_2_2_percentage">'Digital Skills Sheet'!$K$48</definedName>
    <definedName name="skilltree_2_2_points">'Digital Skills Sheet'!$I$48</definedName>
    <definedName name="skilltree_2_2_subSkills_points">'Digital Skills Sheet'!$N$45:$N$51</definedName>
    <definedName name="skilltree_2_3_1_1_bonusPoints">'Digital Skill Specialties Sheet'!$H$40</definedName>
    <definedName name="skilltree_2_3_1_1_points">'Digital Skill Specialties Sheet'!$G$40</definedName>
    <definedName name="skilltree_2_3_1_2_bonusPoints">'Digital Skill Specialties Sheet'!$H$41</definedName>
    <definedName name="skilltree_2_3_1_2_points">'Digital Skill Specialties Sheet'!$G$41</definedName>
    <definedName name="skilltree_2_3_1_3_bonusPoints">'Digital Skill Specialties Sheet'!$H$42</definedName>
    <definedName name="skilltree_2_3_1_3_points">'Digital Skill Specialties Sheet'!$G$42</definedName>
    <definedName name="skilltree_2_3_1_bonusPoints">'Digital Skills Sheet'!$O$54</definedName>
    <definedName name="skilltree_2_3_1_label">'Digital Skills Sheet'!$N$53</definedName>
    <definedName name="skilltree_2_3_1_percentage">'Digital Skills Sheet'!$P$54</definedName>
    <definedName name="skilltree_2_3_1_points">'Digital Skills Sheet'!$N$54</definedName>
    <definedName name="skilltree_2_3_1_subSkills_points">'Digital Skill Specialties Sheet'!$G$40:$G$42</definedName>
    <definedName name="skilltree_2_3_2_1_bonusPoints">'Digital Skill Specialties Sheet'!$H$45</definedName>
    <definedName name="skilltree_2_3_2_1_points">'Digital Skill Specialties Sheet'!$G$45</definedName>
    <definedName name="skilltree_2_3_2_2_bonusPoints">'Digital Skill Specialties Sheet'!$H$46</definedName>
    <definedName name="skilltree_2_3_2_2_points">'Digital Skill Specialties Sheet'!$G$46</definedName>
    <definedName name="skilltree_2_3_2_3_bonusPoints">'Digital Skill Specialties Sheet'!$H$47</definedName>
    <definedName name="skilltree_2_3_2_3_points">'Digital Skill Specialties Sheet'!$G$47</definedName>
    <definedName name="skilltree_2_3_2_bonusPoints">'Digital Skills Sheet'!$O$57</definedName>
    <definedName name="skilltree_2_3_2_label">'Digital Skills Sheet'!$N$56</definedName>
    <definedName name="skilltree_2_3_2_percentage">'Digital Skills Sheet'!$P$57</definedName>
    <definedName name="skilltree_2_3_2_points">'Digital Skills Sheet'!$N$57</definedName>
    <definedName name="skilltree_2_3_2_subSkills_points">'Digital Skill Specialties Sheet'!$G$45:$G$47</definedName>
    <definedName name="skilltree_2_3_3_1_bonusPoints">'Digital Skill Specialties Sheet'!$H$50</definedName>
    <definedName name="skilltree_2_3_3_1_points">'Digital Skill Specialties Sheet'!$G$50</definedName>
    <definedName name="skilltree_2_3_3_2_bonusPoints">'Digital Skill Specialties Sheet'!$H$51</definedName>
    <definedName name="skilltree_2_3_3_2_points">'Digital Skill Specialties Sheet'!$G$51</definedName>
    <definedName name="skilltree_2_3_3_3_bonusPoints">'Digital Skill Specialties Sheet'!$H$52</definedName>
    <definedName name="skilltree_2_3_3_3_points">'Digital Skill Specialties Sheet'!$G$52</definedName>
    <definedName name="skilltree_2_3_3_bonusPoints">'Digital Skills Sheet'!$O$60</definedName>
    <definedName name="skilltree_2_3_3_label">'Digital Skills Sheet'!$N$59</definedName>
    <definedName name="skilltree_2_3_3_percentage">'Digital Skills Sheet'!$P$60</definedName>
    <definedName name="skilltree_2_3_3_points">'Digital Skills Sheet'!$N$60</definedName>
    <definedName name="skilltree_2_3_3_subSkills_points">'Digital Skill Specialties Sheet'!$G$50:$G$52</definedName>
    <definedName name="skilltree_2_3_bonusPoints">'Digital Skills Sheet'!$J$57</definedName>
    <definedName name="skilltree_2_3_percentage">'Digital Skills Sheet'!$K$57</definedName>
    <definedName name="skilltree_2_3_points">'Digital Skills Sheet'!$I$57</definedName>
    <definedName name="skilltree_2_3_subSkills_points">'Digital Skills Sheet'!$N$54:$N$60</definedName>
    <definedName name="skilltree_2_bonusPoints">'Digital Skills Sheet'!$E$48</definedName>
    <definedName name="skilltree_2_percentage">'Digital Skills Sheet'!$F$48</definedName>
    <definedName name="skilltree_2_points">'Digital Skills Sheet'!$D$48</definedName>
    <definedName name="skilltree_2_subSkills_points">'Digital Skills Sheet'!$I$39:$I$57</definedName>
    <definedName name="skilltree_3_1_1_1_bonusPoints">'Digital Skill Specialties Sheet'!$N$10</definedName>
    <definedName name="skilltree_3_1_1_1_points">'Digital Skill Specialties Sheet'!$M$10</definedName>
    <definedName name="skilltree_3_1_1_2_bonusPoints">'Digital Skill Specialties Sheet'!$N$11</definedName>
    <definedName name="skilltree_3_1_1_2_points">'Digital Skill Specialties Sheet'!$M$11</definedName>
    <definedName name="skilltree_3_1_1_3_bonusPoints">'Digital Skill Specialties Sheet'!$N$12</definedName>
    <definedName name="skilltree_3_1_1_3_points">'Digital Skill Specialties Sheet'!$M$12</definedName>
    <definedName name="skilltree_3_1_1_bonusPoints">'Digital Skills Sheet'!$O$63</definedName>
    <definedName name="skilltree_3_1_1_label">'Digital Skills Sheet'!$N$62</definedName>
    <definedName name="skilltree_3_1_1_percentage">'Digital Skills Sheet'!$P$63</definedName>
    <definedName name="skilltree_3_1_1_points">'Digital Skills Sheet'!$N$63</definedName>
    <definedName name="skilltree_3_1_1_subSkills_points">'Digital Skill Specialties Sheet'!$M$10:$M$12</definedName>
    <definedName name="skilltree_3_1_2_1_bonusPoints">'Digital Skill Specialties Sheet'!$N$15</definedName>
    <definedName name="skilltree_3_1_2_1_points">'Digital Skill Specialties Sheet'!$M$15</definedName>
    <definedName name="skilltree_3_1_2_2_bonusPoints">'Digital Skill Specialties Sheet'!$N$16</definedName>
    <definedName name="skilltree_3_1_2_2_points">'Digital Skill Specialties Sheet'!$M$16</definedName>
    <definedName name="skilltree_3_1_2_3_bonusPoints">'Digital Skill Specialties Sheet'!$N$17</definedName>
    <definedName name="skilltree_3_1_2_3_points">'Digital Skill Specialties Sheet'!$M$17</definedName>
    <definedName name="skilltree_3_1_2_bonusPoints">'Digital Skills Sheet'!$O$66</definedName>
    <definedName name="skilltree_3_1_2_label">'Digital Skills Sheet'!$N$65</definedName>
    <definedName name="skilltree_3_1_2_percentage">'Digital Skills Sheet'!$P$66</definedName>
    <definedName name="skilltree_3_1_2_points">'Digital Skills Sheet'!$N$66</definedName>
    <definedName name="skilltree_3_1_2_subSkills_points">'Digital Skill Specialties Sheet'!$M$15:$M$17</definedName>
    <definedName name="skilltree_3_1_3_1_bonusPoints">'Digital Skill Specialties Sheet'!$N$20</definedName>
    <definedName name="skilltree_3_1_3_1_points">'Digital Skill Specialties Sheet'!$M$20</definedName>
    <definedName name="skilltree_3_1_3_2_bonusPoints">'Digital Skill Specialties Sheet'!$N$21</definedName>
    <definedName name="skilltree_3_1_3_2_points">'Digital Skill Specialties Sheet'!$M$21</definedName>
    <definedName name="skilltree_3_1_3_3_bonusPoints">'Digital Skill Specialties Sheet'!$N$22</definedName>
    <definedName name="skilltree_3_1_3_3_points">'Digital Skill Specialties Sheet'!$M$22</definedName>
    <definedName name="skilltree_3_1_3_bonusPoints">'Digital Skills Sheet'!$O$69</definedName>
    <definedName name="skilltree_3_1_3_label">'Digital Skills Sheet'!$N$68</definedName>
    <definedName name="skilltree_3_1_3_percentage">'Digital Skills Sheet'!$P$69</definedName>
    <definedName name="skilltree_3_1_3_points">'Digital Skills Sheet'!$N$69</definedName>
    <definedName name="skilltree_3_1_3_subSkills_points">'Digital Skill Specialties Sheet'!$M$20:$M$22</definedName>
    <definedName name="skilltree_3_1_bonusPoints">'Digital Skills Sheet'!$J$66</definedName>
    <definedName name="skilltree_3_1_percentage">'Digital Skills Sheet'!$K$66</definedName>
    <definedName name="skilltree_3_1_points">'Digital Skills Sheet'!$I$66</definedName>
    <definedName name="skilltree_3_1_subSkills_points">'Digital Skills Sheet'!$N$63:$N$69</definedName>
    <definedName name="skilltree_3_2_1_1_bonusPoints">'Digital Skill Specialties Sheet'!$N$25</definedName>
    <definedName name="skilltree_3_2_1_1_points">'Digital Skill Specialties Sheet'!$M$25</definedName>
    <definedName name="skilltree_3_2_1_2_bonusPoints">'Digital Skill Specialties Sheet'!$N$26</definedName>
    <definedName name="skilltree_3_2_1_2_points">'Digital Skill Specialties Sheet'!$M$26</definedName>
    <definedName name="skilltree_3_2_1_3_bonusPoints">'Digital Skill Specialties Sheet'!$N$27</definedName>
    <definedName name="skilltree_3_2_1_3_points">'Digital Skill Specialties Sheet'!$M$27</definedName>
    <definedName name="skilltree_3_2_1_bonusPoints">'Digital Skills Sheet'!$O$72</definedName>
    <definedName name="skilltree_3_2_1_label">'Digital Skills Sheet'!$N$71</definedName>
    <definedName name="skilltree_3_2_1_percentage">'Digital Skills Sheet'!$P$72</definedName>
    <definedName name="skilltree_3_2_1_points">'Digital Skills Sheet'!$N$72</definedName>
    <definedName name="skilltree_3_2_1_subSkills_points">'Digital Skill Specialties Sheet'!$M$25:$M$27</definedName>
    <definedName name="skilltree_3_2_2_1_bonusPoints">'Digital Skill Specialties Sheet'!$N$30</definedName>
    <definedName name="skilltree_3_2_2_1_points">'Digital Skill Specialties Sheet'!$M$30</definedName>
    <definedName name="skilltree_3_2_2_2_bonusPoints">'Digital Skill Specialties Sheet'!$N$31</definedName>
    <definedName name="skilltree_3_2_2_2_points">'Digital Skill Specialties Sheet'!$M$31</definedName>
    <definedName name="skilltree_3_2_2_3_bonusPoints">'Digital Skill Specialties Sheet'!$N$32</definedName>
    <definedName name="skilltree_3_2_2_3_points">'Digital Skill Specialties Sheet'!$M$32</definedName>
    <definedName name="skilltree_3_2_2_bonusPoints">'Digital Skills Sheet'!$O$75</definedName>
    <definedName name="skilltree_3_2_2_label">'Digital Skills Sheet'!$N$74</definedName>
    <definedName name="skilltree_3_2_2_percentage">'Digital Skills Sheet'!$P$75</definedName>
    <definedName name="skilltree_3_2_2_points">'Digital Skills Sheet'!$N$75</definedName>
    <definedName name="skilltree_3_2_2_subSkills_points">'Digital Skill Specialties Sheet'!$M$30:$M$32</definedName>
    <definedName name="skilltree_3_2_3_1_bonusPoints">'Digital Skill Specialties Sheet'!$N$35</definedName>
    <definedName name="skilltree_3_2_3_1_points">'Digital Skill Specialties Sheet'!$M$35</definedName>
    <definedName name="skilltree_3_2_3_2_bonusPoints">'Digital Skill Specialties Sheet'!$N$36</definedName>
    <definedName name="skilltree_3_2_3_2_points">'Digital Skill Specialties Sheet'!$M$36</definedName>
    <definedName name="skilltree_3_2_3_3_bonusPoints">'Digital Skill Specialties Sheet'!$N$37</definedName>
    <definedName name="skilltree_3_2_3_3_points">'Digital Skill Specialties Sheet'!$M$37</definedName>
    <definedName name="skilltree_3_2_3_bonusPoints">'Digital Skills Sheet'!$O$78</definedName>
    <definedName name="skilltree_3_2_3_label">'Digital Skills Sheet'!$N$77</definedName>
    <definedName name="skilltree_3_2_3_percentage">'Digital Skills Sheet'!$P$78</definedName>
    <definedName name="skilltree_3_2_3_points">'Digital Skills Sheet'!$N$78</definedName>
    <definedName name="skilltree_3_2_3_subSkills_points">'Digital Skill Specialties Sheet'!$M$35:$M$37</definedName>
    <definedName name="skilltree_3_2_bonusPoints">'Digital Skills Sheet'!$J$75</definedName>
    <definedName name="skilltree_3_2_percentage">'Digital Skills Sheet'!$K$75</definedName>
    <definedName name="skilltree_3_2_points">'Digital Skills Sheet'!$I$75</definedName>
    <definedName name="skilltree_3_2_subSkills_points">'Digital Skills Sheet'!$N$72:$N$78</definedName>
    <definedName name="skilltree_3_3_1_1_bonusPoints">'Digital Skill Specialties Sheet'!$N$40</definedName>
    <definedName name="skilltree_3_3_1_1_points">'Digital Skill Specialties Sheet'!$M$40</definedName>
    <definedName name="skilltree_3_3_1_2_bonusPoints">'Digital Skill Specialties Sheet'!$N$41</definedName>
    <definedName name="skilltree_3_3_1_2_points">'Digital Skill Specialties Sheet'!$M$41</definedName>
    <definedName name="skilltree_3_3_1_3_bonusPoints">'Digital Skill Specialties Sheet'!$N$42</definedName>
    <definedName name="skilltree_3_3_1_3_points">'Digital Skill Specialties Sheet'!$M$42</definedName>
    <definedName name="skilltree_3_3_1_bonusPoints">'Digital Skills Sheet'!$O$81</definedName>
    <definedName name="skilltree_3_3_1_label">'Digital Skills Sheet'!$N$80</definedName>
    <definedName name="skilltree_3_3_1_percentage">'Digital Skills Sheet'!$P$81</definedName>
    <definedName name="skilltree_3_3_1_points">'Digital Skills Sheet'!$N$81</definedName>
    <definedName name="skilltree_3_3_1_subSkills_points">'Digital Skill Specialties Sheet'!$M$40:$M$42</definedName>
    <definedName name="skilltree_3_3_2_1_bonusPoints">'Digital Skill Specialties Sheet'!$N$45</definedName>
    <definedName name="skilltree_3_3_2_1_points">'Digital Skill Specialties Sheet'!$M$45</definedName>
    <definedName name="skilltree_3_3_2_2_bonusPoints">'Digital Skill Specialties Sheet'!$N$46</definedName>
    <definedName name="skilltree_3_3_2_2_points">'Digital Skill Specialties Sheet'!$M$46</definedName>
    <definedName name="skilltree_3_3_2_3_bonusPoints">'Digital Skill Specialties Sheet'!$N$47</definedName>
    <definedName name="skilltree_3_3_2_3_points">'Digital Skill Specialties Sheet'!$M$47</definedName>
    <definedName name="skilltree_3_3_2_bonusPoints">'Digital Skills Sheet'!$O$84</definedName>
    <definedName name="skilltree_3_3_2_label">'Digital Skills Sheet'!$N$83</definedName>
    <definedName name="skilltree_3_3_2_percentage">'Digital Skills Sheet'!$P$84</definedName>
    <definedName name="skilltree_3_3_2_points">'Digital Skills Sheet'!$N$84</definedName>
    <definedName name="skilltree_3_3_2_subSkills_points">'Digital Skill Specialties Sheet'!$M$45:$M$47</definedName>
    <definedName name="skilltree_3_3_3_1_bonusPoints">'Digital Skill Specialties Sheet'!$N$50</definedName>
    <definedName name="skilltree_3_3_3_1_points">'Digital Skill Specialties Sheet'!$M$50</definedName>
    <definedName name="skilltree_3_3_3_2_bonusPoints">'Digital Skill Specialties Sheet'!$N$51</definedName>
    <definedName name="skilltree_3_3_3_2_points">'Digital Skill Specialties Sheet'!$M$51</definedName>
    <definedName name="skilltree_3_3_3_3_bonusPoints">'Digital Skill Specialties Sheet'!$N$52</definedName>
    <definedName name="skilltree_3_3_3_3_points">'Digital Skill Specialties Sheet'!$M$52</definedName>
    <definedName name="skilltree_3_3_3_bonusPoints">'Digital Skills Sheet'!$O$87</definedName>
    <definedName name="skilltree_3_3_3_label">'Digital Skills Sheet'!$N$86</definedName>
    <definedName name="skilltree_3_3_3_percentage">'Digital Skills Sheet'!$P$87</definedName>
    <definedName name="skilltree_3_3_3_points">'Digital Skills Sheet'!$N$87</definedName>
    <definedName name="skilltree_3_3_3_subSkills_points">'Digital Skill Specialties Sheet'!$M$50:$M$52</definedName>
    <definedName name="skilltree_3_3_bonusPoints">'Digital Skills Sheet'!$J$84</definedName>
    <definedName name="skilltree_3_3_percentage">'Digital Skills Sheet'!$K$84</definedName>
    <definedName name="skilltree_3_3_points">'Digital Skills Sheet'!$I$84</definedName>
    <definedName name="skilltree_3_3_subSkills_points">'Digital Skills Sheet'!$N$81:$N$87</definedName>
    <definedName name="skilltree_3_bonusPoints">'Digital Skills Sheet'!$E$75</definedName>
    <definedName name="skilltree_3_percentage">'Digital Skills Sheet'!$F$75</definedName>
    <definedName name="skilltree_3_points">'Digital Skills Sheet'!$D$75</definedName>
    <definedName name="skilltree_3_subSkills_points">'Digital Skills Sheet'!$I$66:$I$84</definedName>
    <definedName name="skilltree_tier1_pointsAssigned">'Digital Skills Sheet'!$D$21:$D$75</definedName>
    <definedName name="skilltree_tier2_pointsAssigned">'Digital Skills Sheet'!$I$12:$I$84</definedName>
    <definedName name="skilltree_tier3_pointsAssigned">'Digital Skills Sheet'!$N$9:$N$87</definedName>
    <definedName name="skilltree_tier4_1_pointsAssigned">'Digital Skill Specialties Sheet'!$A$10:$A$52</definedName>
    <definedName name="skilltree_tier4_2_pointsAssigned">'Digital Skill Specialties Sheet'!$G$10:$G$52</definedName>
    <definedName name="skilltree_tier4_3_pointsAssigned">'Digital Skill Specialties Sheet'!$M$10:$M$52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9" l="1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2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9" i="9"/>
  <c r="M8" i="9"/>
  <c r="L58" i="9"/>
  <c r="K58" i="9"/>
  <c r="J58" i="9"/>
  <c r="I58" i="9"/>
  <c r="F58" i="9"/>
  <c r="C58" i="9"/>
  <c r="L57" i="9"/>
  <c r="K57" i="9"/>
  <c r="J57" i="9"/>
  <c r="I57" i="9"/>
  <c r="F57" i="9"/>
  <c r="C57" i="9"/>
  <c r="L56" i="9"/>
  <c r="K56" i="9"/>
  <c r="J56" i="9"/>
  <c r="I56" i="9"/>
  <c r="F56" i="9"/>
  <c r="C56" i="9"/>
  <c r="L55" i="9"/>
  <c r="K55" i="9"/>
  <c r="J55" i="9"/>
  <c r="I55" i="9"/>
  <c r="F55" i="9"/>
  <c r="C55" i="9"/>
  <c r="L54" i="9"/>
  <c r="K54" i="9"/>
  <c r="J54" i="9"/>
  <c r="I54" i="9"/>
  <c r="F54" i="9"/>
  <c r="C54" i="9"/>
  <c r="L53" i="9"/>
  <c r="K53" i="9"/>
  <c r="J53" i="9"/>
  <c r="I53" i="9"/>
  <c r="F53" i="9"/>
  <c r="C53" i="9"/>
  <c r="L52" i="9"/>
  <c r="K52" i="9"/>
  <c r="J52" i="9"/>
  <c r="I52" i="9"/>
  <c r="F52" i="9"/>
  <c r="C52" i="9"/>
  <c r="L51" i="9"/>
  <c r="K51" i="9"/>
  <c r="J51" i="9"/>
  <c r="I51" i="9"/>
  <c r="F51" i="9"/>
  <c r="C51" i="9"/>
  <c r="L50" i="9"/>
  <c r="K50" i="9"/>
  <c r="J50" i="9"/>
  <c r="I50" i="9"/>
  <c r="F50" i="9"/>
  <c r="C50" i="9"/>
  <c r="L49" i="9"/>
  <c r="K49" i="9"/>
  <c r="J49" i="9"/>
  <c r="I49" i="9"/>
  <c r="F49" i="9"/>
  <c r="C49" i="9"/>
  <c r="L48" i="9"/>
  <c r="K48" i="9"/>
  <c r="J48" i="9"/>
  <c r="I48" i="9"/>
  <c r="F48" i="9"/>
  <c r="C48" i="9"/>
  <c r="L47" i="9"/>
  <c r="K47" i="9"/>
  <c r="J47" i="9"/>
  <c r="I47" i="9"/>
  <c r="F47" i="9"/>
  <c r="C47" i="9"/>
  <c r="L46" i="9"/>
  <c r="K46" i="9"/>
  <c r="J46" i="9"/>
  <c r="I46" i="9"/>
  <c r="F46" i="9"/>
  <c r="C46" i="9"/>
  <c r="L45" i="9"/>
  <c r="K45" i="9"/>
  <c r="J45" i="9"/>
  <c r="I45" i="9"/>
  <c r="F45" i="9"/>
  <c r="C45" i="9"/>
  <c r="L44" i="9"/>
  <c r="K44" i="9"/>
  <c r="J44" i="9"/>
  <c r="I44" i="9"/>
  <c r="F44" i="9"/>
  <c r="C44" i="9"/>
  <c r="L43" i="9"/>
  <c r="K43" i="9"/>
  <c r="J43" i="9"/>
  <c r="I43" i="9"/>
  <c r="F43" i="9"/>
  <c r="C43" i="9"/>
  <c r="L42" i="9"/>
  <c r="K42" i="9"/>
  <c r="J42" i="9"/>
  <c r="I42" i="9"/>
  <c r="F42" i="9"/>
  <c r="C42" i="9"/>
  <c r="L41" i="9"/>
  <c r="K41" i="9"/>
  <c r="J41" i="9"/>
  <c r="I41" i="9"/>
  <c r="F41" i="9"/>
  <c r="C41" i="9"/>
  <c r="L40" i="9"/>
  <c r="K40" i="9"/>
  <c r="J40" i="9"/>
  <c r="I40" i="9"/>
  <c r="F40" i="9"/>
  <c r="C40" i="9"/>
  <c r="L39" i="9"/>
  <c r="K39" i="9"/>
  <c r="J39" i="9"/>
  <c r="I39" i="9"/>
  <c r="F39" i="9"/>
  <c r="C39" i="9"/>
  <c r="L38" i="9"/>
  <c r="K38" i="9"/>
  <c r="J38" i="9"/>
  <c r="I38" i="9"/>
  <c r="F38" i="9"/>
  <c r="C38" i="9"/>
  <c r="L37" i="9"/>
  <c r="K37" i="9"/>
  <c r="J37" i="9"/>
  <c r="I37" i="9"/>
  <c r="F37" i="9"/>
  <c r="C37" i="9"/>
  <c r="L36" i="9"/>
  <c r="K36" i="9"/>
  <c r="J36" i="9"/>
  <c r="I36" i="9"/>
  <c r="F36" i="9"/>
  <c r="C36" i="9"/>
  <c r="L35" i="9"/>
  <c r="K35" i="9"/>
  <c r="J35" i="9"/>
  <c r="I35" i="9"/>
  <c r="F35" i="9"/>
  <c r="C35" i="9"/>
  <c r="L34" i="9"/>
  <c r="K34" i="9"/>
  <c r="J34" i="9"/>
  <c r="I34" i="9"/>
  <c r="F34" i="9"/>
  <c r="C34" i="9"/>
  <c r="H33" i="9"/>
  <c r="H57" i="9" s="1"/>
  <c r="G33" i="9"/>
  <c r="G52" i="9" s="1"/>
  <c r="D33" i="9"/>
  <c r="D53" i="9" s="1"/>
  <c r="L32" i="9"/>
  <c r="K32" i="9"/>
  <c r="J32" i="9"/>
  <c r="I32" i="9"/>
  <c r="F32" i="9"/>
  <c r="C32" i="9"/>
  <c r="L31" i="9"/>
  <c r="K31" i="9"/>
  <c r="J31" i="9"/>
  <c r="I31" i="9"/>
  <c r="H31" i="9"/>
  <c r="F31" i="9"/>
  <c r="C31" i="9"/>
  <c r="L30" i="9"/>
  <c r="K30" i="9"/>
  <c r="J30" i="9"/>
  <c r="I30" i="9"/>
  <c r="F30" i="9"/>
  <c r="D30" i="9"/>
  <c r="C30" i="9"/>
  <c r="E30" i="9" s="1"/>
  <c r="L29" i="9"/>
  <c r="K29" i="9"/>
  <c r="J29" i="9"/>
  <c r="I29" i="9"/>
  <c r="F29" i="9"/>
  <c r="C29" i="9"/>
  <c r="L28" i="9"/>
  <c r="K28" i="9"/>
  <c r="J28" i="9"/>
  <c r="I28" i="9"/>
  <c r="F28" i="9"/>
  <c r="C28" i="9"/>
  <c r="L27" i="9"/>
  <c r="K27" i="9"/>
  <c r="J27" i="9"/>
  <c r="I27" i="9"/>
  <c r="F27" i="9"/>
  <c r="C27" i="9"/>
  <c r="L26" i="9"/>
  <c r="K26" i="9"/>
  <c r="J26" i="9"/>
  <c r="I26" i="9"/>
  <c r="F26" i="9"/>
  <c r="C26" i="9"/>
  <c r="L25" i="9"/>
  <c r="K25" i="9"/>
  <c r="J25" i="9"/>
  <c r="I25" i="9"/>
  <c r="F25" i="9"/>
  <c r="C25" i="9"/>
  <c r="L24" i="9"/>
  <c r="K24" i="9"/>
  <c r="J24" i="9"/>
  <c r="I24" i="9"/>
  <c r="F24" i="9"/>
  <c r="D24" i="9"/>
  <c r="C24" i="9"/>
  <c r="L23" i="9"/>
  <c r="K23" i="9"/>
  <c r="J23" i="9"/>
  <c r="I23" i="9"/>
  <c r="H23" i="9"/>
  <c r="G23" i="9"/>
  <c r="F23" i="9"/>
  <c r="C23" i="9"/>
  <c r="L22" i="9"/>
  <c r="K22" i="9"/>
  <c r="J22" i="9"/>
  <c r="I22" i="9"/>
  <c r="H22" i="9"/>
  <c r="F22" i="9"/>
  <c r="D22" i="9"/>
  <c r="C22" i="9"/>
  <c r="L21" i="9"/>
  <c r="K21" i="9"/>
  <c r="J21" i="9"/>
  <c r="I21" i="9"/>
  <c r="F21" i="9"/>
  <c r="C21" i="9"/>
  <c r="L20" i="9"/>
  <c r="K20" i="9"/>
  <c r="J20" i="9"/>
  <c r="I20" i="9"/>
  <c r="F20" i="9"/>
  <c r="C20" i="9"/>
  <c r="L19" i="9"/>
  <c r="K19" i="9"/>
  <c r="J19" i="9"/>
  <c r="I19" i="9"/>
  <c r="F19" i="9"/>
  <c r="D19" i="9"/>
  <c r="C19" i="9"/>
  <c r="E19" i="9" s="1"/>
  <c r="L18" i="9"/>
  <c r="K18" i="9"/>
  <c r="J18" i="9"/>
  <c r="I18" i="9"/>
  <c r="F18" i="9"/>
  <c r="C18" i="9"/>
  <c r="L17" i="9"/>
  <c r="K17" i="9"/>
  <c r="J17" i="9"/>
  <c r="I17" i="9"/>
  <c r="H17" i="9"/>
  <c r="G17" i="9"/>
  <c r="F17" i="9"/>
  <c r="C17" i="9"/>
  <c r="L16" i="9"/>
  <c r="K16" i="9"/>
  <c r="J16" i="9"/>
  <c r="I16" i="9"/>
  <c r="H16" i="9"/>
  <c r="F16" i="9"/>
  <c r="D16" i="9"/>
  <c r="C16" i="9"/>
  <c r="L15" i="9"/>
  <c r="K15" i="9"/>
  <c r="J15" i="9"/>
  <c r="I15" i="9"/>
  <c r="F15" i="9"/>
  <c r="C15" i="9"/>
  <c r="L14" i="9"/>
  <c r="K14" i="9"/>
  <c r="J14" i="9"/>
  <c r="I14" i="9"/>
  <c r="F14" i="9"/>
  <c r="D14" i="9"/>
  <c r="C14" i="9"/>
  <c r="E14" i="9" s="1"/>
  <c r="L13" i="9"/>
  <c r="K13" i="9"/>
  <c r="J13" i="9"/>
  <c r="I13" i="9"/>
  <c r="F13" i="9"/>
  <c r="C13" i="9"/>
  <c r="L12" i="9"/>
  <c r="K12" i="9"/>
  <c r="J12" i="9"/>
  <c r="I12" i="9"/>
  <c r="F12" i="9"/>
  <c r="C12" i="9"/>
  <c r="L11" i="9"/>
  <c r="K11" i="9"/>
  <c r="J11" i="9"/>
  <c r="I11" i="9"/>
  <c r="H11" i="9"/>
  <c r="G11" i="9"/>
  <c r="F11" i="9"/>
  <c r="D11" i="9"/>
  <c r="C11" i="9"/>
  <c r="E11" i="9" s="1"/>
  <c r="L10" i="9"/>
  <c r="K10" i="9"/>
  <c r="J10" i="9"/>
  <c r="I10" i="9"/>
  <c r="F10" i="9"/>
  <c r="C10" i="9"/>
  <c r="L9" i="9"/>
  <c r="K9" i="9"/>
  <c r="J9" i="9"/>
  <c r="I9" i="9"/>
  <c r="F9" i="9"/>
  <c r="C9" i="9"/>
  <c r="L8" i="9"/>
  <c r="K8" i="9"/>
  <c r="J8" i="9"/>
  <c r="I8" i="9"/>
  <c r="F8" i="9"/>
  <c r="D8" i="9"/>
  <c r="C8" i="9"/>
  <c r="P86" i="2"/>
  <c r="P83" i="2"/>
  <c r="K83" i="2"/>
  <c r="P80" i="2"/>
  <c r="P77" i="2"/>
  <c r="F75" i="2"/>
  <c r="K84" i="2" s="1"/>
  <c r="P74" i="2"/>
  <c r="K74" i="2"/>
  <c r="F74" i="2"/>
  <c r="P71" i="2"/>
  <c r="P68" i="2"/>
  <c r="K66" i="2"/>
  <c r="P66" i="2" s="1"/>
  <c r="P65" i="2"/>
  <c r="K65" i="2"/>
  <c r="P62" i="2"/>
  <c r="P59" i="2"/>
  <c r="P56" i="2"/>
  <c r="K56" i="2"/>
  <c r="P53" i="2"/>
  <c r="P50" i="2"/>
  <c r="F48" i="2"/>
  <c r="K39" i="2" s="1"/>
  <c r="A48" i="2"/>
  <c r="I4" i="3" s="1"/>
  <c r="P47" i="2"/>
  <c r="K47" i="2"/>
  <c r="F47" i="2"/>
  <c r="P44" i="2"/>
  <c r="P41" i="2"/>
  <c r="P38" i="2"/>
  <c r="K38" i="2"/>
  <c r="P35" i="2"/>
  <c r="P32" i="2"/>
  <c r="P29" i="2"/>
  <c r="K29" i="2"/>
  <c r="P26" i="2"/>
  <c r="P23" i="2"/>
  <c r="F21" i="2"/>
  <c r="K30" i="2" s="1"/>
  <c r="P20" i="2"/>
  <c r="K20" i="2"/>
  <c r="F20" i="2"/>
  <c r="P17" i="2"/>
  <c r="P14" i="2"/>
  <c r="P11" i="2"/>
  <c r="K11" i="2"/>
  <c r="P8" i="2"/>
  <c r="P5" i="2"/>
  <c r="F5" i="2"/>
  <c r="C14" i="1"/>
  <c r="C13" i="1"/>
  <c r="C12" i="1"/>
  <c r="K12" i="2" l="1"/>
  <c r="K48" i="2"/>
  <c r="P45" i="2" s="1"/>
  <c r="I25" i="3" s="1"/>
  <c r="K57" i="2"/>
  <c r="P57" i="2" s="1"/>
  <c r="I47" i="3" s="1"/>
  <c r="E16" i="9"/>
  <c r="E24" i="9"/>
  <c r="H47" i="9"/>
  <c r="G12" i="9"/>
  <c r="E8" i="9"/>
  <c r="H12" i="9"/>
  <c r="G13" i="9"/>
  <c r="H18" i="9"/>
  <c r="G24" i="9"/>
  <c r="G42" i="9"/>
  <c r="G58" i="9"/>
  <c r="G18" i="9"/>
  <c r="H32" i="9"/>
  <c r="G25" i="9"/>
  <c r="G39" i="9"/>
  <c r="G55" i="9"/>
  <c r="G8" i="9"/>
  <c r="G14" i="9"/>
  <c r="H19" i="9"/>
  <c r="G20" i="9"/>
  <c r="E22" i="9"/>
  <c r="H25" i="9"/>
  <c r="G26" i="9"/>
  <c r="G34" i="9"/>
  <c r="H36" i="9"/>
  <c r="H39" i="9"/>
  <c r="H55" i="9"/>
  <c r="G31" i="9"/>
  <c r="H13" i="9"/>
  <c r="G36" i="9"/>
  <c r="H38" i="9"/>
  <c r="H20" i="9"/>
  <c r="G21" i="9"/>
  <c r="H26" i="9"/>
  <c r="G27" i="9"/>
  <c r="H52" i="9"/>
  <c r="H8" i="9"/>
  <c r="G9" i="9"/>
  <c r="G10" i="9"/>
  <c r="H15" i="9"/>
  <c r="H21" i="9"/>
  <c r="H27" i="9"/>
  <c r="G28" i="9"/>
  <c r="G50" i="9"/>
  <c r="G30" i="9"/>
  <c r="H44" i="9"/>
  <c r="G19" i="9"/>
  <c r="H24" i="9"/>
  <c r="H14" i="9"/>
  <c r="G15" i="9"/>
  <c r="H9" i="9"/>
  <c r="H10" i="9"/>
  <c r="G16" i="9"/>
  <c r="G22" i="9"/>
  <c r="H28" i="9"/>
  <c r="G29" i="9"/>
  <c r="E53" i="9"/>
  <c r="G47" i="9"/>
  <c r="P81" i="2"/>
  <c r="P84" i="2"/>
  <c r="P87" i="2"/>
  <c r="O15" i="3"/>
  <c r="O17" i="3"/>
  <c r="O16" i="3"/>
  <c r="P36" i="2"/>
  <c r="P39" i="2"/>
  <c r="P42" i="2"/>
  <c r="P27" i="2"/>
  <c r="P33" i="2"/>
  <c r="P30" i="2"/>
  <c r="I45" i="3"/>
  <c r="D27" i="9"/>
  <c r="E27" i="9" s="1"/>
  <c r="D40" i="9"/>
  <c r="E40" i="9" s="1"/>
  <c r="D48" i="9"/>
  <c r="E48" i="9" s="1"/>
  <c r="D56" i="9"/>
  <c r="E56" i="9" s="1"/>
  <c r="K5" i="2"/>
  <c r="K21" i="2"/>
  <c r="P54" i="2"/>
  <c r="P63" i="2"/>
  <c r="D35" i="9"/>
  <c r="E35" i="9" s="1"/>
  <c r="D43" i="9"/>
  <c r="E43" i="9" s="1"/>
  <c r="D51" i="9"/>
  <c r="E51" i="9" s="1"/>
  <c r="P12" i="2"/>
  <c r="D9" i="9"/>
  <c r="E9" i="9" s="1"/>
  <c r="D17" i="9"/>
  <c r="E17" i="9" s="1"/>
  <c r="D25" i="9"/>
  <c r="E25" i="9" s="1"/>
  <c r="H29" i="9"/>
  <c r="G32" i="9"/>
  <c r="E33" i="9"/>
  <c r="H34" i="9"/>
  <c r="G37" i="9"/>
  <c r="D38" i="9"/>
  <c r="E38" i="9" s="1"/>
  <c r="H42" i="9"/>
  <c r="G45" i="9"/>
  <c r="D46" i="9"/>
  <c r="E46" i="9" s="1"/>
  <c r="H50" i="9"/>
  <c r="G53" i="9"/>
  <c r="D54" i="9"/>
  <c r="E54" i="9" s="1"/>
  <c r="H58" i="9"/>
  <c r="P69" i="2"/>
  <c r="D12" i="9"/>
  <c r="E12" i="9" s="1"/>
  <c r="D20" i="9"/>
  <c r="E20" i="9" s="1"/>
  <c r="D28" i="9"/>
  <c r="E28" i="9" s="1"/>
  <c r="H37" i="9"/>
  <c r="G40" i="9"/>
  <c r="D41" i="9"/>
  <c r="E41" i="9" s="1"/>
  <c r="H45" i="9"/>
  <c r="G48" i="9"/>
  <c r="D49" i="9"/>
  <c r="E49" i="9" s="1"/>
  <c r="H53" i="9"/>
  <c r="G56" i="9"/>
  <c r="D57" i="9"/>
  <c r="E57" i="9" s="1"/>
  <c r="D15" i="9"/>
  <c r="E15" i="9" s="1"/>
  <c r="D23" i="9"/>
  <c r="E23" i="9" s="1"/>
  <c r="D31" i="9"/>
  <c r="E31" i="9" s="1"/>
  <c r="G35" i="9"/>
  <c r="D36" i="9"/>
  <c r="E36" i="9" s="1"/>
  <c r="H40" i="9"/>
  <c r="G43" i="9"/>
  <c r="D44" i="9"/>
  <c r="E44" i="9" s="1"/>
  <c r="H48" i="9"/>
  <c r="G51" i="9"/>
  <c r="D52" i="9"/>
  <c r="E52" i="9" s="1"/>
  <c r="H56" i="9"/>
  <c r="D10" i="9"/>
  <c r="E10" i="9" s="1"/>
  <c r="D18" i="9"/>
  <c r="E18" i="9" s="1"/>
  <c r="D26" i="9"/>
  <c r="E26" i="9" s="1"/>
  <c r="H30" i="9"/>
  <c r="H35" i="9"/>
  <c r="G38" i="9"/>
  <c r="D39" i="9"/>
  <c r="E39" i="9" s="1"/>
  <c r="H43" i="9"/>
  <c r="G46" i="9"/>
  <c r="D47" i="9"/>
  <c r="E47" i="9" s="1"/>
  <c r="H51" i="9"/>
  <c r="G54" i="9"/>
  <c r="D55" i="9"/>
  <c r="E55" i="9" s="1"/>
  <c r="K75" i="2"/>
  <c r="D13" i="9"/>
  <c r="E13" i="9" s="1"/>
  <c r="D21" i="9"/>
  <c r="E21" i="9" s="1"/>
  <c r="D29" i="9"/>
  <c r="E29" i="9" s="1"/>
  <c r="D34" i="9"/>
  <c r="E34" i="9" s="1"/>
  <c r="G41" i="9"/>
  <c r="D42" i="9"/>
  <c r="E42" i="9" s="1"/>
  <c r="H46" i="9"/>
  <c r="G49" i="9"/>
  <c r="D50" i="9"/>
  <c r="E50" i="9" s="1"/>
  <c r="H54" i="9"/>
  <c r="G57" i="9"/>
  <c r="D58" i="9"/>
  <c r="E58" i="9" s="1"/>
  <c r="D32" i="9"/>
  <c r="E32" i="9" s="1"/>
  <c r="D37" i="9"/>
  <c r="E37" i="9" s="1"/>
  <c r="H41" i="9"/>
  <c r="G44" i="9"/>
  <c r="D45" i="9"/>
  <c r="E45" i="9" s="1"/>
  <c r="H49" i="9"/>
  <c r="I46" i="3" l="1"/>
  <c r="I27" i="3"/>
  <c r="I26" i="3"/>
  <c r="P48" i="2"/>
  <c r="I32" i="3" s="1"/>
  <c r="P51" i="2"/>
  <c r="I37" i="3" s="1"/>
  <c r="P15" i="2"/>
  <c r="P9" i="2"/>
  <c r="P60" i="2"/>
  <c r="I51" i="3" s="1"/>
  <c r="I11" i="3"/>
  <c r="I12" i="3"/>
  <c r="I10" i="3"/>
  <c r="O10" i="3"/>
  <c r="O12" i="3"/>
  <c r="O11" i="3"/>
  <c r="P75" i="2"/>
  <c r="P78" i="2"/>
  <c r="P72" i="2"/>
  <c r="O20" i="3"/>
  <c r="O22" i="3"/>
  <c r="O21" i="3"/>
  <c r="I41" i="3"/>
  <c r="I40" i="3"/>
  <c r="I42" i="3"/>
  <c r="C46" i="3"/>
  <c r="C45" i="3"/>
  <c r="C47" i="3"/>
  <c r="C16" i="3"/>
  <c r="C15" i="3"/>
  <c r="C17" i="3"/>
  <c r="P21" i="2"/>
  <c r="P18" i="2"/>
  <c r="P24" i="2"/>
  <c r="C51" i="3"/>
  <c r="C50" i="3"/>
  <c r="C52" i="3"/>
  <c r="O50" i="3"/>
  <c r="O52" i="3"/>
  <c r="O51" i="3"/>
  <c r="C42" i="3"/>
  <c r="C40" i="3"/>
  <c r="C41" i="3"/>
  <c r="O46" i="3"/>
  <c r="O45" i="3"/>
  <c r="O47" i="3"/>
  <c r="I22" i="3"/>
  <c r="I20" i="3"/>
  <c r="I21" i="3"/>
  <c r="O41" i="3"/>
  <c r="O40" i="3"/>
  <c r="O42" i="3"/>
  <c r="I15" i="3"/>
  <c r="I17" i="3"/>
  <c r="I16" i="3"/>
  <c r="I50" i="3" l="1"/>
  <c r="I30" i="3"/>
  <c r="I31" i="3"/>
  <c r="I52" i="3"/>
  <c r="I35" i="3"/>
  <c r="I36" i="3"/>
  <c r="C11" i="3"/>
  <c r="C10" i="3"/>
  <c r="C12" i="3"/>
  <c r="C20" i="3"/>
  <c r="C21" i="3"/>
  <c r="C22" i="3"/>
  <c r="O32" i="3"/>
  <c r="O31" i="3"/>
  <c r="O30" i="3"/>
  <c r="O36" i="3"/>
  <c r="O35" i="3"/>
  <c r="O37" i="3"/>
  <c r="C37" i="3"/>
  <c r="C36" i="3"/>
  <c r="C35" i="3"/>
  <c r="C25" i="3"/>
  <c r="C26" i="3"/>
  <c r="C27" i="3"/>
  <c r="C30" i="3"/>
  <c r="C32" i="3"/>
  <c r="C31" i="3"/>
  <c r="O27" i="3"/>
  <c r="O26" i="3"/>
  <c r="O25" i="3"/>
</calcChain>
</file>

<file path=xl/sharedStrings.xml><?xml version="1.0" encoding="utf-8"?>
<sst xmlns="http://schemas.openxmlformats.org/spreadsheetml/2006/main" count="910" uniqueCount="369">
  <si>
    <t>Fractal RPG v0.4 (Supersonic Vampire)</t>
  </si>
  <si>
    <t>Character Sheet</t>
  </si>
  <si>
    <t>Name</t>
  </si>
  <si>
    <t>Description</t>
  </si>
  <si>
    <t>Codename</t>
  </si>
  <si>
    <t>Race</t>
  </si>
  <si>
    <t>Gender</t>
  </si>
  <si>
    <t>Faction</t>
  </si>
  <si>
    <t>Level</t>
  </si>
  <si>
    <t>Current</t>
  </si>
  <si>
    <t>Max</t>
  </si>
  <si>
    <t>Scale</t>
  </si>
  <si>
    <t>Value</t>
  </si>
  <si>
    <t>Vigor Points (VP)</t>
  </si>
  <si>
    <t>Size</t>
  </si>
  <si>
    <t>Sanity Points (SP)</t>
  </si>
  <si>
    <t>Mass</t>
  </si>
  <si>
    <t>Essence Points (EP)</t>
  </si>
  <si>
    <t>Brawn</t>
  </si>
  <si>
    <t>Armor Points (AP)</t>
  </si>
  <si>
    <t>Wit</t>
  </si>
  <si>
    <t>Resistance Points (RP)</t>
  </si>
  <si>
    <t>Prowess</t>
  </si>
  <si>
    <t>Deflection Points (DP)</t>
  </si>
  <si>
    <t>Weapons</t>
  </si>
  <si>
    <t>Item</t>
  </si>
  <si>
    <t>Type</t>
  </si>
  <si>
    <t>Grade</t>
  </si>
  <si>
    <t>Status</t>
  </si>
  <si>
    <t>Damage</t>
  </si>
  <si>
    <t>Protections</t>
  </si>
  <si>
    <t>Protection Points</t>
  </si>
  <si>
    <t>Pocket Dimension</t>
  </si>
  <si>
    <t>Wallet</t>
  </si>
  <si>
    <t>Skills Sheet</t>
  </si>
  <si>
    <t>Tier 1</t>
  </si>
  <si>
    <t>Tier 2</t>
  </si>
  <si>
    <t>Tier 3</t>
  </si>
  <si>
    <t>Base % =</t>
  </si>
  <si>
    <t>(1 * T1)</t>
  </si>
  <si>
    <t>(1 * T1) + (2 * T2)</t>
  </si>
  <si>
    <t>(1 * T1) + (2 * T2) + (3 * T3)</t>
  </si>
  <si>
    <t>Strength</t>
  </si>
  <si>
    <t>Athletics</t>
  </si>
  <si>
    <t>Stamina</t>
  </si>
  <si>
    <t>Resilience</t>
  </si>
  <si>
    <t>Acrobatics</t>
  </si>
  <si>
    <t>Physical</t>
  </si>
  <si>
    <t>Agility</t>
  </si>
  <si>
    <t>Haste</t>
  </si>
  <si>
    <t>Reflexes</t>
  </si>
  <si>
    <t>Finesse</t>
  </si>
  <si>
    <t>Precision</t>
  </si>
  <si>
    <t>Dexterity</t>
  </si>
  <si>
    <t>Stealth</t>
  </si>
  <si>
    <t>Academics</t>
  </si>
  <si>
    <t>Knowledge</t>
  </si>
  <si>
    <t>Deduction</t>
  </si>
  <si>
    <t>Communication</t>
  </si>
  <si>
    <t>Perception</t>
  </si>
  <si>
    <t>Competence</t>
  </si>
  <si>
    <t>Mental</t>
  </si>
  <si>
    <t>Wisdom</t>
  </si>
  <si>
    <t>Intuition</t>
  </si>
  <si>
    <t>Resourcefulness</t>
  </si>
  <si>
    <t>Persuasion</t>
  </si>
  <si>
    <t>Presence</t>
  </si>
  <si>
    <t>Deception</t>
  </si>
  <si>
    <t>Intimidation</t>
  </si>
  <si>
    <t>Enchanting</t>
  </si>
  <si>
    <t>Curses</t>
  </si>
  <si>
    <t>Beholding</t>
  </si>
  <si>
    <t>Transmutation</t>
  </si>
  <si>
    <t>Invocation</t>
  </si>
  <si>
    <t>Spiritual</t>
  </si>
  <si>
    <t>Spells</t>
  </si>
  <si>
    <t>Illusions</t>
  </si>
  <si>
    <t>Fabrication</t>
  </si>
  <si>
    <t>Jinxes</t>
  </si>
  <si>
    <t>Hexes</t>
  </si>
  <si>
    <t>Possession</t>
  </si>
  <si>
    <t>Restoration</t>
  </si>
  <si>
    <t>Skill Specialties Sheet</t>
  </si>
  <si>
    <t>Tier 4</t>
  </si>
  <si>
    <t>(1 * T1) + (2 * T2) + (3 * T3) + (4 * T4)</t>
  </si>
  <si>
    <t>PHYSICAL</t>
  </si>
  <si>
    <t>MENTAL</t>
  </si>
  <si>
    <t>SPIRITUAL</t>
  </si>
  <si>
    <t>+</t>
  </si>
  <si>
    <t>%</t>
  </si>
  <si>
    <t>Traits Sheet</t>
  </si>
  <si>
    <t>Trait</t>
  </si>
  <si>
    <t>+ + +</t>
  </si>
  <si>
    <t>+ +</t>
  </si>
  <si>
    <t>-</t>
  </si>
  <si>
    <t>- -</t>
  </si>
  <si>
    <t>- - -</t>
  </si>
  <si>
    <t>Anxiety</t>
  </si>
  <si>
    <t>Serene</t>
  </si>
  <si>
    <t>Carefree</t>
  </si>
  <si>
    <t>Relaxed</t>
  </si>
  <si>
    <t>Stable</t>
  </si>
  <si>
    <t>Uncomfortable</t>
  </si>
  <si>
    <t>Tense</t>
  </si>
  <si>
    <t>Agitated</t>
  </si>
  <si>
    <t>Attention</t>
  </si>
  <si>
    <t>Fixated</t>
  </si>
  <si>
    <t>Dedicated</t>
  </si>
  <si>
    <t>Focused</t>
  </si>
  <si>
    <t>Disinterested</t>
  </si>
  <si>
    <t>Preoccupied</t>
  </si>
  <si>
    <t>Distracted</t>
  </si>
  <si>
    <t>Flustered</t>
  </si>
  <si>
    <t>Caution</t>
  </si>
  <si>
    <t>Meticulous</t>
  </si>
  <si>
    <t>Thorough</t>
  </si>
  <si>
    <t>Careful</t>
  </si>
  <si>
    <t>Aware</t>
  </si>
  <si>
    <t>Careless</t>
  </si>
  <si>
    <t>Negligent</t>
  </si>
  <si>
    <t>Self-Destructive</t>
  </si>
  <si>
    <t>Confidence</t>
  </si>
  <si>
    <t>Emphatic</t>
  </si>
  <si>
    <t>Confident</t>
  </si>
  <si>
    <t>Assertive</t>
  </si>
  <si>
    <t>Undecided</t>
  </si>
  <si>
    <t>Self-Conscious</t>
  </si>
  <si>
    <t>Insecure</t>
  </si>
  <si>
    <t>Withdrawn</t>
  </si>
  <si>
    <t>Curiosity</t>
  </si>
  <si>
    <t>Nosy</t>
  </si>
  <si>
    <t>Inquisitive</t>
  </si>
  <si>
    <t>Curious</t>
  </si>
  <si>
    <t>Disengaged</t>
  </si>
  <si>
    <t>Unexcited</t>
  </si>
  <si>
    <t>Bored</t>
  </si>
  <si>
    <t>Removed</t>
  </si>
  <si>
    <t>Decisiveness</t>
  </si>
  <si>
    <t>Adamant</t>
  </si>
  <si>
    <t>Resolute</t>
  </si>
  <si>
    <t>Decisive</t>
  </si>
  <si>
    <t>Indifferent</t>
  </si>
  <si>
    <t>Hesitant</t>
  </si>
  <si>
    <t>Vague</t>
  </si>
  <si>
    <t>Evasive</t>
  </si>
  <si>
    <t>Determination</t>
  </si>
  <si>
    <t>Relentless</t>
  </si>
  <si>
    <t>Devoted</t>
  </si>
  <si>
    <t>Committed</t>
  </si>
  <si>
    <t>Apathetic</t>
  </si>
  <si>
    <t>Uncommitted</t>
  </si>
  <si>
    <t>Yielding</t>
  </si>
  <si>
    <t>Submissive</t>
  </si>
  <si>
    <t>Disposition</t>
  </si>
  <si>
    <t>Pacifistic</t>
  </si>
  <si>
    <t>Humane</t>
  </si>
  <si>
    <t>Gracious</t>
  </si>
  <si>
    <t>Detached</t>
  </si>
  <si>
    <t>Cruel</t>
  </si>
  <si>
    <t>Heartless</t>
  </si>
  <si>
    <t>Psychopathic</t>
  </si>
  <si>
    <t>Effort</t>
  </si>
  <si>
    <t>Fanatical</t>
  </si>
  <si>
    <t>Zealous</t>
  </si>
  <si>
    <t>Eager</t>
  </si>
  <si>
    <t>Inactive</t>
  </si>
  <si>
    <t>Sluggish</t>
  </si>
  <si>
    <t>Lazy</t>
  </si>
  <si>
    <t>Lethargic</t>
  </si>
  <si>
    <t>Emotion</t>
  </si>
  <si>
    <t>Flamboyant</t>
  </si>
  <si>
    <t>Excited</t>
  </si>
  <si>
    <t>Bubbly</t>
  </si>
  <si>
    <t>Balanced</t>
  </si>
  <si>
    <t>Sombre</t>
  </si>
  <si>
    <t>Stoic</t>
  </si>
  <si>
    <t>Deadpan</t>
  </si>
  <si>
    <t>Empathy</t>
  </si>
  <si>
    <t>Compassionate</t>
  </si>
  <si>
    <t>Caring</t>
  </si>
  <si>
    <t>Sympathetic</t>
  </si>
  <si>
    <t>Uninvolved</t>
  </si>
  <si>
    <t>Aloof</t>
  </si>
  <si>
    <t>Insensitive</t>
  </si>
  <si>
    <t>Callous</t>
  </si>
  <si>
    <t>Forcefulness</t>
  </si>
  <si>
    <t>Delicate</t>
  </si>
  <si>
    <t>Soft</t>
  </si>
  <si>
    <t>Gentle</t>
  </si>
  <si>
    <t>Moderate</t>
  </si>
  <si>
    <t>Rough</t>
  </si>
  <si>
    <t>Violent</t>
  </si>
  <si>
    <t>Savage</t>
  </si>
  <si>
    <t>Formality</t>
  </si>
  <si>
    <t>Pompous</t>
  </si>
  <si>
    <t>Formal</t>
  </si>
  <si>
    <t>Orderly</t>
  </si>
  <si>
    <t>Plain</t>
  </si>
  <si>
    <t>Informal</t>
  </si>
  <si>
    <t>Casual</t>
  </si>
  <si>
    <t>Sloppy</t>
  </si>
  <si>
    <t>Honesty</t>
  </si>
  <si>
    <t>Genuine</t>
  </si>
  <si>
    <t>Truthful</t>
  </si>
  <si>
    <t>Sincere</t>
  </si>
  <si>
    <t>Nebulous</t>
  </si>
  <si>
    <t>Misleading</t>
  </si>
  <si>
    <t>Dishonest</t>
  </si>
  <si>
    <t>Deceitful</t>
  </si>
  <si>
    <t>Hygiene</t>
  </si>
  <si>
    <t>Spotless</t>
  </si>
  <si>
    <t>Clean</t>
  </si>
  <si>
    <t>Tidy</t>
  </si>
  <si>
    <t>Presentable</t>
  </si>
  <si>
    <t>Disheveled</t>
  </si>
  <si>
    <t>Dirty</t>
  </si>
  <si>
    <t>Disgusting</t>
  </si>
  <si>
    <t>Lawfulness</t>
  </si>
  <si>
    <t>Patriotic</t>
  </si>
  <si>
    <t>Lawful</t>
  </si>
  <si>
    <t>Civil</t>
  </si>
  <si>
    <t>Impartial</t>
  </si>
  <si>
    <t>Delinquent</t>
  </si>
  <si>
    <t>Criminal</t>
  </si>
  <si>
    <t>Terroristic</t>
  </si>
  <si>
    <t>Logic</t>
  </si>
  <si>
    <t>Objective</t>
  </si>
  <si>
    <t>Logical</t>
  </si>
  <si>
    <t>Rational</t>
  </si>
  <si>
    <t>Reasonable</t>
  </si>
  <si>
    <t>Subjective</t>
  </si>
  <si>
    <t>Unreasonable</t>
  </si>
  <si>
    <t>Irrational</t>
  </si>
  <si>
    <t>Loyalty</t>
  </si>
  <si>
    <t>Inseparable</t>
  </si>
  <si>
    <t>Dutiful</t>
  </si>
  <si>
    <t>Loyal</t>
  </si>
  <si>
    <t>Passive</t>
  </si>
  <si>
    <t>Disloyal</t>
  </si>
  <si>
    <t>Traitorous</t>
  </si>
  <si>
    <t>Backstabbing</t>
  </si>
  <si>
    <t>Manners</t>
  </si>
  <si>
    <t>Proper</t>
  </si>
  <si>
    <t>Polite</t>
  </si>
  <si>
    <t>Courteous</t>
  </si>
  <si>
    <t>Lukewarm</t>
  </si>
  <si>
    <t>Coarse</t>
  </si>
  <si>
    <t>Rude</t>
  </si>
  <si>
    <t>Repulsive</t>
  </si>
  <si>
    <t>Memory</t>
  </si>
  <si>
    <t>Photographic</t>
  </si>
  <si>
    <t>Mindful</t>
  </si>
  <si>
    <t>Observant</t>
  </si>
  <si>
    <t>Attentive</t>
  </si>
  <si>
    <t>Inattentive</t>
  </si>
  <si>
    <t>Absentminded</t>
  </si>
  <si>
    <t>Forgetful</t>
  </si>
  <si>
    <t>Mercy</t>
  </si>
  <si>
    <t>Forgiving</t>
  </si>
  <si>
    <t>Merciful</t>
  </si>
  <si>
    <t>Lenient</t>
  </si>
  <si>
    <t>Conditional</t>
  </si>
  <si>
    <t>Harsh</t>
  </si>
  <si>
    <t>Merciless</t>
  </si>
  <si>
    <t>Ruthless</t>
  </si>
  <si>
    <t>Mindedness</t>
  </si>
  <si>
    <t>Broad</t>
  </si>
  <si>
    <t>Open</t>
  </si>
  <si>
    <t>Receptive</t>
  </si>
  <si>
    <t>Simple</t>
  </si>
  <si>
    <t>Unreceptive</t>
  </si>
  <si>
    <t>Closed</t>
  </si>
  <si>
    <t>Narrow</t>
  </si>
  <si>
    <t>Morality</t>
  </si>
  <si>
    <t>Good</t>
  </si>
  <si>
    <t>Virtuous</t>
  </si>
  <si>
    <t>Decent</t>
  </si>
  <si>
    <t>Neutral</t>
  </si>
  <si>
    <t>Corrupt</t>
  </si>
  <si>
    <t>Wicked</t>
  </si>
  <si>
    <t>Evil</t>
  </si>
  <si>
    <t>Naivete</t>
  </si>
  <si>
    <t>Cynical</t>
  </si>
  <si>
    <t>Distrustful</t>
  </si>
  <si>
    <t>Skeptical</t>
  </si>
  <si>
    <t>Innocent</t>
  </si>
  <si>
    <t>Unsuspecting</t>
  </si>
  <si>
    <t>Gullible</t>
  </si>
  <si>
    <t>Foolish</t>
  </si>
  <si>
    <t>Patience</t>
  </si>
  <si>
    <t>Peaceful</t>
  </si>
  <si>
    <t>Patient</t>
  </si>
  <si>
    <t>Calm</t>
  </si>
  <si>
    <t>Unconcerned</t>
  </si>
  <si>
    <t>Restless</t>
  </si>
  <si>
    <t>Impatient</t>
  </si>
  <si>
    <t>Belligerent</t>
  </si>
  <si>
    <t>Predictability</t>
  </si>
  <si>
    <t>Routine</t>
  </si>
  <si>
    <t>Periodic</t>
  </si>
  <si>
    <t>Predictable</t>
  </si>
  <si>
    <t>Inconsistent</t>
  </si>
  <si>
    <t>Spontaneous</t>
  </si>
  <si>
    <t>Erratic</t>
  </si>
  <si>
    <t>Chaotic</t>
  </si>
  <si>
    <t>Restraint</t>
  </si>
  <si>
    <t>Steady</t>
  </si>
  <si>
    <t>Controlled</t>
  </si>
  <si>
    <t>Subdued</t>
  </si>
  <si>
    <t>Unchecked</t>
  </si>
  <si>
    <t>Loose</t>
  </si>
  <si>
    <t>Wild</t>
  </si>
  <si>
    <t>Sociability</t>
  </si>
  <si>
    <t>Neighborly</t>
  </si>
  <si>
    <t>Friendly</t>
  </si>
  <si>
    <t>Easygoing</t>
  </si>
  <si>
    <t>Impersonal</t>
  </si>
  <si>
    <t>Antisocial</t>
  </si>
  <si>
    <t>Isolated</t>
  </si>
  <si>
    <t>Reclusive</t>
  </si>
  <si>
    <t>Temper</t>
  </si>
  <si>
    <t>Tranquil</t>
  </si>
  <si>
    <t>Placid</t>
  </si>
  <si>
    <t>Flat</t>
  </si>
  <si>
    <t>Even</t>
  </si>
  <si>
    <t>Aggressive</t>
  </si>
  <si>
    <t>Hostile</t>
  </si>
  <si>
    <t>Explosive</t>
  </si>
  <si>
    <t>Tolerance</t>
  </si>
  <si>
    <t>Welcoming</t>
  </si>
  <si>
    <t>Accepting</t>
  </si>
  <si>
    <t>Tolerant</t>
  </si>
  <si>
    <t>Unbiased</t>
  </si>
  <si>
    <t>Intolerant</t>
  </si>
  <si>
    <t>Rejecting</t>
  </si>
  <si>
    <t>Hateful</t>
  </si>
  <si>
    <t>Scaling Reference</t>
  </si>
  <si>
    <t>Multiplier</t>
  </si>
  <si>
    <t>Human Size Reference</t>
  </si>
  <si>
    <t>Human Mass Reference</t>
  </si>
  <si>
    <t>Human Brawn Reference</t>
  </si>
  <si>
    <t>~1.35 / scale</t>
  </si>
  <si>
    <t>Feet</t>
  </si>
  <si>
    <t>Inches</t>
  </si>
  <si>
    <t>Feet' Inch"</t>
  </si>
  <si>
    <t>Meters</t>
  </si>
  <si>
    <t>Centimeters</t>
  </si>
  <si>
    <t>Millimeters</t>
  </si>
  <si>
    <t>Lbs</t>
  </si>
  <si>
    <t>Kg</t>
  </si>
  <si>
    <t>(Dealt to)</t>
  </si>
  <si>
    <t>1' 1.2"</t>
  </si>
  <si>
    <t>1' 6"</t>
  </si>
  <si>
    <t>2' 0"</t>
  </si>
  <si>
    <t>2' 9"</t>
  </si>
  <si>
    <t>3' 9"</t>
  </si>
  <si>
    <t>6' 9"</t>
  </si>
  <si>
    <t>9' 0"</t>
  </si>
  <si>
    <t>12' 6"</t>
  </si>
  <si>
    <t>16' 6"</t>
  </si>
  <si>
    <t>22' 6"</t>
  </si>
  <si>
    <t>Scaling Calculator</t>
  </si>
  <si>
    <t>Decimal places -&gt;</t>
  </si>
  <si>
    <t>Fractal RPG v0.4.0.0 (Squishy Meatloaf | Supersonic Vampire)</t>
  </si>
  <si>
    <t>Fractal RPG is licensed under Creative Commons Attribution-NonCommercial-ShareAlike 4.0 International (CC BY-NC-SA 4.0).
You are free to do whatever you want with the system, as long as you abide by the terms of the license:</t>
  </si>
  <si>
    <t>https://creativecommons.org/licenses/by-nc-sa/4.0/</t>
  </si>
  <si>
    <t>Enter values in cells with a double border</t>
  </si>
  <si>
    <t>Fractal RPG v0.4 (Squishy Meatloaf | Supersonic Vampire) 2019 - 2023 SparkliTwizzl
Licensed under CC BY-NC-SA 4.0</t>
  </si>
  <si>
    <t>2019 - 2023 SparkliTwizzl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</si>
</sst>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+&quot;0"/>
    <numFmt numFmtId="165" formatCode="0&quot;%&quot;"/>
    <numFmt numFmtId="166" formatCode="#,##0.####################"/>
    <numFmt numFmtId="167" formatCode="#,##0&quot; in&quot;"/>
    <numFmt numFmtId="168" formatCode="&quot;0' &quot;#,##0.000\&quot;"/>
    <numFmt numFmtId="169" formatCode="&quot;0' &quot;#,##0.00\&quot;"/>
    <numFmt numFmtId="170" formatCode="&quot;0' &quot;#,##0.0\&quot;"/>
    <numFmt numFmtId="171" formatCode="&quot;0' &quot;#,##0\&quot;"/>
    <numFmt numFmtId="172" formatCode="#,##0&quot;' 0&quot;\&quot;"/>
    <numFmt numFmtId="173" formatCode="#,##0&quot; cm&quot;"/>
    <numFmt numFmtId="174" formatCode="#,##0&quot; mm&quot;"/>
    <numFmt numFmtId="175" formatCode="0.0"/>
  </numFmts>
  <fonts count="33">
    <font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Roboto"/>
    </font>
    <font>
      <sz val="10"/>
      <color rgb="FFFFFFFF"/>
      <name val="Roboto"/>
    </font>
    <font>
      <sz val="10"/>
      <color rgb="FFCC0000"/>
      <name val="Roboto"/>
    </font>
    <font>
      <b/>
      <sz val="10"/>
      <color rgb="FFFFFFFF"/>
      <name val="Roboto"/>
    </font>
    <font>
      <i/>
      <sz val="10"/>
      <color rgb="FF808080"/>
      <name val="Roboto"/>
    </font>
    <font>
      <sz val="10"/>
      <color rgb="FF006600"/>
      <name val="Roboto"/>
    </font>
    <font>
      <b/>
      <sz val="24"/>
      <color rgb="FF000000"/>
      <name val="Roboto"/>
    </font>
    <font>
      <sz val="18"/>
      <color rgb="FF000000"/>
      <name val="Roboto"/>
    </font>
    <font>
      <sz val="12"/>
      <color rgb="FF000000"/>
      <name val="Roboto"/>
    </font>
    <font>
      <u/>
      <sz val="10"/>
      <color rgb="FF0000EE"/>
      <name val="Roboto"/>
    </font>
    <font>
      <sz val="10"/>
      <color rgb="FF996600"/>
      <name val="Roboto"/>
    </font>
    <font>
      <sz val="10"/>
      <color rgb="FF333333"/>
      <name val="Roboto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24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999999"/>
      <name val="Arial"/>
      <family val="2"/>
    </font>
    <font>
      <sz val="9"/>
      <color rgb="FFB7B7B7"/>
      <name val="Arial"/>
      <family val="2"/>
    </font>
    <font>
      <sz val="9"/>
      <color rgb="FF999999"/>
      <name val="Arial"/>
      <family val="2"/>
    </font>
    <font>
      <sz val="10"/>
      <color rgb="FF000000"/>
      <name val="Arial"/>
      <family val="2"/>
    </font>
    <font>
      <sz val="11"/>
      <color rgb="FF999999"/>
      <name val="Arial"/>
      <family val="2"/>
    </font>
    <font>
      <sz val="18"/>
      <color rgb="FF000000"/>
      <name val="Arial"/>
      <family val="2"/>
    </font>
    <font>
      <sz val="24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0"/>
      <color rgb="FF1155CC"/>
      <name val="Arial"/>
      <family val="2"/>
    </font>
    <font>
      <b/>
      <i/>
      <sz val="9"/>
      <color rgb="FF000000"/>
      <name val="Arial"/>
      <family val="2"/>
    </font>
    <font>
      <b/>
      <i/>
      <sz val="8"/>
      <color rgb="FF000000"/>
      <name val="Arial"/>
      <family val="2"/>
    </font>
    <font>
      <i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rgb="FFFFAADD"/>
        <bgColor rgb="FFFFAADD"/>
      </patternFill>
    </fill>
    <fill>
      <patternFill patternType="solid">
        <fgColor rgb="FFFF8888"/>
        <bgColor rgb="FFFF8888"/>
      </patternFill>
    </fill>
    <fill>
      <patternFill patternType="solid">
        <fgColor rgb="FFFFAAAA"/>
        <bgColor rgb="FFFFAAAA"/>
      </patternFill>
    </fill>
    <fill>
      <patternFill patternType="solid">
        <fgColor rgb="FFFFBB77"/>
        <bgColor rgb="FFFFBB77"/>
      </patternFill>
    </fill>
    <fill>
      <patternFill patternType="solid">
        <fgColor rgb="FFFFCC99"/>
        <bgColor rgb="FFFFCC99"/>
      </patternFill>
    </fill>
    <fill>
      <patternFill patternType="solid">
        <fgColor rgb="FFDDFF66"/>
        <bgColor rgb="FFDDFF66"/>
      </patternFill>
    </fill>
    <fill>
      <patternFill patternType="solid">
        <fgColor rgb="FFEEFFAA"/>
        <bgColor rgb="FFEEFFAA"/>
      </patternFill>
    </fill>
    <fill>
      <patternFill patternType="solid">
        <fgColor rgb="FF77FF77"/>
        <bgColor rgb="FF77FF77"/>
      </patternFill>
    </fill>
    <fill>
      <patternFill patternType="solid">
        <fgColor rgb="FFAAFFAA"/>
        <bgColor rgb="FFAAFFAA"/>
      </patternFill>
    </fill>
    <fill>
      <patternFill patternType="solid">
        <fgColor rgb="FF66FFDD"/>
        <bgColor rgb="FF66FFDD"/>
      </patternFill>
    </fill>
    <fill>
      <patternFill patternType="solid">
        <fgColor rgb="FFAAFFEE"/>
        <bgColor rgb="FFAAFFEE"/>
      </patternFill>
    </fill>
    <fill>
      <patternFill patternType="solid">
        <fgColor rgb="FF88CCFF"/>
        <bgColor rgb="FF88CCFF"/>
      </patternFill>
    </fill>
    <fill>
      <patternFill patternType="solid">
        <fgColor rgb="FFAADDFF"/>
        <bgColor rgb="FFAADDFF"/>
      </patternFill>
    </fill>
    <fill>
      <patternFill patternType="solid">
        <fgColor rgb="FFAAAAFF"/>
        <bgColor rgb="FFAAAAFF"/>
      </patternFill>
    </fill>
    <fill>
      <patternFill patternType="solid">
        <fgColor rgb="FFCCCCFF"/>
        <bgColor rgb="FFCCCCFF"/>
      </patternFill>
    </fill>
    <fill>
      <patternFill patternType="solid">
        <fgColor rgb="FFBBBBFF"/>
        <bgColor rgb="FFBBBBFF"/>
      </patternFill>
    </fill>
    <fill>
      <patternFill patternType="solid">
        <fgColor rgb="FFDD99FF"/>
        <bgColor rgb="FFDD99FF"/>
      </patternFill>
    </fill>
    <fill>
      <patternFill patternType="solid">
        <fgColor rgb="FFEEBBFF"/>
        <bgColor rgb="FFEEBBFF"/>
      </patternFill>
    </fill>
    <fill>
      <patternFill patternType="solid">
        <fgColor rgb="FFE7E7E7"/>
        <bgColor rgb="FFE7E7E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double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8" borderId="0"/>
    <xf numFmtId="0" fontId="4" fillId="5" borderId="0"/>
    <xf numFmtId="0" fontId="12" fillId="9" borderId="0"/>
    <xf numFmtId="0" fontId="13" fillId="9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5" fillId="7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01">
    <xf numFmtId="0" fontId="0" fillId="0" borderId="0" xfId="0"/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top" wrapText="1"/>
    </xf>
    <xf numFmtId="0" fontId="19" fillId="0" borderId="2" xfId="0" applyFont="1" applyBorder="1" applyAlignment="1">
      <alignment horizontal="right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5" fontId="17" fillId="0" borderId="4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165" fontId="17" fillId="0" borderId="14" xfId="0" applyNumberFormat="1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17" borderId="10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19" borderId="1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20" borderId="10" xfId="0" applyFont="1" applyFill="1" applyBorder="1" applyAlignment="1">
      <alignment horizontal="center" vertical="center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wrapText="1"/>
    </xf>
    <xf numFmtId="0" fontId="17" fillId="23" borderId="10" xfId="0" applyFont="1" applyFill="1" applyBorder="1" applyAlignment="1">
      <alignment horizontal="center" vertical="center" wrapText="1"/>
    </xf>
    <xf numFmtId="0" fontId="17" fillId="24" borderId="10" xfId="0" applyFont="1" applyFill="1" applyBorder="1" applyAlignment="1">
      <alignment horizontal="center" vertical="center" wrapText="1"/>
    </xf>
    <xf numFmtId="0" fontId="17" fillId="25" borderId="10" xfId="0" applyFont="1" applyFill="1" applyBorder="1" applyAlignment="1">
      <alignment horizontal="center" vertical="center" wrapText="1"/>
    </xf>
    <xf numFmtId="0" fontId="17" fillId="26" borderId="10" xfId="0" applyFont="1" applyFill="1" applyBorder="1" applyAlignment="1">
      <alignment horizontal="center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28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right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4" fillId="0" borderId="6" xfId="0" applyFont="1" applyBorder="1" applyAlignment="1">
      <alignment vertical="center" wrapText="1"/>
    </xf>
    <xf numFmtId="0" fontId="23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7" fillId="29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17" fillId="30" borderId="10" xfId="0" applyFont="1" applyFill="1" applyBorder="1" applyAlignment="1">
      <alignment horizontal="center" vertical="center" wrapText="1"/>
    </xf>
    <xf numFmtId="0" fontId="28" fillId="32" borderId="27" xfId="0" applyFont="1" applyFill="1" applyBorder="1" applyAlignment="1">
      <alignment horizontal="center" vertical="center" wrapText="1"/>
    </xf>
    <xf numFmtId="0" fontId="27" fillId="32" borderId="26" xfId="0" applyFont="1" applyFill="1" applyBorder="1" applyAlignment="1">
      <alignment horizontal="center" vertical="center" wrapText="1"/>
    </xf>
    <xf numFmtId="0" fontId="27" fillId="32" borderId="9" xfId="0" applyFont="1" applyFill="1" applyBorder="1" applyAlignment="1">
      <alignment horizontal="right" vertical="center" wrapText="1"/>
    </xf>
    <xf numFmtId="49" fontId="27" fillId="32" borderId="9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7" fillId="32" borderId="19" xfId="0" applyFont="1" applyFill="1" applyBorder="1" applyAlignment="1">
      <alignment horizontal="center" vertical="center" wrapText="1"/>
    </xf>
    <xf numFmtId="0" fontId="17" fillId="32" borderId="20" xfId="0" applyFont="1" applyFill="1" applyBorder="1" applyAlignment="1">
      <alignment horizontal="center" vertical="center" wrapText="1"/>
    </xf>
    <xf numFmtId="2" fontId="17" fillId="32" borderId="21" xfId="0" applyNumberFormat="1" applyFont="1" applyFill="1" applyBorder="1" applyAlignment="1">
      <alignment horizontal="center" vertical="center" wrapText="1"/>
    </xf>
    <xf numFmtId="0" fontId="30" fillId="31" borderId="28" xfId="0" applyFont="1" applyFill="1" applyBorder="1" applyAlignment="1">
      <alignment horizontal="center" vertical="center" wrapText="1"/>
    </xf>
    <xf numFmtId="0" fontId="32" fillId="31" borderId="29" xfId="0" applyFont="1" applyFill="1" applyBorder="1" applyAlignment="1">
      <alignment horizontal="center" vertical="center" wrapText="1"/>
    </xf>
    <xf numFmtId="0" fontId="32" fillId="31" borderId="28" xfId="0" applyFont="1" applyFill="1" applyBorder="1" applyAlignment="1">
      <alignment horizontal="center" vertical="center" wrapText="1"/>
    </xf>
    <xf numFmtId="0" fontId="32" fillId="31" borderId="30" xfId="0" applyFont="1" applyFill="1" applyBorder="1" applyAlignment="1">
      <alignment horizontal="center" vertical="center" wrapText="1"/>
    </xf>
    <xf numFmtId="175" fontId="32" fillId="31" borderId="31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27" fillId="32" borderId="27" xfId="0" applyFont="1" applyFill="1" applyBorder="1" applyAlignment="1">
      <alignment horizontal="right" vertical="center" wrapText="1"/>
    </xf>
    <xf numFmtId="0" fontId="27" fillId="32" borderId="18" xfId="0" applyFont="1" applyFill="1" applyBorder="1" applyAlignment="1">
      <alignment horizontal="right" vertical="center" wrapText="1"/>
    </xf>
    <xf numFmtId="0" fontId="30" fillId="31" borderId="22" xfId="0" applyFont="1" applyFill="1" applyBorder="1" applyAlignment="1">
      <alignment horizontal="center" vertical="center" wrapText="1"/>
    </xf>
    <xf numFmtId="0" fontId="32" fillId="31" borderId="23" xfId="0" applyFont="1" applyFill="1" applyBorder="1" applyAlignment="1">
      <alignment horizontal="center" vertical="center" wrapText="1"/>
    </xf>
    <xf numFmtId="0" fontId="32" fillId="31" borderId="22" xfId="0" applyFont="1" applyFill="1" applyBorder="1" applyAlignment="1">
      <alignment horizontal="center" vertical="center" wrapText="1"/>
    </xf>
    <xf numFmtId="0" fontId="32" fillId="31" borderId="24" xfId="0" applyFont="1" applyFill="1" applyBorder="1" applyAlignment="1">
      <alignment horizontal="center" vertical="center" wrapText="1"/>
    </xf>
    <xf numFmtId="175" fontId="32" fillId="31" borderId="2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7" fillId="0" borderId="2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right" vertical="center"/>
    </xf>
    <xf numFmtId="0" fontId="17" fillId="31" borderId="38" xfId="0" applyFont="1" applyFill="1" applyBorder="1" applyAlignment="1">
      <alignment horizontal="left" vertical="center" wrapText="1"/>
    </xf>
    <xf numFmtId="0" fontId="18" fillId="31" borderId="39" xfId="0" applyFont="1" applyFill="1" applyBorder="1" applyAlignment="1">
      <alignment horizontal="center" vertical="center" wrapText="1"/>
    </xf>
    <xf numFmtId="0" fontId="18" fillId="31" borderId="40" xfId="0" applyFont="1" applyFill="1" applyBorder="1" applyAlignment="1">
      <alignment horizontal="left" vertical="center" wrapText="1"/>
    </xf>
    <xf numFmtId="0" fontId="17" fillId="31" borderId="39" xfId="0" applyFont="1" applyFill="1" applyBorder="1" applyAlignment="1">
      <alignment horizontal="center" vertical="center" wrapText="1"/>
    </xf>
    <xf numFmtId="0" fontId="17" fillId="31" borderId="40" xfId="0" applyFont="1" applyFill="1" applyBorder="1" applyAlignment="1">
      <alignment horizontal="left" vertical="center" wrapText="1"/>
    </xf>
    <xf numFmtId="0" fontId="18" fillId="31" borderId="41" xfId="0" applyFont="1" applyFill="1" applyBorder="1" applyAlignment="1">
      <alignment horizontal="left" vertical="center" wrapText="1"/>
    </xf>
    <xf numFmtId="0" fontId="17" fillId="30" borderId="42" xfId="0" applyFont="1" applyFill="1" applyBorder="1" applyAlignment="1">
      <alignment horizontal="left" vertical="center" wrapText="1"/>
    </xf>
    <xf numFmtId="0" fontId="18" fillId="30" borderId="43" xfId="0" applyFont="1" applyFill="1" applyBorder="1" applyAlignment="1">
      <alignment horizontal="center" vertical="center" wrapText="1"/>
    </xf>
    <xf numFmtId="0" fontId="18" fillId="30" borderId="44" xfId="0" applyFont="1" applyFill="1" applyBorder="1" applyAlignment="1">
      <alignment horizontal="left" vertical="center" wrapText="1"/>
    </xf>
    <xf numFmtId="0" fontId="17" fillId="30" borderId="43" xfId="0" applyFont="1" applyFill="1" applyBorder="1" applyAlignment="1">
      <alignment horizontal="center" vertical="center" wrapText="1"/>
    </xf>
    <xf numFmtId="0" fontId="17" fillId="30" borderId="44" xfId="0" applyFont="1" applyFill="1" applyBorder="1" applyAlignment="1">
      <alignment horizontal="left" vertical="center" wrapText="1"/>
    </xf>
    <xf numFmtId="0" fontId="18" fillId="30" borderId="45" xfId="0" applyFont="1" applyFill="1" applyBorder="1" applyAlignment="1">
      <alignment horizontal="left" vertical="center" wrapText="1"/>
    </xf>
    <xf numFmtId="0" fontId="17" fillId="31" borderId="42" xfId="0" applyFont="1" applyFill="1" applyBorder="1" applyAlignment="1">
      <alignment horizontal="left" vertical="center" wrapText="1"/>
    </xf>
    <xf numFmtId="0" fontId="18" fillId="31" borderId="43" xfId="0" applyFont="1" applyFill="1" applyBorder="1" applyAlignment="1">
      <alignment horizontal="center" vertical="center" wrapText="1"/>
    </xf>
    <xf numFmtId="0" fontId="18" fillId="31" borderId="44" xfId="0" applyFont="1" applyFill="1" applyBorder="1" applyAlignment="1">
      <alignment horizontal="left" vertical="center" wrapText="1"/>
    </xf>
    <xf numFmtId="0" fontId="17" fillId="31" borderId="43" xfId="0" applyFont="1" applyFill="1" applyBorder="1" applyAlignment="1">
      <alignment horizontal="center" vertical="center" wrapText="1"/>
    </xf>
    <xf numFmtId="0" fontId="17" fillId="31" borderId="44" xfId="0" applyFont="1" applyFill="1" applyBorder="1" applyAlignment="1">
      <alignment horizontal="left" vertical="center" wrapText="1"/>
    </xf>
    <xf numFmtId="0" fontId="18" fillId="31" borderId="45" xfId="0" applyFont="1" applyFill="1" applyBorder="1" applyAlignment="1">
      <alignment horizontal="left" vertical="center" wrapText="1"/>
    </xf>
    <xf numFmtId="0" fontId="17" fillId="30" borderId="46" xfId="0" applyFont="1" applyFill="1" applyBorder="1" applyAlignment="1">
      <alignment horizontal="left" vertical="center" wrapText="1"/>
    </xf>
    <xf numFmtId="0" fontId="18" fillId="30" borderId="47" xfId="0" applyFont="1" applyFill="1" applyBorder="1" applyAlignment="1">
      <alignment horizontal="center" vertical="center" wrapText="1"/>
    </xf>
    <xf numFmtId="0" fontId="18" fillId="30" borderId="48" xfId="0" applyFont="1" applyFill="1" applyBorder="1" applyAlignment="1">
      <alignment horizontal="left" vertical="center" wrapText="1"/>
    </xf>
    <xf numFmtId="0" fontId="17" fillId="30" borderId="47" xfId="0" applyFont="1" applyFill="1" applyBorder="1" applyAlignment="1">
      <alignment horizontal="center" vertical="center" wrapText="1"/>
    </xf>
    <xf numFmtId="0" fontId="17" fillId="30" borderId="48" xfId="0" applyFont="1" applyFill="1" applyBorder="1" applyAlignment="1">
      <alignment horizontal="left" vertical="center" wrapText="1"/>
    </xf>
    <xf numFmtId="0" fontId="18" fillId="30" borderId="49" xfId="0" applyFont="1" applyFill="1" applyBorder="1" applyAlignment="1">
      <alignment horizontal="left" vertical="center" wrapText="1"/>
    </xf>
    <xf numFmtId="0" fontId="14" fillId="32" borderId="50" xfId="0" applyFont="1" applyFill="1" applyBorder="1" applyAlignment="1">
      <alignment horizontal="center" vertical="center" wrapText="1"/>
    </xf>
    <xf numFmtId="166" fontId="14" fillId="32" borderId="51" xfId="0" applyNumberFormat="1" applyFont="1" applyFill="1" applyBorder="1" applyAlignment="1">
      <alignment horizontal="right" vertical="center" wrapText="1"/>
    </xf>
    <xf numFmtId="0" fontId="14" fillId="32" borderId="50" xfId="0" applyFont="1" applyFill="1" applyBorder="1" applyAlignment="1">
      <alignment horizontal="right" vertical="center" wrapText="1"/>
    </xf>
    <xf numFmtId="0" fontId="14" fillId="32" borderId="52" xfId="0" applyFont="1" applyFill="1" applyBorder="1" applyAlignment="1">
      <alignment horizontal="right" vertical="center" wrapText="1"/>
    </xf>
    <xf numFmtId="168" fontId="14" fillId="32" borderId="52" xfId="0" applyNumberFormat="1" applyFont="1" applyFill="1" applyBorder="1" applyAlignment="1">
      <alignment horizontal="center" vertical="center" wrapText="1"/>
    </xf>
    <xf numFmtId="0" fontId="14" fillId="32" borderId="51" xfId="0" applyFont="1" applyFill="1" applyBorder="1" applyAlignment="1">
      <alignment horizontal="right" vertical="center" wrapText="1"/>
    </xf>
    <xf numFmtId="1" fontId="14" fillId="32" borderId="53" xfId="0" applyNumberFormat="1" applyFont="1" applyFill="1" applyBorder="1" applyAlignment="1">
      <alignment horizontal="right" vertical="center" wrapText="1"/>
    </xf>
    <xf numFmtId="0" fontId="14" fillId="31" borderId="54" xfId="0" applyFont="1" applyFill="1" applyBorder="1" applyAlignment="1">
      <alignment horizontal="center" vertical="center" wrapText="1"/>
    </xf>
    <xf numFmtId="166" fontId="14" fillId="31" borderId="42" xfId="0" applyNumberFormat="1" applyFont="1" applyFill="1" applyBorder="1" applyAlignment="1">
      <alignment horizontal="right" vertical="center" wrapText="1"/>
    </xf>
    <xf numFmtId="0" fontId="14" fillId="31" borderId="54" xfId="0" applyFont="1" applyFill="1" applyBorder="1" applyAlignment="1">
      <alignment horizontal="right" vertical="center" wrapText="1"/>
    </xf>
    <xf numFmtId="0" fontId="14" fillId="31" borderId="55" xfId="0" applyFont="1" applyFill="1" applyBorder="1" applyAlignment="1">
      <alignment horizontal="right" vertical="center" wrapText="1"/>
    </xf>
    <xf numFmtId="168" fontId="14" fillId="31" borderId="55" xfId="0" applyNumberFormat="1" applyFont="1" applyFill="1" applyBorder="1" applyAlignment="1">
      <alignment horizontal="center" vertical="center" wrapText="1"/>
    </xf>
    <xf numFmtId="0" fontId="14" fillId="31" borderId="42" xfId="0" applyFont="1" applyFill="1" applyBorder="1" applyAlignment="1">
      <alignment horizontal="right" vertical="center" wrapText="1"/>
    </xf>
    <xf numFmtId="1" fontId="14" fillId="31" borderId="56" xfId="0" applyNumberFormat="1" applyFont="1" applyFill="1" applyBorder="1" applyAlignment="1">
      <alignment horizontal="right" vertical="center" wrapText="1"/>
    </xf>
    <xf numFmtId="0" fontId="14" fillId="32" borderId="54" xfId="0" applyFont="1" applyFill="1" applyBorder="1" applyAlignment="1">
      <alignment horizontal="center" vertical="center" wrapText="1"/>
    </xf>
    <xf numFmtId="166" fontId="14" fillId="32" borderId="42" xfId="0" applyNumberFormat="1" applyFont="1" applyFill="1" applyBorder="1" applyAlignment="1">
      <alignment horizontal="right" vertical="center" wrapText="1"/>
    </xf>
    <xf numFmtId="0" fontId="14" fillId="32" borderId="54" xfId="0" applyFont="1" applyFill="1" applyBorder="1" applyAlignment="1">
      <alignment horizontal="right" vertical="center" wrapText="1"/>
    </xf>
    <xf numFmtId="0" fontId="14" fillId="32" borderId="55" xfId="0" applyFont="1" applyFill="1" applyBorder="1" applyAlignment="1">
      <alignment horizontal="right" vertical="center" wrapText="1"/>
    </xf>
    <xf numFmtId="168" fontId="14" fillId="32" borderId="55" xfId="0" applyNumberFormat="1" applyFont="1" applyFill="1" applyBorder="1" applyAlignment="1">
      <alignment horizontal="center" vertical="center" wrapText="1"/>
    </xf>
    <xf numFmtId="0" fontId="14" fillId="32" borderId="42" xfId="0" applyFont="1" applyFill="1" applyBorder="1" applyAlignment="1">
      <alignment horizontal="right" vertical="center" wrapText="1"/>
    </xf>
    <xf numFmtId="1" fontId="14" fillId="32" borderId="56" xfId="0" applyNumberFormat="1" applyFont="1" applyFill="1" applyBorder="1" applyAlignment="1">
      <alignment horizontal="right" vertical="center" wrapText="1"/>
    </xf>
    <xf numFmtId="169" fontId="14" fillId="31" borderId="55" xfId="0" applyNumberFormat="1" applyFont="1" applyFill="1" applyBorder="1" applyAlignment="1">
      <alignment horizontal="center" vertical="center" wrapText="1"/>
    </xf>
    <xf numFmtId="169" fontId="14" fillId="32" borderId="55" xfId="0" applyNumberFormat="1" applyFont="1" applyFill="1" applyBorder="1" applyAlignment="1">
      <alignment horizontal="center" vertical="center" wrapText="1"/>
    </xf>
    <xf numFmtId="170" fontId="14" fillId="31" borderId="55" xfId="0" applyNumberFormat="1" applyFont="1" applyFill="1" applyBorder="1" applyAlignment="1">
      <alignment horizontal="center" vertical="center" wrapText="1"/>
    </xf>
    <xf numFmtId="170" fontId="14" fillId="32" borderId="55" xfId="0" applyNumberFormat="1" applyFont="1" applyFill="1" applyBorder="1" applyAlignment="1">
      <alignment horizontal="center" vertical="center" wrapText="1"/>
    </xf>
    <xf numFmtId="171" fontId="14" fillId="31" borderId="55" xfId="0" applyNumberFormat="1" applyFont="1" applyFill="1" applyBorder="1" applyAlignment="1">
      <alignment horizontal="center" vertical="center" wrapText="1"/>
    </xf>
    <xf numFmtId="171" fontId="14" fillId="32" borderId="55" xfId="0" applyNumberFormat="1" applyFont="1" applyFill="1" applyBorder="1" applyAlignment="1">
      <alignment horizontal="center" vertical="center" wrapText="1"/>
    </xf>
    <xf numFmtId="49" fontId="14" fillId="32" borderId="55" xfId="0" applyNumberFormat="1" applyFont="1" applyFill="1" applyBorder="1" applyAlignment="1">
      <alignment horizontal="right" vertical="center" wrapText="1"/>
    </xf>
    <xf numFmtId="49" fontId="14" fillId="31" borderId="55" xfId="0" applyNumberFormat="1" applyFont="1" applyFill="1" applyBorder="1" applyAlignment="1">
      <alignment horizontal="right" vertical="center" wrapText="1"/>
    </xf>
    <xf numFmtId="174" fontId="14" fillId="32" borderId="42" xfId="0" applyNumberFormat="1" applyFont="1" applyFill="1" applyBorder="1" applyAlignment="1">
      <alignment horizontal="center" vertical="center" wrapText="1"/>
    </xf>
    <xf numFmtId="174" fontId="14" fillId="31" borderId="42" xfId="0" applyNumberFormat="1" applyFont="1" applyFill="1" applyBorder="1" applyAlignment="1">
      <alignment horizontal="center" vertical="center" wrapText="1"/>
    </xf>
    <xf numFmtId="167" fontId="14" fillId="31" borderId="55" xfId="0" applyNumberFormat="1" applyFont="1" applyFill="1" applyBorder="1" applyAlignment="1">
      <alignment horizontal="center" vertical="center" wrapText="1"/>
    </xf>
    <xf numFmtId="49" fontId="14" fillId="31" borderId="55" xfId="0" applyNumberFormat="1" applyFont="1" applyFill="1" applyBorder="1" applyAlignment="1">
      <alignment horizontal="center" vertical="center" wrapText="1"/>
    </xf>
    <xf numFmtId="167" fontId="14" fillId="32" borderId="55" xfId="0" applyNumberFormat="1" applyFont="1" applyFill="1" applyBorder="1" applyAlignment="1">
      <alignment horizontal="center" vertical="center" wrapText="1"/>
    </xf>
    <xf numFmtId="49" fontId="14" fillId="32" borderId="55" xfId="0" applyNumberFormat="1" applyFont="1" applyFill="1" applyBorder="1" applyAlignment="1">
      <alignment horizontal="center" vertical="center" wrapText="1"/>
    </xf>
    <xf numFmtId="173" fontId="14" fillId="31" borderId="55" xfId="0" applyNumberFormat="1" applyFont="1" applyFill="1" applyBorder="1" applyAlignment="1">
      <alignment horizontal="center" vertical="center" wrapText="1"/>
    </xf>
    <xf numFmtId="173" fontId="14" fillId="32" borderId="55" xfId="0" applyNumberFormat="1" applyFont="1" applyFill="1" applyBorder="1" applyAlignment="1">
      <alignment horizontal="center" vertical="center" wrapText="1"/>
    </xf>
    <xf numFmtId="0" fontId="14" fillId="32" borderId="57" xfId="0" applyFont="1" applyFill="1" applyBorder="1" applyAlignment="1">
      <alignment horizontal="center" vertical="center" wrapText="1"/>
    </xf>
    <xf numFmtId="0" fontId="14" fillId="32" borderId="46" xfId="0" applyFont="1" applyFill="1" applyBorder="1" applyAlignment="1">
      <alignment horizontal="right" vertical="center" wrapText="1"/>
    </xf>
    <xf numFmtId="0" fontId="14" fillId="32" borderId="57" xfId="0" applyFont="1" applyFill="1" applyBorder="1" applyAlignment="1">
      <alignment horizontal="right" vertical="center" wrapText="1"/>
    </xf>
    <xf numFmtId="167" fontId="14" fillId="32" borderId="58" xfId="0" applyNumberFormat="1" applyFont="1" applyFill="1" applyBorder="1" applyAlignment="1">
      <alignment horizontal="center" vertical="center" wrapText="1"/>
    </xf>
    <xf numFmtId="49" fontId="14" fillId="32" borderId="58" xfId="0" applyNumberFormat="1" applyFont="1" applyFill="1" applyBorder="1" applyAlignment="1">
      <alignment horizontal="center" vertical="center" wrapText="1"/>
    </xf>
    <xf numFmtId="0" fontId="14" fillId="32" borderId="58" xfId="0" applyFont="1" applyFill="1" applyBorder="1" applyAlignment="1">
      <alignment horizontal="right" vertical="center" wrapText="1"/>
    </xf>
    <xf numFmtId="173" fontId="14" fillId="32" borderId="58" xfId="0" applyNumberFormat="1" applyFont="1" applyFill="1" applyBorder="1" applyAlignment="1">
      <alignment horizontal="center" vertical="center" wrapText="1"/>
    </xf>
    <xf numFmtId="174" fontId="14" fillId="32" borderId="46" xfId="0" applyNumberFormat="1" applyFont="1" applyFill="1" applyBorder="1" applyAlignment="1">
      <alignment horizontal="center" vertical="center" wrapText="1"/>
    </xf>
    <xf numFmtId="1" fontId="14" fillId="32" borderId="59" xfId="0" applyNumberFormat="1" applyFont="1" applyFill="1" applyBorder="1" applyAlignment="1">
      <alignment horizontal="right" vertical="center" wrapText="1"/>
    </xf>
    <xf numFmtId="0" fontId="14" fillId="31" borderId="60" xfId="0" applyFont="1" applyFill="1" applyBorder="1" applyAlignment="1">
      <alignment horizontal="center" vertical="center" wrapText="1"/>
    </xf>
    <xf numFmtId="166" fontId="14" fillId="31" borderId="61" xfId="0" applyNumberFormat="1" applyFont="1" applyFill="1" applyBorder="1" applyAlignment="1">
      <alignment horizontal="right" vertical="center" wrapText="1"/>
    </xf>
    <xf numFmtId="0" fontId="14" fillId="31" borderId="60" xfId="0" applyFont="1" applyFill="1" applyBorder="1" applyAlignment="1">
      <alignment horizontal="right" vertical="center" wrapText="1"/>
    </xf>
    <xf numFmtId="0" fontId="14" fillId="31" borderId="62" xfId="0" applyFont="1" applyFill="1" applyBorder="1" applyAlignment="1">
      <alignment horizontal="right" vertical="center" wrapText="1"/>
    </xf>
    <xf numFmtId="49" fontId="14" fillId="31" borderId="62" xfId="0" applyNumberFormat="1" applyFont="1" applyFill="1" applyBorder="1" applyAlignment="1">
      <alignment horizontal="right" vertical="center" wrapText="1"/>
    </xf>
    <xf numFmtId="0" fontId="14" fillId="31" borderId="61" xfId="0" applyFont="1" applyFill="1" applyBorder="1" applyAlignment="1">
      <alignment horizontal="right" vertical="center" wrapText="1"/>
    </xf>
    <xf numFmtId="0" fontId="14" fillId="31" borderId="63" xfId="0" applyFont="1" applyFill="1" applyBorder="1" applyAlignment="1">
      <alignment horizontal="right" vertical="center" wrapText="1"/>
    </xf>
    <xf numFmtId="0" fontId="14" fillId="32" borderId="56" xfId="0" applyFont="1" applyFill="1" applyBorder="1" applyAlignment="1">
      <alignment horizontal="right" vertical="center" wrapText="1"/>
    </xf>
    <xf numFmtId="0" fontId="14" fillId="31" borderId="57" xfId="0" applyFont="1" applyFill="1" applyBorder="1" applyAlignment="1">
      <alignment horizontal="center" vertical="center" wrapText="1"/>
    </xf>
    <xf numFmtId="0" fontId="14" fillId="31" borderId="46" xfId="0" applyFont="1" applyFill="1" applyBorder="1" applyAlignment="1">
      <alignment horizontal="right" vertical="center" wrapText="1"/>
    </xf>
    <xf numFmtId="0" fontId="14" fillId="31" borderId="57" xfId="0" applyFont="1" applyFill="1" applyBorder="1" applyAlignment="1">
      <alignment horizontal="right" vertical="center" wrapText="1"/>
    </xf>
    <xf numFmtId="0" fontId="14" fillId="31" borderId="58" xfId="0" applyFont="1" applyFill="1" applyBorder="1" applyAlignment="1">
      <alignment horizontal="right" vertical="center" wrapText="1"/>
    </xf>
    <xf numFmtId="49" fontId="14" fillId="31" borderId="58" xfId="0" applyNumberFormat="1" applyFont="1" applyFill="1" applyBorder="1" applyAlignment="1">
      <alignment horizontal="right" vertical="center" wrapText="1"/>
    </xf>
    <xf numFmtId="0" fontId="14" fillId="31" borderId="64" xfId="0" applyFont="1" applyFill="1" applyBorder="1" applyAlignment="1">
      <alignment horizontal="center" vertical="center" wrapText="1"/>
    </xf>
    <xf numFmtId="166" fontId="14" fillId="31" borderId="65" xfId="0" applyNumberFormat="1" applyFont="1" applyFill="1" applyBorder="1" applyAlignment="1">
      <alignment horizontal="right" vertical="center" wrapText="1"/>
    </xf>
    <xf numFmtId="0" fontId="14" fillId="31" borderId="64" xfId="0" applyFont="1" applyFill="1" applyBorder="1" applyAlignment="1">
      <alignment horizontal="right" vertical="center" wrapText="1"/>
    </xf>
    <xf numFmtId="0" fontId="14" fillId="31" borderId="66" xfId="0" applyFont="1" applyFill="1" applyBorder="1" applyAlignment="1">
      <alignment horizontal="right" vertical="center" wrapText="1"/>
    </xf>
    <xf numFmtId="49" fontId="14" fillId="31" borderId="66" xfId="0" applyNumberFormat="1" applyFont="1" applyFill="1" applyBorder="1" applyAlignment="1">
      <alignment horizontal="right" vertical="center" wrapText="1"/>
    </xf>
    <xf numFmtId="0" fontId="14" fillId="31" borderId="65" xfId="0" applyFont="1" applyFill="1" applyBorder="1" applyAlignment="1">
      <alignment horizontal="right" vertical="center" wrapText="1"/>
    </xf>
    <xf numFmtId="0" fontId="14" fillId="0" borderId="2" xfId="0" applyFont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top"/>
    </xf>
    <xf numFmtId="0" fontId="14" fillId="0" borderId="2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7" fillId="27" borderId="9" xfId="0" applyFont="1" applyFill="1" applyBorder="1" applyAlignment="1">
      <alignment horizontal="center" vertical="center" wrapText="1"/>
    </xf>
    <xf numFmtId="0" fontId="17" fillId="28" borderId="9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4" borderId="9" xfId="0" applyFont="1" applyFill="1" applyBorder="1" applyAlignment="1">
      <alignment horizontal="center" vertical="center" wrapText="1"/>
    </xf>
    <xf numFmtId="0" fontId="17" fillId="25" borderId="9" xfId="0" applyFont="1" applyFill="1" applyBorder="1" applyAlignment="1">
      <alignment horizontal="center" vertical="center" wrapText="1"/>
    </xf>
    <xf numFmtId="0" fontId="17" fillId="26" borderId="9" xfId="0" applyFont="1" applyFill="1" applyBorder="1" applyAlignment="1">
      <alignment horizontal="center" vertical="center" wrapText="1"/>
    </xf>
    <xf numFmtId="0" fontId="17" fillId="20" borderId="9" xfId="0" applyFont="1" applyFill="1" applyBorder="1" applyAlignment="1">
      <alignment horizontal="center" vertical="center" wrapText="1"/>
    </xf>
    <xf numFmtId="0" fontId="17" fillId="21" borderId="9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17" fillId="1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19" borderId="9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 wrapText="1"/>
    </xf>
    <xf numFmtId="0" fontId="17" fillId="17" borderId="9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right" vertical="center" wrapText="1"/>
    </xf>
    <xf numFmtId="0" fontId="20" fillId="0" borderId="4" xfId="0" applyFont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17" fillId="20" borderId="10" xfId="0" applyFont="1" applyFill="1" applyBorder="1" applyAlignment="1">
      <alignment horizontal="center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24" borderId="10" xfId="0" applyFont="1" applyFill="1" applyBorder="1" applyAlignment="1">
      <alignment horizontal="center" vertical="center" wrapText="1"/>
    </xf>
    <xf numFmtId="0" fontId="17" fillId="10" borderId="36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7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17" fillId="30" borderId="37" xfId="0" applyFont="1" applyFill="1" applyBorder="1" applyAlignment="1">
      <alignment horizontal="center" vertical="center" wrapText="1"/>
    </xf>
    <xf numFmtId="0" fontId="17" fillId="30" borderId="18" xfId="0" applyFont="1" applyFill="1" applyBorder="1" applyAlignment="1">
      <alignment horizontal="center" vertical="center" wrapText="1"/>
    </xf>
    <xf numFmtId="0" fontId="17" fillId="30" borderId="17" xfId="0" applyFont="1" applyFill="1" applyBorder="1" applyAlignment="1">
      <alignment horizontal="center" vertical="center" wrapText="1"/>
    </xf>
    <xf numFmtId="0" fontId="17" fillId="30" borderId="36" xfId="0" applyFont="1" applyFill="1" applyBorder="1" applyAlignment="1">
      <alignment horizontal="center" vertical="center" wrapText="1"/>
    </xf>
    <xf numFmtId="0" fontId="17" fillId="30" borderId="35" xfId="0" applyFont="1" applyFill="1" applyBorder="1" applyAlignment="1">
      <alignment horizontal="center" vertical="center" wrapText="1"/>
    </xf>
    <xf numFmtId="0" fontId="17" fillId="32" borderId="19" xfId="0" applyFont="1" applyFill="1" applyBorder="1" applyAlignment="1">
      <alignment horizontal="center" vertical="center" wrapText="1"/>
    </xf>
    <xf numFmtId="0" fontId="31" fillId="32" borderId="32" xfId="0" applyFont="1" applyFill="1" applyBorder="1" applyAlignment="1">
      <alignment horizontal="center" vertical="center" wrapText="1"/>
    </xf>
    <xf numFmtId="0" fontId="31" fillId="32" borderId="34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4" fillId="32" borderId="60" xfId="0" applyFont="1" applyFill="1" applyBorder="1" applyAlignment="1">
      <alignment horizontal="center" vertical="center" wrapText="1"/>
    </xf>
    <xf numFmtId="166" fontId="14" fillId="32" borderId="61" xfId="0" applyNumberFormat="1" applyFont="1" applyFill="1" applyBorder="1" applyAlignment="1">
      <alignment horizontal="right" vertical="center" wrapText="1"/>
    </xf>
    <xf numFmtId="0" fontId="14" fillId="32" borderId="60" xfId="0" applyFont="1" applyFill="1" applyBorder="1" applyAlignment="1">
      <alignment horizontal="right" vertical="center" wrapText="1"/>
    </xf>
    <xf numFmtId="0" fontId="14" fillId="32" borderId="62" xfId="0" applyFont="1" applyFill="1" applyBorder="1" applyAlignment="1">
      <alignment horizontal="right" vertical="center" wrapText="1"/>
    </xf>
    <xf numFmtId="49" fontId="14" fillId="32" borderId="62" xfId="0" applyNumberFormat="1" applyFont="1" applyFill="1" applyBorder="1" applyAlignment="1">
      <alignment horizontal="right" vertical="center" wrapText="1"/>
    </xf>
    <xf numFmtId="174" fontId="14" fillId="32" borderId="61" xfId="0" applyNumberFormat="1" applyFont="1" applyFill="1" applyBorder="1" applyAlignment="1">
      <alignment horizontal="center" vertical="center" wrapText="1"/>
    </xf>
    <xf numFmtId="0" fontId="14" fillId="32" borderId="61" xfId="0" applyFont="1" applyFill="1" applyBorder="1" applyAlignment="1">
      <alignment horizontal="right" vertical="center" wrapText="1"/>
    </xf>
    <xf numFmtId="1" fontId="14" fillId="32" borderId="63" xfId="0" applyNumberFormat="1" applyFont="1" applyFill="1" applyBorder="1" applyAlignment="1">
      <alignment horizontal="right" vertical="center" wrapText="1"/>
    </xf>
    <xf numFmtId="0" fontId="14" fillId="32" borderId="64" xfId="0" applyFont="1" applyFill="1" applyBorder="1" applyAlignment="1">
      <alignment horizontal="center" vertical="center" wrapText="1"/>
    </xf>
    <xf numFmtId="166" fontId="14" fillId="32" borderId="65" xfId="0" applyNumberFormat="1" applyFont="1" applyFill="1" applyBorder="1" applyAlignment="1">
      <alignment horizontal="right" vertical="center" wrapText="1"/>
    </xf>
    <xf numFmtId="0" fontId="14" fillId="32" borderId="64" xfId="0" applyFont="1" applyFill="1" applyBorder="1" applyAlignment="1">
      <alignment horizontal="right" vertical="center" wrapText="1"/>
    </xf>
    <xf numFmtId="0" fontId="14" fillId="32" borderId="66" xfId="0" applyFont="1" applyFill="1" applyBorder="1" applyAlignment="1">
      <alignment horizontal="right" vertical="center" wrapText="1"/>
    </xf>
    <xf numFmtId="49" fontId="14" fillId="32" borderId="66" xfId="0" applyNumberFormat="1" applyFont="1" applyFill="1" applyBorder="1" applyAlignment="1">
      <alignment horizontal="right" vertical="center" wrapText="1"/>
    </xf>
    <xf numFmtId="0" fontId="14" fillId="32" borderId="65" xfId="0" applyFont="1" applyFill="1" applyBorder="1" applyAlignment="1">
      <alignment horizontal="right" vertical="center" wrapText="1"/>
    </xf>
    <xf numFmtId="1" fontId="14" fillId="32" borderId="67" xfId="0" applyNumberFormat="1" applyFont="1" applyFill="1" applyBorder="1" applyAlignment="1">
      <alignment horizontal="right" vertical="center" wrapText="1"/>
    </xf>
    <xf numFmtId="0" fontId="27" fillId="31" borderId="69" xfId="0" applyFont="1" applyFill="1" applyBorder="1" applyAlignment="1">
      <alignment horizontal="center" vertical="center" wrapText="1"/>
    </xf>
    <xf numFmtId="0" fontId="27" fillId="31" borderId="70" xfId="0" applyFont="1" applyFill="1" applyBorder="1" applyAlignment="1">
      <alignment horizontal="right" vertical="center" wrapText="1"/>
    </xf>
    <xf numFmtId="0" fontId="27" fillId="31" borderId="69" xfId="0" applyFont="1" applyFill="1" applyBorder="1" applyAlignment="1">
      <alignment horizontal="right" vertical="center" wrapText="1"/>
    </xf>
    <xf numFmtId="0" fontId="27" fillId="31" borderId="71" xfId="0" applyFont="1" applyFill="1" applyBorder="1" applyAlignment="1">
      <alignment horizontal="right" vertical="center" wrapText="1"/>
    </xf>
    <xf numFmtId="172" fontId="27" fillId="31" borderId="71" xfId="0" applyNumberFormat="1" applyFont="1" applyFill="1" applyBorder="1" applyAlignment="1">
      <alignment horizontal="right" vertical="center" wrapText="1"/>
    </xf>
    <xf numFmtId="1" fontId="27" fillId="31" borderId="68" xfId="0" applyNumberFormat="1" applyFont="1" applyFill="1" applyBorder="1" applyAlignment="1">
      <alignment horizontal="right" vertical="center" wrapText="1"/>
    </xf>
    <xf numFmtId="0" fontId="28" fillId="32" borderId="72" xfId="0" applyFont="1" applyFill="1" applyBorder="1" applyAlignment="1">
      <alignment horizontal="center" vertical="center" wrapText="1"/>
    </xf>
    <xf numFmtId="1" fontId="28" fillId="32" borderId="73" xfId="0" applyNumberFormat="1" applyFont="1" applyFill="1" applyBorder="1" applyAlignment="1">
      <alignment horizontal="center" vertical="center"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onditionalStyle_1" xfId="11" xr:uid="{00000000-0005-0000-0000-000005000000}"/>
    <cellStyle name="Error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4">
    <dxf>
      <font>
        <color rgb="FF000000"/>
      </font>
      <fill>
        <patternFill patternType="solid">
          <fgColor rgb="FFC9DAF8"/>
          <bgColor theme="4" tint="0.59996337778862885"/>
        </patternFill>
      </fill>
    </dxf>
    <dxf>
      <font>
        <color rgb="FF000000"/>
      </font>
      <fill>
        <patternFill patternType="solid">
          <fgColor rgb="FFC9DAF8"/>
          <bgColor rgb="FFD4DDF0"/>
        </patternFill>
      </fill>
    </dxf>
    <dxf>
      <font>
        <color rgb="FF000000"/>
      </font>
      <fill>
        <patternFill patternType="solid">
          <fgColor rgb="FFC9DAF8"/>
          <bgColor theme="4" tint="0.59996337778862885"/>
        </patternFill>
      </fill>
    </dxf>
    <dxf>
      <font>
        <color rgb="FF000000"/>
      </font>
      <fill>
        <patternFill patternType="solid">
          <fgColor rgb="FFC9DAF8"/>
          <bgColor rgb="FFD4DDF0"/>
        </patternFill>
      </fill>
    </dxf>
  </dxfs>
  <tableStyles count="0" defaultTableStyle="TableStyleMedium2" defaultPivotStyle="PivotStyleLight16"/>
  <colors>
    <mruColors>
      <color rgb="FFD4DDF0"/>
      <color rgb="FFCED8EE"/>
      <color rgb="FFDDE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410C3DF9-F477-5475-7A09-A2B82537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47725" cy="8477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0</xdr:row>
      <xdr:rowOff>0</xdr:rowOff>
    </xdr:from>
    <xdr:to>
      <xdr:col>0</xdr:col>
      <xdr:colOff>4191000</xdr:colOff>
      <xdr:row>1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3CBAC60C-F29E-76A7-4815-21EA188F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238500" y="0"/>
          <a:ext cx="952500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2FB65304-A5D2-3812-45CB-4571BF09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9DB0F475-C5DC-A87C-3152-8B02E460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1EA5FAA2-00F2-8F57-EE59-FCDA2737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2BA3CC6C-5ED7-BD66-5EA7-0971C835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CD444E0A-E528-EEC8-6327-2AA7BA5EB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855486</xdr:colOff>
      <xdr:row>2</xdr:row>
      <xdr:rowOff>2790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B0DB50E4-E8EE-CF0C-7A3C-903DA47EC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5486" cy="860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0E27B105-7D3B-73C6-B587-F4ADE5B1B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743C5DCC-59DB-0962-0500-16FCA434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creativecommons.org/licenses/by-nc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showGridLines="0" workbookViewId="0">
      <selection sqref="A1:A2"/>
    </sheetView>
  </sheetViews>
  <sheetFormatPr defaultRowHeight="15.75" customHeight="1"/>
  <cols>
    <col min="1" max="1" width="16.625" style="1" customWidth="1"/>
    <col min="2" max="3" width="8.375" style="1" customWidth="1"/>
    <col min="4" max="4" width="2.5" style="1" customWidth="1"/>
    <col min="5" max="5" width="6.875" style="1" customWidth="1"/>
    <col min="6" max="7" width="8.375" style="1" customWidth="1"/>
    <col min="8" max="8" width="2.5" style="1" customWidth="1"/>
    <col min="9" max="9" width="44.625" style="1" customWidth="1"/>
    <col min="10" max="10" width="13.625" style="1" customWidth="1"/>
    <col min="11" max="1024" width="9.75" style="1" customWidth="1"/>
    <col min="1025" max="16384" width="9" style="1"/>
  </cols>
  <sheetData>
    <row r="1" spans="1:10" ht="22.5" customHeight="1">
      <c r="A1" s="219"/>
      <c r="B1" s="220" t="s">
        <v>0</v>
      </c>
      <c r="C1" s="220"/>
      <c r="D1" s="220"/>
      <c r="E1" s="220"/>
      <c r="F1" s="220"/>
      <c r="G1" s="220"/>
      <c r="H1" s="220"/>
      <c r="I1" s="220"/>
      <c r="J1" s="2"/>
    </row>
    <row r="2" spans="1:10" ht="45" customHeight="1">
      <c r="A2" s="219"/>
      <c r="B2" s="221" t="s">
        <v>1</v>
      </c>
      <c r="C2" s="221"/>
      <c r="D2" s="221"/>
      <c r="E2" s="221"/>
      <c r="F2" s="221"/>
      <c r="G2" s="221"/>
      <c r="H2" s="221"/>
      <c r="I2" s="221"/>
      <c r="J2" s="3"/>
    </row>
    <row r="3" spans="1:10" ht="14.25">
      <c r="A3" s="4"/>
      <c r="B3" s="5"/>
      <c r="C3" s="5"/>
      <c r="D3" s="5"/>
      <c r="E3" s="5"/>
      <c r="F3" s="5"/>
      <c r="G3" s="5"/>
      <c r="H3" s="5"/>
      <c r="I3" s="5"/>
      <c r="J3" s="5"/>
    </row>
    <row r="4" spans="1:10" ht="14.25">
      <c r="A4" s="16" t="s">
        <v>2</v>
      </c>
      <c r="B4" s="222"/>
      <c r="C4" s="222"/>
      <c r="D4" s="222"/>
      <c r="E4" s="222"/>
      <c r="F4" s="222"/>
      <c r="G4" s="222"/>
      <c r="H4" s="5"/>
      <c r="I4" s="214" t="s">
        <v>3</v>
      </c>
      <c r="J4" s="214"/>
    </row>
    <row r="5" spans="1:10" ht="14.25">
      <c r="A5" s="16" t="s">
        <v>4</v>
      </c>
      <c r="B5" s="222"/>
      <c r="C5" s="222"/>
      <c r="D5" s="222"/>
      <c r="E5" s="222"/>
      <c r="F5" s="222"/>
      <c r="G5" s="222"/>
      <c r="H5" s="5"/>
      <c r="I5" s="216"/>
      <c r="J5" s="216"/>
    </row>
    <row r="6" spans="1:10" ht="14.25">
      <c r="A6" s="16" t="s">
        <v>5</v>
      </c>
      <c r="B6" s="222"/>
      <c r="C6" s="222"/>
      <c r="D6" s="222"/>
      <c r="E6" s="222"/>
      <c r="F6" s="222"/>
      <c r="G6" s="222"/>
      <c r="H6" s="5"/>
      <c r="I6" s="216"/>
      <c r="J6" s="216"/>
    </row>
    <row r="7" spans="1:10" ht="14.25">
      <c r="A7" s="16" t="s">
        <v>6</v>
      </c>
      <c r="B7" s="222"/>
      <c r="C7" s="222"/>
      <c r="D7" s="222"/>
      <c r="E7" s="222"/>
      <c r="F7" s="222"/>
      <c r="G7" s="222"/>
      <c r="H7" s="5"/>
      <c r="I7" s="216"/>
      <c r="J7" s="216"/>
    </row>
    <row r="8" spans="1:10" ht="14.25">
      <c r="A8" s="16" t="s">
        <v>7</v>
      </c>
      <c r="B8" s="223"/>
      <c r="C8" s="223"/>
      <c r="D8" s="223"/>
      <c r="E8" s="223"/>
      <c r="F8" s="223"/>
      <c r="G8" s="223"/>
      <c r="H8" s="5"/>
      <c r="I8" s="216"/>
      <c r="J8" s="216"/>
    </row>
    <row r="9" spans="1:10" ht="14.25">
      <c r="A9" s="16" t="s">
        <v>8</v>
      </c>
      <c r="B9" s="7">
        <v>1</v>
      </c>
      <c r="C9" s="5"/>
      <c r="D9" s="5"/>
      <c r="E9" s="5"/>
      <c r="F9" s="5"/>
      <c r="G9" s="5"/>
      <c r="H9" s="8"/>
      <c r="I9" s="216"/>
      <c r="J9" s="216"/>
    </row>
    <row r="10" spans="1:10" ht="14.25">
      <c r="A10" s="9"/>
      <c r="B10" s="10"/>
      <c r="C10" s="10"/>
      <c r="D10" s="10"/>
      <c r="E10" s="10"/>
      <c r="F10" s="10"/>
      <c r="G10" s="10"/>
      <c r="H10" s="10"/>
      <c r="I10" s="216"/>
      <c r="J10" s="216"/>
    </row>
    <row r="11" spans="1:10" ht="14.25">
      <c r="A11" s="10"/>
      <c r="B11" s="17" t="s">
        <v>9</v>
      </c>
      <c r="C11" s="17" t="s">
        <v>10</v>
      </c>
      <c r="D11" s="8"/>
      <c r="E11" s="4"/>
      <c r="F11" s="17" t="s">
        <v>11</v>
      </c>
      <c r="G11" s="17" t="s">
        <v>12</v>
      </c>
      <c r="H11" s="8"/>
      <c r="I11" s="216"/>
      <c r="J11" s="216"/>
    </row>
    <row r="12" spans="1:10" ht="14.25">
      <c r="A12" s="16" t="s">
        <v>13</v>
      </c>
      <c r="B12" s="11"/>
      <c r="C12" s="12">
        <f>_xlfn.SINGLE(charStats_level)*25</f>
        <v>25</v>
      </c>
      <c r="D12" s="8"/>
      <c r="E12" s="16" t="s">
        <v>14</v>
      </c>
      <c r="F12" s="11">
        <v>0</v>
      </c>
      <c r="G12" s="12"/>
      <c r="H12" s="8"/>
      <c r="I12" s="216"/>
      <c r="J12" s="216"/>
    </row>
    <row r="13" spans="1:10" ht="14.25">
      <c r="A13" s="16" t="s">
        <v>15</v>
      </c>
      <c r="B13" s="11"/>
      <c r="C13" s="12">
        <f>_xlfn.SINGLE(charStats_level)*25</f>
        <v>25</v>
      </c>
      <c r="D13" s="8"/>
      <c r="E13" s="16" t="s">
        <v>16</v>
      </c>
      <c r="F13" s="7">
        <v>0</v>
      </c>
      <c r="G13" s="6"/>
      <c r="H13" s="8"/>
      <c r="I13" s="216"/>
      <c r="J13" s="216"/>
    </row>
    <row r="14" spans="1:10" ht="14.25" customHeight="1">
      <c r="A14" s="16" t="s">
        <v>17</v>
      </c>
      <c r="B14" s="11"/>
      <c r="C14" s="12">
        <f>_xlfn.SINGLE(charStats_level)*25</f>
        <v>25</v>
      </c>
      <c r="D14" s="8"/>
      <c r="E14" s="16" t="s">
        <v>18</v>
      </c>
      <c r="F14" s="7">
        <v>0</v>
      </c>
      <c r="G14" s="6"/>
      <c r="H14" s="8"/>
      <c r="I14" s="216"/>
      <c r="J14" s="216"/>
    </row>
    <row r="15" spans="1:10" ht="14.25">
      <c r="A15" s="16" t="s">
        <v>19</v>
      </c>
      <c r="B15" s="11"/>
      <c r="C15" s="6">
        <v>0</v>
      </c>
      <c r="D15" s="8"/>
      <c r="E15" s="16" t="s">
        <v>20</v>
      </c>
      <c r="F15" s="7">
        <v>0</v>
      </c>
      <c r="G15" s="8"/>
      <c r="H15" s="8"/>
      <c r="I15" s="216"/>
      <c r="J15" s="216"/>
    </row>
    <row r="16" spans="1:10" ht="14.25" customHeight="1">
      <c r="A16" s="16" t="s">
        <v>21</v>
      </c>
      <c r="B16" s="11"/>
      <c r="C16" s="6">
        <v>0</v>
      </c>
      <c r="D16" s="8"/>
      <c r="E16" s="16" t="s">
        <v>22</v>
      </c>
      <c r="F16" s="7">
        <v>0</v>
      </c>
      <c r="G16" s="8"/>
      <c r="H16" s="8"/>
      <c r="I16" s="216"/>
      <c r="J16" s="216"/>
    </row>
    <row r="17" spans="1:10" ht="14.25" customHeight="1">
      <c r="A17" s="16" t="s">
        <v>23</v>
      </c>
      <c r="B17" s="7"/>
      <c r="C17" s="6">
        <v>0</v>
      </c>
      <c r="D17" s="8"/>
      <c r="E17" s="8"/>
      <c r="F17" s="8"/>
      <c r="G17" s="8"/>
      <c r="H17" s="8"/>
      <c r="I17" s="216"/>
      <c r="J17" s="216"/>
    </row>
    <row r="18" spans="1:10" ht="14.25">
      <c r="A18" s="4"/>
      <c r="B18" s="8"/>
      <c r="C18" s="8"/>
      <c r="D18" s="8"/>
      <c r="E18" s="8"/>
      <c r="F18" s="8"/>
      <c r="G18" s="8"/>
      <c r="H18" s="8"/>
      <c r="I18" s="8"/>
      <c r="J18" s="8"/>
    </row>
    <row r="19" spans="1:10" ht="14.25">
      <c r="A19" s="214" t="s">
        <v>24</v>
      </c>
      <c r="B19" s="214"/>
      <c r="C19" s="214"/>
      <c r="D19" s="214"/>
      <c r="E19" s="214"/>
      <c r="F19" s="214"/>
      <c r="G19" s="214"/>
      <c r="H19" s="214"/>
      <c r="I19" s="214"/>
      <c r="J19" s="214"/>
    </row>
    <row r="20" spans="1:10" ht="14.25">
      <c r="A20" s="17" t="s">
        <v>25</v>
      </c>
      <c r="B20" s="17" t="s">
        <v>26</v>
      </c>
      <c r="C20" s="17" t="s">
        <v>27</v>
      </c>
      <c r="D20" s="214" t="s">
        <v>28</v>
      </c>
      <c r="E20" s="214"/>
      <c r="F20" s="214" t="s">
        <v>29</v>
      </c>
      <c r="G20" s="214"/>
      <c r="H20" s="214"/>
      <c r="I20" s="214" t="s">
        <v>3</v>
      </c>
      <c r="J20" s="214"/>
    </row>
    <row r="21" spans="1:10" ht="14.25">
      <c r="A21" s="13"/>
      <c r="B21" s="12"/>
      <c r="C21" s="12"/>
      <c r="D21" s="218"/>
      <c r="E21" s="218"/>
      <c r="F21" s="218"/>
      <c r="G21" s="218"/>
      <c r="H21" s="218"/>
      <c r="I21" s="218"/>
      <c r="J21" s="218"/>
    </row>
    <row r="22" spans="1:10" ht="14.25">
      <c r="A22" s="14"/>
      <c r="B22" s="6"/>
      <c r="C22" s="6"/>
      <c r="D22" s="217"/>
      <c r="E22" s="217"/>
      <c r="F22" s="217"/>
      <c r="G22" s="217"/>
      <c r="H22" s="217"/>
      <c r="I22" s="217"/>
      <c r="J22" s="217"/>
    </row>
    <row r="23" spans="1:10" ht="14.25">
      <c r="A23" s="14"/>
      <c r="B23" s="6"/>
      <c r="C23" s="6"/>
      <c r="D23" s="217"/>
      <c r="E23" s="217"/>
      <c r="F23" s="217"/>
      <c r="G23" s="217"/>
      <c r="H23" s="217"/>
      <c r="I23" s="217"/>
      <c r="J23" s="217"/>
    </row>
    <row r="24" spans="1:10" ht="14.25">
      <c r="A24" s="14"/>
      <c r="B24" s="6"/>
      <c r="C24" s="6"/>
      <c r="D24" s="217"/>
      <c r="E24" s="217"/>
      <c r="F24" s="217"/>
      <c r="G24" s="217"/>
      <c r="H24" s="217"/>
      <c r="I24" s="217"/>
      <c r="J24" s="217"/>
    </row>
    <row r="25" spans="1:10" ht="14.25">
      <c r="A25" s="14"/>
      <c r="B25" s="6"/>
      <c r="C25" s="6"/>
      <c r="D25" s="217"/>
      <c r="E25" s="217"/>
      <c r="F25" s="217"/>
      <c r="G25" s="217"/>
      <c r="H25" s="217"/>
      <c r="I25" s="217"/>
      <c r="J25" s="217"/>
    </row>
    <row r="26" spans="1:10" ht="14.25">
      <c r="A26" s="14"/>
      <c r="B26" s="6"/>
      <c r="C26" s="6"/>
      <c r="D26" s="217"/>
      <c r="E26" s="217"/>
      <c r="F26" s="217"/>
      <c r="G26" s="217"/>
      <c r="H26" s="217"/>
      <c r="I26" s="217"/>
      <c r="J26" s="217"/>
    </row>
    <row r="27" spans="1:10" ht="14.25">
      <c r="A27" s="14"/>
      <c r="B27" s="6"/>
      <c r="C27" s="6"/>
      <c r="D27" s="217"/>
      <c r="E27" s="217"/>
      <c r="F27" s="217"/>
      <c r="G27" s="217"/>
      <c r="H27" s="217"/>
      <c r="I27" s="217"/>
      <c r="J27" s="217"/>
    </row>
    <row r="28" spans="1:10" ht="14.25">
      <c r="A28" s="14"/>
      <c r="B28" s="6"/>
      <c r="C28" s="6"/>
      <c r="D28" s="217"/>
      <c r="E28" s="217"/>
      <c r="F28" s="217"/>
      <c r="G28" s="217"/>
      <c r="H28" s="217"/>
      <c r="I28" s="217"/>
      <c r="J28" s="217"/>
    </row>
    <row r="29" spans="1:10" ht="14.25">
      <c r="A29" s="14"/>
      <c r="B29" s="6"/>
      <c r="C29" s="6"/>
      <c r="D29" s="217"/>
      <c r="E29" s="217"/>
      <c r="F29" s="217"/>
      <c r="G29" s="217"/>
      <c r="H29" s="217"/>
      <c r="I29" s="217"/>
      <c r="J29" s="217"/>
    </row>
    <row r="30" spans="1:10" ht="14.25">
      <c r="A30" s="14"/>
      <c r="B30" s="6"/>
      <c r="C30" s="6"/>
      <c r="D30" s="217"/>
      <c r="E30" s="217"/>
      <c r="F30" s="217"/>
      <c r="G30" s="217"/>
      <c r="H30" s="217"/>
      <c r="I30" s="217"/>
      <c r="J30" s="217"/>
    </row>
    <row r="31" spans="1:10" ht="14.25">
      <c r="A31" s="15"/>
      <c r="B31" s="8"/>
      <c r="C31" s="8"/>
      <c r="D31" s="8"/>
      <c r="E31" s="8"/>
      <c r="F31" s="8"/>
      <c r="G31" s="8"/>
      <c r="H31" s="8"/>
      <c r="I31" s="8"/>
      <c r="J31" s="8"/>
    </row>
    <row r="32" spans="1:10" ht="14.25">
      <c r="A32" s="214" t="s">
        <v>30</v>
      </c>
      <c r="B32" s="214"/>
      <c r="C32" s="214"/>
      <c r="D32" s="214"/>
      <c r="E32" s="214"/>
      <c r="F32" s="214"/>
      <c r="G32" s="214"/>
      <c r="H32" s="214"/>
      <c r="I32" s="214"/>
      <c r="J32" s="214"/>
    </row>
    <row r="33" spans="1:10" ht="14.25">
      <c r="A33" s="17" t="s">
        <v>25</v>
      </c>
      <c r="B33" s="17" t="s">
        <v>26</v>
      </c>
      <c r="C33" s="17" t="s">
        <v>27</v>
      </c>
      <c r="D33" s="214" t="s">
        <v>28</v>
      </c>
      <c r="E33" s="214"/>
      <c r="F33" s="214" t="s">
        <v>31</v>
      </c>
      <c r="G33" s="214"/>
      <c r="H33" s="214"/>
      <c r="I33" s="214" t="s">
        <v>3</v>
      </c>
      <c r="J33" s="214"/>
    </row>
    <row r="34" spans="1:10" ht="14.25">
      <c r="A34" s="13"/>
      <c r="B34" s="12"/>
      <c r="C34" s="12"/>
      <c r="D34" s="218"/>
      <c r="E34" s="218"/>
      <c r="F34" s="218"/>
      <c r="G34" s="218"/>
      <c r="H34" s="218"/>
      <c r="I34" s="218"/>
      <c r="J34" s="218"/>
    </row>
    <row r="35" spans="1:10" ht="14.25">
      <c r="A35" s="14"/>
      <c r="B35" s="6"/>
      <c r="C35" s="6"/>
      <c r="D35" s="217"/>
      <c r="E35" s="217"/>
      <c r="F35" s="217"/>
      <c r="G35" s="217"/>
      <c r="H35" s="217"/>
      <c r="I35" s="217"/>
      <c r="J35" s="217"/>
    </row>
    <row r="36" spans="1:10" ht="14.25">
      <c r="A36" s="14"/>
      <c r="B36" s="6"/>
      <c r="C36" s="6"/>
      <c r="D36" s="217"/>
      <c r="E36" s="217"/>
      <c r="F36" s="217"/>
      <c r="G36" s="217"/>
      <c r="H36" s="217"/>
      <c r="I36" s="217"/>
      <c r="J36" s="217"/>
    </row>
    <row r="37" spans="1:10" ht="14.25">
      <c r="A37" s="14"/>
      <c r="B37" s="6"/>
      <c r="C37" s="6"/>
      <c r="D37" s="217"/>
      <c r="E37" s="217"/>
      <c r="F37" s="217"/>
      <c r="G37" s="217"/>
      <c r="H37" s="217"/>
      <c r="I37" s="217"/>
      <c r="J37" s="217"/>
    </row>
    <row r="38" spans="1:10" ht="14.25">
      <c r="A38" s="14"/>
      <c r="B38" s="6"/>
      <c r="C38" s="6"/>
      <c r="D38" s="217"/>
      <c r="E38" s="217"/>
      <c r="F38" s="217"/>
      <c r="G38" s="217"/>
      <c r="H38" s="217"/>
      <c r="I38" s="217"/>
      <c r="J38" s="217"/>
    </row>
    <row r="39" spans="1:10" ht="14.25">
      <c r="A39" s="14"/>
      <c r="B39" s="6"/>
      <c r="C39" s="6"/>
      <c r="D39" s="217"/>
      <c r="E39" s="217"/>
      <c r="F39" s="217"/>
      <c r="G39" s="217"/>
      <c r="H39" s="217"/>
      <c r="I39" s="217"/>
      <c r="J39" s="217"/>
    </row>
    <row r="40" spans="1:10" ht="14.25">
      <c r="A40" s="14"/>
      <c r="B40" s="6"/>
      <c r="C40" s="6"/>
      <c r="D40" s="217"/>
      <c r="E40" s="217"/>
      <c r="F40" s="217"/>
      <c r="G40" s="217"/>
      <c r="H40" s="217"/>
      <c r="I40" s="217"/>
      <c r="J40" s="217"/>
    </row>
    <row r="41" spans="1:10" ht="14.25">
      <c r="A41" s="14"/>
      <c r="B41" s="6"/>
      <c r="C41" s="6"/>
      <c r="D41" s="217"/>
      <c r="E41" s="217"/>
      <c r="F41" s="217"/>
      <c r="G41" s="217"/>
      <c r="H41" s="217"/>
      <c r="I41" s="217"/>
      <c r="J41" s="217"/>
    </row>
    <row r="42" spans="1:10" ht="14.25">
      <c r="A42" s="14"/>
      <c r="B42" s="6"/>
      <c r="C42" s="6"/>
      <c r="D42" s="217"/>
      <c r="E42" s="217"/>
      <c r="F42" s="217"/>
      <c r="G42" s="217"/>
      <c r="H42" s="217"/>
      <c r="I42" s="217"/>
      <c r="J42" s="217"/>
    </row>
    <row r="43" spans="1:10" ht="14.25">
      <c r="A43" s="14"/>
      <c r="B43" s="6"/>
      <c r="C43" s="6"/>
      <c r="D43" s="217"/>
      <c r="E43" s="217"/>
      <c r="F43" s="217"/>
      <c r="G43" s="217"/>
      <c r="H43" s="217"/>
      <c r="I43" s="217"/>
      <c r="J43" s="217"/>
    </row>
    <row r="44" spans="1:10" ht="14.25">
      <c r="A44" s="15"/>
      <c r="B44" s="8"/>
      <c r="C44" s="8"/>
      <c r="D44" s="8"/>
      <c r="E44" s="8"/>
      <c r="F44" s="8"/>
      <c r="G44" s="8"/>
      <c r="H44" s="8"/>
      <c r="I44" s="8"/>
      <c r="J44" s="8"/>
    </row>
    <row r="45" spans="1:10" ht="14.25">
      <c r="A45" s="214" t="s">
        <v>32</v>
      </c>
      <c r="B45" s="214"/>
      <c r="C45" s="214"/>
      <c r="D45" s="214"/>
      <c r="E45" s="214"/>
      <c r="F45" s="214"/>
      <c r="G45" s="214"/>
      <c r="H45" s="214"/>
      <c r="I45" s="214"/>
      <c r="J45" s="214"/>
    </row>
    <row r="46" spans="1:10" ht="14.25">
      <c r="A46" s="17" t="s">
        <v>33</v>
      </c>
      <c r="B46" s="215"/>
      <c r="C46" s="215"/>
      <c r="D46" s="215"/>
      <c r="E46" s="215"/>
      <c r="F46" s="215"/>
      <c r="G46" s="215"/>
      <c r="H46" s="215"/>
      <c r="I46" s="215"/>
      <c r="J46" s="215"/>
    </row>
    <row r="47" spans="1:10" ht="14.25">
      <c r="A47" s="216"/>
      <c r="B47" s="216"/>
      <c r="C47" s="216"/>
      <c r="D47" s="216"/>
      <c r="E47" s="216"/>
      <c r="F47" s="216"/>
      <c r="G47" s="216"/>
      <c r="H47" s="216"/>
      <c r="I47" s="216"/>
      <c r="J47" s="216"/>
    </row>
    <row r="48" spans="1:10" ht="14.25">
      <c r="A48" s="212"/>
      <c r="B48" s="212"/>
      <c r="C48" s="212"/>
      <c r="D48" s="212"/>
      <c r="E48" s="212"/>
      <c r="F48" s="212"/>
      <c r="G48" s="212"/>
      <c r="H48" s="212"/>
      <c r="I48" s="212"/>
      <c r="J48" s="212"/>
    </row>
    <row r="49" spans="1:10" ht="14.25">
      <c r="A49" s="212"/>
      <c r="B49" s="212"/>
      <c r="C49" s="212"/>
      <c r="D49" s="212"/>
      <c r="E49" s="212"/>
      <c r="F49" s="212"/>
      <c r="G49" s="212"/>
      <c r="H49" s="212"/>
      <c r="I49" s="212"/>
      <c r="J49" s="212"/>
    </row>
    <row r="50" spans="1:10" ht="14.25">
      <c r="A50" s="212"/>
      <c r="B50" s="212"/>
      <c r="C50" s="212"/>
      <c r="D50" s="212"/>
      <c r="E50" s="212"/>
      <c r="F50" s="212"/>
      <c r="G50" s="212"/>
      <c r="H50" s="212"/>
      <c r="I50" s="212"/>
      <c r="J50" s="212"/>
    </row>
    <row r="51" spans="1:10" ht="14.25">
      <c r="A51" s="212"/>
      <c r="B51" s="212"/>
      <c r="C51" s="212"/>
      <c r="D51" s="212"/>
      <c r="E51" s="212"/>
      <c r="F51" s="212"/>
      <c r="G51" s="212"/>
      <c r="H51" s="212"/>
      <c r="I51" s="212"/>
      <c r="J51" s="212"/>
    </row>
    <row r="52" spans="1:10" ht="14.25">
      <c r="A52" s="212"/>
      <c r="B52" s="212"/>
      <c r="C52" s="212"/>
      <c r="D52" s="212"/>
      <c r="E52" s="212"/>
      <c r="F52" s="212"/>
      <c r="G52" s="212"/>
      <c r="H52" s="212"/>
      <c r="I52" s="212"/>
      <c r="J52" s="212"/>
    </row>
    <row r="53" spans="1:10" ht="14.25">
      <c r="A53" s="212"/>
      <c r="B53" s="212"/>
      <c r="C53" s="212"/>
      <c r="D53" s="212"/>
      <c r="E53" s="212"/>
      <c r="F53" s="212"/>
      <c r="G53" s="212"/>
      <c r="H53" s="212"/>
      <c r="I53" s="212"/>
      <c r="J53" s="212"/>
    </row>
    <row r="54" spans="1:10" ht="14.25">
      <c r="A54" s="212"/>
      <c r="B54" s="212"/>
      <c r="C54" s="212"/>
      <c r="D54" s="212"/>
      <c r="E54" s="212"/>
      <c r="F54" s="212"/>
      <c r="G54" s="212"/>
      <c r="H54" s="212"/>
      <c r="I54" s="212"/>
      <c r="J54" s="212"/>
    </row>
    <row r="55" spans="1:10" ht="14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</row>
    <row r="56" spans="1:10" ht="14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</row>
    <row r="57" spans="1:10" ht="14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</row>
    <row r="58" spans="1:10" ht="14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</row>
    <row r="59" spans="1:10" ht="14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</row>
    <row r="60" spans="1:10" ht="14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</row>
    <row r="61" spans="1:10" ht="14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</row>
    <row r="62" spans="1:10" ht="14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</row>
    <row r="63" spans="1:10" ht="14.25">
      <c r="A63" s="212"/>
      <c r="B63" s="212"/>
      <c r="C63" s="212"/>
      <c r="D63" s="212"/>
      <c r="E63" s="212"/>
      <c r="F63" s="212"/>
      <c r="G63" s="212"/>
      <c r="H63" s="212"/>
      <c r="I63" s="212"/>
      <c r="J63" s="212"/>
    </row>
    <row r="64" spans="1:10" ht="14.25">
      <c r="A64" s="212"/>
      <c r="B64" s="212"/>
      <c r="C64" s="212"/>
      <c r="D64" s="212"/>
      <c r="E64" s="212"/>
      <c r="F64" s="212"/>
      <c r="G64" s="212"/>
      <c r="H64" s="212"/>
      <c r="I64" s="212"/>
      <c r="J64" s="212"/>
    </row>
    <row r="65" spans="1:10" ht="14.25">
      <c r="A65" s="212"/>
      <c r="B65" s="212"/>
      <c r="C65" s="212"/>
      <c r="D65" s="212"/>
      <c r="E65" s="212"/>
      <c r="F65" s="212"/>
      <c r="G65" s="212"/>
      <c r="H65" s="212"/>
      <c r="I65" s="212"/>
      <c r="J65" s="212"/>
    </row>
    <row r="66" spans="1:10" ht="14.25">
      <c r="A66" s="212"/>
      <c r="B66" s="212"/>
      <c r="C66" s="212"/>
      <c r="D66" s="212"/>
      <c r="E66" s="212"/>
      <c r="F66" s="212"/>
      <c r="G66" s="212"/>
      <c r="H66" s="212"/>
      <c r="I66" s="212"/>
      <c r="J66" s="212"/>
    </row>
    <row r="67" spans="1:10" ht="14.25">
      <c r="A67" s="212"/>
      <c r="B67" s="212"/>
      <c r="C67" s="212"/>
      <c r="D67" s="212"/>
      <c r="E67" s="212"/>
      <c r="F67" s="212"/>
      <c r="G67" s="212"/>
      <c r="H67" s="212"/>
      <c r="I67" s="212"/>
      <c r="J67" s="212"/>
    </row>
    <row r="68" spans="1:10" ht="14.25">
      <c r="A68" s="212"/>
      <c r="B68" s="212"/>
      <c r="C68" s="212"/>
      <c r="D68" s="212"/>
      <c r="E68" s="212"/>
      <c r="F68" s="212"/>
      <c r="G68" s="212"/>
      <c r="H68" s="212"/>
      <c r="I68" s="212"/>
      <c r="J68" s="212"/>
    </row>
    <row r="69" spans="1:10" ht="14.25">
      <c r="A69" s="212"/>
      <c r="B69" s="212"/>
      <c r="C69" s="212"/>
      <c r="D69" s="212"/>
      <c r="E69" s="212"/>
      <c r="F69" s="212"/>
      <c r="G69" s="212"/>
      <c r="H69" s="212"/>
      <c r="I69" s="212"/>
      <c r="J69" s="212"/>
    </row>
    <row r="70" spans="1:10" ht="14.25">
      <c r="A70" s="212"/>
      <c r="B70" s="212"/>
      <c r="C70" s="212"/>
      <c r="D70" s="212"/>
      <c r="E70" s="212"/>
      <c r="F70" s="212"/>
      <c r="G70" s="212"/>
      <c r="H70" s="212"/>
      <c r="I70" s="212"/>
      <c r="J70" s="212"/>
    </row>
    <row r="71" spans="1:10" ht="14.25">
      <c r="A71" s="212"/>
      <c r="B71" s="212"/>
      <c r="C71" s="212"/>
      <c r="D71" s="212"/>
      <c r="E71" s="212"/>
      <c r="F71" s="212"/>
      <c r="G71" s="212"/>
      <c r="H71" s="212"/>
      <c r="I71" s="212"/>
      <c r="J71" s="212"/>
    </row>
    <row r="72" spans="1:10" ht="14.25">
      <c r="A72" s="212"/>
      <c r="B72" s="212"/>
      <c r="C72" s="212"/>
      <c r="D72" s="212"/>
      <c r="E72" s="212"/>
      <c r="F72" s="212"/>
      <c r="G72" s="212"/>
      <c r="H72" s="212"/>
      <c r="I72" s="212"/>
      <c r="J72" s="212"/>
    </row>
    <row r="73" spans="1:10" ht="14.25">
      <c r="A73" s="212"/>
      <c r="B73" s="212"/>
      <c r="C73" s="212"/>
      <c r="D73" s="212"/>
      <c r="E73" s="212"/>
      <c r="F73" s="212"/>
      <c r="G73" s="212"/>
      <c r="H73" s="212"/>
      <c r="I73" s="212"/>
      <c r="J73" s="212"/>
    </row>
    <row r="74" spans="1:10" ht="14.25">
      <c r="A74" s="212"/>
      <c r="B74" s="212"/>
      <c r="C74" s="212"/>
      <c r="D74" s="212"/>
      <c r="E74" s="212"/>
      <c r="F74" s="212"/>
      <c r="G74" s="212"/>
      <c r="H74" s="212"/>
      <c r="I74" s="212"/>
      <c r="J74" s="212"/>
    </row>
    <row r="75" spans="1:10" ht="14.25">
      <c r="A75" s="212"/>
      <c r="B75" s="212"/>
      <c r="C75" s="212"/>
      <c r="D75" s="212"/>
      <c r="E75" s="212"/>
      <c r="F75" s="212"/>
      <c r="G75" s="212"/>
      <c r="H75" s="212"/>
      <c r="I75" s="212"/>
      <c r="J75" s="212"/>
    </row>
    <row r="76" spans="1:10" ht="14.25">
      <c r="A76" s="212"/>
      <c r="B76" s="212"/>
      <c r="C76" s="212"/>
      <c r="D76" s="212"/>
      <c r="E76" s="212"/>
      <c r="F76" s="212"/>
      <c r="G76" s="212"/>
      <c r="H76" s="212"/>
      <c r="I76" s="212"/>
      <c r="J76" s="212"/>
    </row>
    <row r="77" spans="1:10" ht="14.25">
      <c r="A77" s="212"/>
      <c r="B77" s="212"/>
      <c r="C77" s="212"/>
      <c r="D77" s="212"/>
      <c r="E77" s="212"/>
      <c r="F77" s="212"/>
      <c r="G77" s="212"/>
      <c r="H77" s="212"/>
      <c r="I77" s="212"/>
      <c r="J77" s="212"/>
    </row>
    <row r="78" spans="1:10" ht="30" customHeight="1">
      <c r="A78" s="213" t="s">
        <v>367</v>
      </c>
      <c r="B78" s="213"/>
      <c r="C78" s="213"/>
      <c r="D78" s="213"/>
      <c r="E78" s="213"/>
      <c r="F78" s="213"/>
      <c r="G78" s="213"/>
      <c r="H78" s="213"/>
      <c r="I78" s="213"/>
      <c r="J78" s="213"/>
    </row>
  </sheetData>
  <mergeCells count="143">
    <mergeCell ref="A1:A2"/>
    <mergeCell ref="B1:I1"/>
    <mergeCell ref="B2:I2"/>
    <mergeCell ref="B4:G4"/>
    <mergeCell ref="I4:J4"/>
    <mergeCell ref="B5:G5"/>
    <mergeCell ref="I5:J17"/>
    <mergeCell ref="B6:G6"/>
    <mergeCell ref="B7:G7"/>
    <mergeCell ref="B8:G8"/>
    <mergeCell ref="D22:E22"/>
    <mergeCell ref="F22:H22"/>
    <mergeCell ref="I22:J22"/>
    <mergeCell ref="D23:E23"/>
    <mergeCell ref="F23:H23"/>
    <mergeCell ref="I23:J23"/>
    <mergeCell ref="A19:J19"/>
    <mergeCell ref="D20:E20"/>
    <mergeCell ref="F20:H20"/>
    <mergeCell ref="I20:J20"/>
    <mergeCell ref="D21:E21"/>
    <mergeCell ref="F21:H21"/>
    <mergeCell ref="I21:J21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30:E30"/>
    <mergeCell ref="F30:H30"/>
    <mergeCell ref="I30:J30"/>
    <mergeCell ref="A32:J32"/>
    <mergeCell ref="D33:E33"/>
    <mergeCell ref="F33:H33"/>
    <mergeCell ref="I33:J33"/>
    <mergeCell ref="D28:E28"/>
    <mergeCell ref="F28:H28"/>
    <mergeCell ref="I28:J28"/>
    <mergeCell ref="D29:E29"/>
    <mergeCell ref="F29:H29"/>
    <mergeCell ref="I29:J29"/>
    <mergeCell ref="D36:E36"/>
    <mergeCell ref="F36:H36"/>
    <mergeCell ref="I36:J36"/>
    <mergeCell ref="D37:E37"/>
    <mergeCell ref="F37:H37"/>
    <mergeCell ref="I37:J37"/>
    <mergeCell ref="D34:E34"/>
    <mergeCell ref="F34:H34"/>
    <mergeCell ref="I34:J34"/>
    <mergeCell ref="D35:E35"/>
    <mergeCell ref="F35:H35"/>
    <mergeCell ref="I35:J35"/>
    <mergeCell ref="D40:E40"/>
    <mergeCell ref="F40:H40"/>
    <mergeCell ref="I40:J40"/>
    <mergeCell ref="D41:E41"/>
    <mergeCell ref="F41:H41"/>
    <mergeCell ref="I41:J41"/>
    <mergeCell ref="D38:E38"/>
    <mergeCell ref="F38:H38"/>
    <mergeCell ref="I38:J38"/>
    <mergeCell ref="D39:E39"/>
    <mergeCell ref="F39:H39"/>
    <mergeCell ref="I39:J39"/>
    <mergeCell ref="A45:J45"/>
    <mergeCell ref="B46:J46"/>
    <mergeCell ref="A47:H47"/>
    <mergeCell ref="I47:J47"/>
    <mergeCell ref="A48:H48"/>
    <mergeCell ref="I48:J48"/>
    <mergeCell ref="D42:E42"/>
    <mergeCell ref="F42:H42"/>
    <mergeCell ref="I42:J42"/>
    <mergeCell ref="D43:E43"/>
    <mergeCell ref="F43:H43"/>
    <mergeCell ref="I43:J43"/>
    <mergeCell ref="A52:H52"/>
    <mergeCell ref="I52:J52"/>
    <mergeCell ref="A53:H53"/>
    <mergeCell ref="I53:J53"/>
    <mergeCell ref="A54:H54"/>
    <mergeCell ref="I54:J54"/>
    <mergeCell ref="A49:H49"/>
    <mergeCell ref="I49:J49"/>
    <mergeCell ref="A50:H50"/>
    <mergeCell ref="I50:J50"/>
    <mergeCell ref="A51:H51"/>
    <mergeCell ref="I51:J51"/>
    <mergeCell ref="A58:H58"/>
    <mergeCell ref="I58:J58"/>
    <mergeCell ref="A59:H59"/>
    <mergeCell ref="I59:J59"/>
    <mergeCell ref="A60:H60"/>
    <mergeCell ref="I60:J60"/>
    <mergeCell ref="A55:H55"/>
    <mergeCell ref="I55:J55"/>
    <mergeCell ref="A56:H56"/>
    <mergeCell ref="I56:J56"/>
    <mergeCell ref="A57:H57"/>
    <mergeCell ref="I57:J57"/>
    <mergeCell ref="A64:H64"/>
    <mergeCell ref="I64:J64"/>
    <mergeCell ref="A65:H65"/>
    <mergeCell ref="I65:J65"/>
    <mergeCell ref="A66:H66"/>
    <mergeCell ref="I66:J66"/>
    <mergeCell ref="A61:H61"/>
    <mergeCell ref="I61:J61"/>
    <mergeCell ref="A62:H62"/>
    <mergeCell ref="I62:J62"/>
    <mergeCell ref="A63:H63"/>
    <mergeCell ref="I63:J63"/>
    <mergeCell ref="A70:H70"/>
    <mergeCell ref="I70:J70"/>
    <mergeCell ref="A71:H71"/>
    <mergeCell ref="I71:J71"/>
    <mergeCell ref="A72:H72"/>
    <mergeCell ref="I72:J72"/>
    <mergeCell ref="A67:H67"/>
    <mergeCell ref="I67:J67"/>
    <mergeCell ref="A68:H68"/>
    <mergeCell ref="I68:J68"/>
    <mergeCell ref="A69:H69"/>
    <mergeCell ref="I69:J69"/>
    <mergeCell ref="A76:H76"/>
    <mergeCell ref="I76:J76"/>
    <mergeCell ref="A77:H77"/>
    <mergeCell ref="I77:J77"/>
    <mergeCell ref="A78:J78"/>
    <mergeCell ref="A73:H73"/>
    <mergeCell ref="I73:J73"/>
    <mergeCell ref="A74:H74"/>
    <mergeCell ref="I74:J74"/>
    <mergeCell ref="A75:H75"/>
    <mergeCell ref="I75:J75"/>
  </mergeCells>
  <pageMargins left="0.74805555555555558" right="0.74805555555555558" top="1.3776388888888889" bottom="1.3776388888888889" header="0.98388888888888892" footer="0.98388888888888892"/>
  <pageSetup fitToWidth="0" fitToHeight="0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showGridLines="0" workbookViewId="0">
      <selection activeCell="A8" sqref="A8"/>
    </sheetView>
  </sheetViews>
  <sheetFormatPr defaultRowHeight="15.75" customHeight="1"/>
  <cols>
    <col min="1" max="1" width="97" style="1" customWidth="1"/>
    <col min="2" max="1024" width="9.75" style="1" customWidth="1"/>
    <col min="1025" max="16384" width="9" style="1"/>
  </cols>
  <sheetData>
    <row r="1" spans="1:1" ht="75" customHeight="1">
      <c r="A1" s="2"/>
    </row>
    <row r="2" spans="1:1" ht="23.25">
      <c r="A2" s="2" t="s">
        <v>363</v>
      </c>
    </row>
    <row r="3" spans="1:1" ht="14.25">
      <c r="A3" s="83" t="s">
        <v>368</v>
      </c>
    </row>
    <row r="4" spans="1:1" ht="25.5">
      <c r="A4" s="84" t="s">
        <v>364</v>
      </c>
    </row>
    <row r="5" spans="1:1" ht="14.25">
      <c r="A5" s="85" t="s">
        <v>365</v>
      </c>
    </row>
    <row r="6" spans="1:1" ht="14.25">
      <c r="A6" s="82"/>
    </row>
  </sheetData>
  <hyperlinks>
    <hyperlink ref="A5" r:id="rId1" xr:uid="{00000000-0004-0000-0900-000000000000}"/>
  </hyperlink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showGridLines="0" topLeftCell="A45" workbookViewId="0">
      <selection activeCell="D48" sqref="D48"/>
    </sheetView>
  </sheetViews>
  <sheetFormatPr defaultRowHeight="15.75" customHeight="1"/>
  <cols>
    <col min="1" max="1" width="14.125" style="1" customWidth="1"/>
    <col min="2" max="3" width="1.125" style="1" customWidth="1"/>
    <col min="4" max="6" width="7.375" style="1" customWidth="1"/>
    <col min="7" max="8" width="1.125" style="1" customWidth="1"/>
    <col min="9" max="11" width="7.375" style="1" customWidth="1"/>
    <col min="12" max="13" width="1.125" style="1" customWidth="1"/>
    <col min="14" max="16" width="7.375" style="1" customWidth="1"/>
    <col min="17" max="1024" width="9.75" style="1" customWidth="1"/>
    <col min="1025" max="16384" width="9" style="1"/>
  </cols>
  <sheetData>
    <row r="1" spans="1:16" ht="22.5" customHeight="1">
      <c r="A1" s="219"/>
      <c r="B1" s="219"/>
      <c r="C1" s="219"/>
      <c r="D1" s="220" t="s">
        <v>0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10"/>
    </row>
    <row r="2" spans="1:16" ht="45" customHeight="1">
      <c r="A2" s="219"/>
      <c r="B2" s="219"/>
      <c r="C2" s="219"/>
      <c r="D2" s="10"/>
      <c r="E2" s="221" t="s">
        <v>34</v>
      </c>
      <c r="F2" s="221"/>
      <c r="G2" s="221"/>
      <c r="H2" s="221"/>
      <c r="I2" s="221"/>
      <c r="J2" s="221"/>
      <c r="K2" s="221"/>
      <c r="L2" s="221"/>
      <c r="M2" s="221"/>
      <c r="N2" s="221"/>
      <c r="O2" s="3"/>
      <c r="P2" s="18"/>
    </row>
    <row r="3" spans="1:16" ht="15" customHeight="1">
      <c r="E3" s="107" t="s">
        <v>2</v>
      </c>
      <c r="F3" s="247"/>
      <c r="G3" s="247"/>
      <c r="H3" s="247"/>
      <c r="I3" s="247"/>
      <c r="J3" s="247"/>
      <c r="K3" s="247"/>
      <c r="L3" s="247"/>
      <c r="M3" s="247"/>
      <c r="N3" s="247"/>
    </row>
    <row r="4" spans="1:16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" customHeight="1">
      <c r="A5" s="8"/>
      <c r="B5" s="8"/>
      <c r="C5" s="8"/>
      <c r="D5" s="248" t="s">
        <v>35</v>
      </c>
      <c r="E5" s="248"/>
      <c r="F5" s="6" t="str">
        <f>"("&amp;SUM(skilltree_tier1_pointsAssigned)&amp;" / "&amp;_xlfn.SINGLE(skilltree_0_points)&amp;")"</f>
        <v>(0 / 3)</v>
      </c>
      <c r="I5" s="248" t="s">
        <v>36</v>
      </c>
      <c r="J5" s="248"/>
      <c r="K5" s="6" t="str">
        <f>"("&amp;SUM(skilltree_tier2_pointsAssigned)&amp;" / "&amp;_xlfn.SINGLE(skilltree_0_points)&amp;")"</f>
        <v>(0 / 3)</v>
      </c>
      <c r="N5" s="248" t="s">
        <v>37</v>
      </c>
      <c r="O5" s="248"/>
      <c r="P5" s="6" t="str">
        <f>"("&amp;SUM(skilltree_tier3_pointsAssigned)&amp;" / "&amp;_xlfn.SINGLE(skilltree_0_points)&amp;")"</f>
        <v>(0 / 3)</v>
      </c>
    </row>
    <row r="6" spans="1:16" ht="15" customHeight="1">
      <c r="A6" s="244" t="s">
        <v>38</v>
      </c>
      <c r="B6" s="244"/>
      <c r="C6" s="19"/>
      <c r="D6" s="245" t="s">
        <v>39</v>
      </c>
      <c r="E6" s="245"/>
      <c r="F6" s="245"/>
      <c r="G6" s="20"/>
      <c r="H6" s="20"/>
      <c r="I6" s="245" t="s">
        <v>40</v>
      </c>
      <c r="J6" s="245"/>
      <c r="K6" s="245"/>
      <c r="L6" s="20"/>
      <c r="M6" s="20"/>
      <c r="N6" s="245" t="s">
        <v>41</v>
      </c>
      <c r="O6" s="245"/>
      <c r="P6" s="245"/>
    </row>
    <row r="7" spans="1:16" ht="1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ht="1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22"/>
      <c r="N8" s="240" t="s">
        <v>42</v>
      </c>
      <c r="O8" s="240"/>
      <c r="P8" s="23" t="str">
        <f>"("&amp;SUM(skilltree_1_1_1_subSkills_points)&amp;" / "&amp;_xlfn.SINGLE(skilltree_1_1_1_points)&amp;")"</f>
        <v>(0 / 0)</v>
      </c>
    </row>
    <row r="9" spans="1:16" ht="15" customHeight="1">
      <c r="A9" s="24"/>
      <c r="B9" s="24"/>
      <c r="C9" s="24"/>
      <c r="D9" s="24"/>
      <c r="E9" s="24"/>
      <c r="F9" s="24"/>
      <c r="G9" s="24"/>
      <c r="H9" s="24"/>
      <c r="I9" s="10"/>
      <c r="J9" s="10"/>
      <c r="K9" s="10"/>
      <c r="L9" s="25"/>
      <c r="M9" s="26"/>
      <c r="N9" s="12">
        <v>0</v>
      </c>
      <c r="O9" s="27">
        <v>0</v>
      </c>
      <c r="P9" s="28">
        <f>3*(_xlfn.SINGLE(skilltree_1_1_1_points)+_xlfn.SINGLE(skilltree_1_1_1_bonusPoints))+_xlfn.SINGLE(skilltree_1_1_percentage)</f>
        <v>0</v>
      </c>
    </row>
    <row r="10" spans="1:16" ht="7.5" customHeight="1">
      <c r="A10" s="10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29"/>
      <c r="M10" s="8"/>
      <c r="N10" s="8"/>
      <c r="O10" s="8"/>
      <c r="P10" s="8"/>
    </row>
    <row r="11" spans="1:16" ht="15" customHeight="1">
      <c r="A11" s="10"/>
      <c r="B11" s="10"/>
      <c r="C11" s="10"/>
      <c r="D11" s="10"/>
      <c r="E11" s="10"/>
      <c r="F11" s="10"/>
      <c r="G11" s="10"/>
      <c r="H11" s="22"/>
      <c r="I11" s="246" t="s">
        <v>43</v>
      </c>
      <c r="J11" s="246"/>
      <c r="K11" s="30" t="str">
        <f>"("&amp;SUM(skilltree_1_1_subSkills_points)&amp;" / "&amp;_xlfn.SINGLE(skilltree_1_1_points)&amp;")"</f>
        <v>(0 / 0)</v>
      </c>
      <c r="L11" s="31"/>
      <c r="M11" s="32"/>
      <c r="N11" s="240" t="s">
        <v>44</v>
      </c>
      <c r="O11" s="240"/>
      <c r="P11" s="23" t="str">
        <f>"("&amp;SUM(skilltree_1_1_2_subSkills_points)&amp;" / "&amp;_xlfn.SINGLE(skilltree_1_1_2_points)&amp;")"</f>
        <v>(0 / 0)</v>
      </c>
    </row>
    <row r="12" spans="1:16" ht="15" customHeight="1">
      <c r="A12" s="10"/>
      <c r="B12" s="10"/>
      <c r="C12" s="10"/>
      <c r="D12" s="10"/>
      <c r="E12" s="10"/>
      <c r="F12" s="10"/>
      <c r="G12" s="25"/>
      <c r="H12" s="26"/>
      <c r="I12" s="12">
        <v>0</v>
      </c>
      <c r="J12" s="27">
        <v>0</v>
      </c>
      <c r="K12" s="28">
        <f>2*(I12+J12)+F21</f>
        <v>0</v>
      </c>
      <c r="L12" s="33"/>
      <c r="M12" s="34"/>
      <c r="N12" s="12">
        <v>0</v>
      </c>
      <c r="O12" s="27">
        <v>0</v>
      </c>
      <c r="P12" s="28">
        <f>3*(_xlfn.SINGLE(skilltree_1_1_2_points)+_xlfn.SINGLE(skilltree_1_1_2_bonusPoints))+_xlfn.SINGLE(skilltree_1_1_percentage)</f>
        <v>0</v>
      </c>
    </row>
    <row r="13" spans="1:16" ht="7.5" customHeight="1">
      <c r="A13" s="10"/>
      <c r="B13" s="10"/>
      <c r="C13" s="10"/>
      <c r="D13" s="10"/>
      <c r="E13" s="10"/>
      <c r="F13" s="10"/>
      <c r="G13" s="25"/>
      <c r="H13" s="10"/>
      <c r="I13" s="10"/>
      <c r="J13" s="10"/>
      <c r="K13" s="10"/>
      <c r="L13" s="25"/>
      <c r="M13" s="10"/>
      <c r="N13" s="8"/>
      <c r="O13" s="8"/>
      <c r="P13" s="8"/>
    </row>
    <row r="14" spans="1:16" ht="15" customHeight="1">
      <c r="A14" s="10"/>
      <c r="B14" s="10"/>
      <c r="C14" s="10"/>
      <c r="D14" s="10"/>
      <c r="E14" s="10"/>
      <c r="F14" s="10"/>
      <c r="G14" s="25"/>
      <c r="H14" s="10"/>
      <c r="I14" s="10"/>
      <c r="J14" s="10"/>
      <c r="K14" s="10"/>
      <c r="L14" s="25"/>
      <c r="M14" s="22"/>
      <c r="N14" s="240" t="s">
        <v>45</v>
      </c>
      <c r="O14" s="240"/>
      <c r="P14" s="23" t="str">
        <f>"("&amp;SUM(skilltree_1_1_3_subSkills_points)&amp;" / "&amp;_xlfn.SINGLE(skilltree_1_1_3_points)&amp;")"</f>
        <v>(0 / 0)</v>
      </c>
    </row>
    <row r="15" spans="1:16" ht="15" customHeight="1">
      <c r="A15" s="10"/>
      <c r="B15" s="10"/>
      <c r="C15" s="10"/>
      <c r="D15" s="10"/>
      <c r="E15" s="10"/>
      <c r="F15" s="10"/>
      <c r="G15" s="25"/>
      <c r="H15" s="10"/>
      <c r="I15" s="10"/>
      <c r="J15" s="10"/>
      <c r="K15" s="10"/>
      <c r="L15" s="10"/>
      <c r="M15" s="26"/>
      <c r="N15" s="12">
        <v>0</v>
      </c>
      <c r="O15" s="27">
        <v>0</v>
      </c>
      <c r="P15" s="28">
        <f>3*(_xlfn.SINGLE(skilltree_1_1_3_points)+_xlfn.SINGLE(skilltree_1_1_3_bonusPoints))+_xlfn.SINGLE(skilltree_1_1_percentage)</f>
        <v>0</v>
      </c>
    </row>
    <row r="16" spans="1:16" ht="7.5" customHeight="1">
      <c r="A16" s="10"/>
      <c r="B16" s="10"/>
      <c r="C16" s="10"/>
      <c r="D16" s="10"/>
      <c r="E16" s="10"/>
      <c r="F16" s="10"/>
      <c r="G16" s="25"/>
      <c r="H16" s="10"/>
      <c r="I16" s="10"/>
      <c r="J16" s="10"/>
      <c r="K16" s="10"/>
      <c r="L16" s="10"/>
      <c r="M16" s="10"/>
      <c r="N16" s="8"/>
      <c r="O16" s="8"/>
      <c r="P16" s="8"/>
    </row>
    <row r="17" spans="1:16" ht="15" customHeight="1">
      <c r="A17" s="10"/>
      <c r="B17" s="10"/>
      <c r="C17" s="10"/>
      <c r="D17" s="10"/>
      <c r="E17" s="10"/>
      <c r="F17" s="10"/>
      <c r="G17" s="25"/>
      <c r="H17" s="10"/>
      <c r="I17" s="10"/>
      <c r="J17" s="10"/>
      <c r="K17" s="10"/>
      <c r="L17" s="10"/>
      <c r="M17" s="22"/>
      <c r="N17" s="241" t="s">
        <v>46</v>
      </c>
      <c r="O17" s="241"/>
      <c r="P17" s="35" t="str">
        <f>"("&amp;SUM(skilltree_1_2_1_subSkills_points)&amp;" / "&amp;_xlfn.SINGLE(skilltree_1_2_1_points)&amp;")"</f>
        <v>(0 / 0)</v>
      </c>
    </row>
    <row r="18" spans="1:16" ht="15" customHeight="1">
      <c r="A18" s="10"/>
      <c r="B18" s="10"/>
      <c r="C18" s="10"/>
      <c r="D18" s="10"/>
      <c r="E18" s="10"/>
      <c r="F18" s="10"/>
      <c r="G18" s="25"/>
      <c r="H18" s="10"/>
      <c r="I18" s="10"/>
      <c r="J18" s="10"/>
      <c r="K18" s="10"/>
      <c r="L18" s="25"/>
      <c r="M18" s="26"/>
      <c r="N18" s="12">
        <v>0</v>
      </c>
      <c r="O18" s="27">
        <v>0</v>
      </c>
      <c r="P18" s="28">
        <f>3*(_xlfn.SINGLE(skilltree_1_2_1_points)+_xlfn.SINGLE(skilltree_1_2_1_bonusPoints))+_xlfn.SINGLE(skilltree_1_2_percentage)</f>
        <v>0</v>
      </c>
    </row>
    <row r="19" spans="1:16" ht="7.5" customHeight="1">
      <c r="A19" s="10"/>
      <c r="B19" s="10"/>
      <c r="C19" s="10"/>
      <c r="D19" s="8"/>
      <c r="E19" s="8"/>
      <c r="F19" s="8"/>
      <c r="G19" s="29"/>
      <c r="H19" s="8"/>
      <c r="I19" s="8"/>
      <c r="J19" s="8"/>
      <c r="K19" s="8"/>
      <c r="L19" s="29"/>
      <c r="M19" s="8"/>
      <c r="N19" s="8"/>
      <c r="O19" s="8"/>
      <c r="P19" s="8"/>
    </row>
    <row r="20" spans="1:16" ht="15" customHeight="1">
      <c r="A20" s="10"/>
      <c r="B20" s="10"/>
      <c r="C20" s="22"/>
      <c r="D20" s="242" t="s">
        <v>47</v>
      </c>
      <c r="E20" s="242"/>
      <c r="F20" s="36" t="str">
        <f>"("&amp;SUM(skilltree_1_subSkills_points)&amp;" / "&amp;_xlfn.SINGLE(skilltree_1_points)&amp;")"</f>
        <v>(0 / 0)</v>
      </c>
      <c r="G20" s="31"/>
      <c r="H20" s="32"/>
      <c r="I20" s="243" t="s">
        <v>48</v>
      </c>
      <c r="J20" s="243"/>
      <c r="K20" s="37" t="str">
        <f>"("&amp;SUM(skilltree_1_2_subSkills_points)&amp;" / "&amp;_xlfn.SINGLE(skilltree_1_2_points)&amp;")"</f>
        <v>(0 / 0)</v>
      </c>
      <c r="L20" s="31"/>
      <c r="M20" s="32"/>
      <c r="N20" s="241" t="s">
        <v>49</v>
      </c>
      <c r="O20" s="241"/>
      <c r="P20" s="35" t="str">
        <f>"("&amp;SUM(skilltree_1_2_2_subSkills_points)&amp;" / "&amp;_xlfn.SINGLE(skilltree_1_2_2_points)&amp;")"</f>
        <v>(0 / 0)</v>
      </c>
    </row>
    <row r="21" spans="1:16" ht="15" customHeight="1">
      <c r="A21" s="10"/>
      <c r="B21" s="25"/>
      <c r="C21" s="26"/>
      <c r="D21" s="12">
        <v>0</v>
      </c>
      <c r="E21" s="27">
        <v>0</v>
      </c>
      <c r="F21" s="28">
        <f>(D21+E21)</f>
        <v>0</v>
      </c>
      <c r="G21" s="33"/>
      <c r="H21" s="34"/>
      <c r="I21" s="12">
        <v>0</v>
      </c>
      <c r="J21" s="27">
        <v>0</v>
      </c>
      <c r="K21" s="28">
        <f>2*(I21+J21)+F21</f>
        <v>0</v>
      </c>
      <c r="L21" s="33"/>
      <c r="M21" s="34"/>
      <c r="N21" s="12">
        <v>0</v>
      </c>
      <c r="O21" s="27">
        <v>0</v>
      </c>
      <c r="P21" s="28">
        <f>3*(_xlfn.SINGLE(skilltree_1_2_2_points)+_xlfn.SINGLE(skilltree_1_2_2_bonusPoints))+_xlfn.SINGLE(skilltree_1_2_percentage)</f>
        <v>0</v>
      </c>
    </row>
    <row r="22" spans="1:16" ht="7.5" customHeight="1">
      <c r="A22" s="10"/>
      <c r="B22" s="25"/>
      <c r="C22" s="10"/>
      <c r="D22" s="10"/>
      <c r="E22" s="10"/>
      <c r="F22" s="10"/>
      <c r="G22" s="25"/>
      <c r="H22" s="10"/>
      <c r="I22" s="10"/>
      <c r="J22" s="10"/>
      <c r="K22" s="10"/>
      <c r="L22" s="25"/>
      <c r="M22" s="10"/>
      <c r="N22" s="8"/>
      <c r="O22" s="8"/>
      <c r="P22" s="8"/>
    </row>
    <row r="23" spans="1:16" ht="15" customHeight="1">
      <c r="A23" s="10"/>
      <c r="B23" s="25"/>
      <c r="C23" s="10"/>
      <c r="D23" s="10"/>
      <c r="E23" s="10"/>
      <c r="F23" s="10"/>
      <c r="G23" s="25"/>
      <c r="H23" s="10"/>
      <c r="I23" s="10"/>
      <c r="J23" s="10"/>
      <c r="K23" s="10"/>
      <c r="L23" s="25"/>
      <c r="M23" s="22"/>
      <c r="N23" s="241" t="s">
        <v>50</v>
      </c>
      <c r="O23" s="241"/>
      <c r="P23" s="35" t="str">
        <f>"("&amp;SUM(skilltree_1_2_3_subSkills_points)&amp;" / "&amp;_xlfn.SINGLE(skilltree_1_2_3_points)&amp;")"</f>
        <v>(0 / 0)</v>
      </c>
    </row>
    <row r="24" spans="1:16" ht="15" customHeight="1">
      <c r="A24" s="10"/>
      <c r="B24" s="25"/>
      <c r="C24" s="10"/>
      <c r="D24" s="10"/>
      <c r="E24" s="10"/>
      <c r="F24" s="10"/>
      <c r="G24" s="25"/>
      <c r="H24" s="10"/>
      <c r="I24" s="10"/>
      <c r="J24" s="10"/>
      <c r="K24" s="10"/>
      <c r="L24" s="10"/>
      <c r="M24" s="26"/>
      <c r="N24" s="12">
        <v>0</v>
      </c>
      <c r="O24" s="27">
        <v>0</v>
      </c>
      <c r="P24" s="28">
        <f>3*(_xlfn.SINGLE(skilltree_1_2_3_points)+_xlfn.SINGLE(skilltree_1_2_3_bonusPoints))+_xlfn.SINGLE(skilltree_1_2_percentage)</f>
        <v>0</v>
      </c>
    </row>
    <row r="25" spans="1:16" ht="7.5" customHeight="1">
      <c r="A25" s="10"/>
      <c r="B25" s="25"/>
      <c r="C25" s="10"/>
      <c r="D25" s="10"/>
      <c r="E25" s="10"/>
      <c r="F25" s="10"/>
      <c r="G25" s="25"/>
      <c r="H25" s="10"/>
      <c r="I25" s="10"/>
      <c r="J25" s="10"/>
      <c r="K25" s="10"/>
      <c r="L25" s="10"/>
      <c r="M25" s="10"/>
      <c r="N25" s="8"/>
      <c r="O25" s="8"/>
      <c r="P25" s="8"/>
    </row>
    <row r="26" spans="1:16" ht="15" customHeight="1">
      <c r="A26" s="10"/>
      <c r="B26" s="25"/>
      <c r="C26" s="10"/>
      <c r="D26" s="10"/>
      <c r="E26" s="10"/>
      <c r="F26" s="10"/>
      <c r="G26" s="25"/>
      <c r="H26" s="10"/>
      <c r="I26" s="10"/>
      <c r="J26" s="10"/>
      <c r="K26" s="10"/>
      <c r="L26" s="10"/>
      <c r="M26" s="22"/>
      <c r="N26" s="237" t="s">
        <v>51</v>
      </c>
      <c r="O26" s="237"/>
      <c r="P26" s="38" t="str">
        <f>"("&amp;SUM(skilltree_1_3_1_subSkills_points)&amp;" / "&amp;_xlfn.SINGLE(skilltree_1_3_1_points)&amp;")"</f>
        <v>(0 / 0)</v>
      </c>
    </row>
    <row r="27" spans="1:16" ht="15" customHeight="1">
      <c r="A27" s="10"/>
      <c r="B27" s="25"/>
      <c r="C27" s="10"/>
      <c r="D27" s="10"/>
      <c r="E27" s="10"/>
      <c r="F27" s="10"/>
      <c r="G27" s="25"/>
      <c r="H27" s="10"/>
      <c r="I27" s="10"/>
      <c r="J27" s="10"/>
      <c r="K27" s="10"/>
      <c r="L27" s="25"/>
      <c r="M27" s="26"/>
      <c r="N27" s="12">
        <v>0</v>
      </c>
      <c r="O27" s="27">
        <v>0</v>
      </c>
      <c r="P27" s="28">
        <f>3*(_xlfn.SINGLE(skilltree_1_3_1_points)+_xlfn.SINGLE(skilltree_1_3_1_bonusPoints))+_xlfn.SINGLE(skilltree_1_3_percentage)</f>
        <v>0</v>
      </c>
    </row>
    <row r="28" spans="1:16" ht="7.5" customHeight="1">
      <c r="A28" s="10"/>
      <c r="B28" s="25"/>
      <c r="C28" s="10"/>
      <c r="D28" s="10"/>
      <c r="E28" s="10"/>
      <c r="F28" s="10"/>
      <c r="G28" s="25"/>
      <c r="H28" s="10"/>
      <c r="I28" s="8"/>
      <c r="J28" s="8"/>
      <c r="K28" s="8"/>
      <c r="L28" s="29"/>
      <c r="M28" s="8"/>
      <c r="N28" s="8"/>
      <c r="O28" s="8"/>
      <c r="P28" s="8"/>
    </row>
    <row r="29" spans="1:16" ht="15" customHeight="1">
      <c r="A29" s="10"/>
      <c r="B29" s="25"/>
      <c r="C29" s="10"/>
      <c r="D29" s="10"/>
      <c r="E29" s="10"/>
      <c r="F29" s="10"/>
      <c r="G29" s="25"/>
      <c r="H29" s="22"/>
      <c r="I29" s="238" t="s">
        <v>52</v>
      </c>
      <c r="J29" s="238"/>
      <c r="K29" s="39" t="str">
        <f>"("&amp;SUM(skilltree_1_3_subSkills_points)&amp;" / "&amp;_xlfn.SINGLE(skilltree_1_3_points)&amp;")"</f>
        <v>(0 / 0)</v>
      </c>
      <c r="L29" s="31"/>
      <c r="M29" s="32"/>
      <c r="N29" s="237" t="s">
        <v>53</v>
      </c>
      <c r="O29" s="237"/>
      <c r="P29" s="38" t="str">
        <f>"("&amp;SUM(skilltree_1_3_2_subSkills_points)&amp;" / "&amp;_xlfn.SINGLE(skilltree_1_3_2_points)&amp;")"</f>
        <v>(0 / 0)</v>
      </c>
    </row>
    <row r="30" spans="1:16" ht="15" customHeight="1">
      <c r="A30" s="10"/>
      <c r="B30" s="25"/>
      <c r="C30" s="10"/>
      <c r="D30" s="10"/>
      <c r="E30" s="10"/>
      <c r="F30" s="10"/>
      <c r="G30" s="10"/>
      <c r="H30" s="26"/>
      <c r="I30" s="12">
        <v>0</v>
      </c>
      <c r="J30" s="27">
        <v>0</v>
      </c>
      <c r="K30" s="28">
        <f>2*(I30+J30)+F21</f>
        <v>0</v>
      </c>
      <c r="L30" s="33"/>
      <c r="M30" s="34"/>
      <c r="N30" s="12">
        <v>0</v>
      </c>
      <c r="O30" s="27">
        <v>0</v>
      </c>
      <c r="P30" s="28">
        <f>3*(_xlfn.SINGLE(skilltree_1_3_2_points)+_xlfn.SINGLE(skilltree_1_3_2_bonusPoints))+_xlfn.SINGLE(skilltree_1_3_percentage)</f>
        <v>0</v>
      </c>
    </row>
    <row r="31" spans="1:16" ht="7.5" customHeight="1">
      <c r="A31" s="10"/>
      <c r="B31" s="25"/>
      <c r="C31" s="10"/>
      <c r="D31" s="10"/>
      <c r="E31" s="10"/>
      <c r="F31" s="10"/>
      <c r="G31" s="10"/>
      <c r="H31" s="10"/>
      <c r="I31" s="10"/>
      <c r="J31" s="10"/>
      <c r="K31" s="10"/>
      <c r="L31" s="25"/>
      <c r="M31" s="10"/>
      <c r="N31" s="8"/>
      <c r="O31" s="8"/>
      <c r="P31" s="8"/>
    </row>
    <row r="32" spans="1:16" ht="15" customHeight="1">
      <c r="A32" s="10"/>
      <c r="B32" s="25"/>
      <c r="C32" s="10"/>
      <c r="D32" s="10"/>
      <c r="E32" s="10"/>
      <c r="F32" s="10"/>
      <c r="G32" s="10"/>
      <c r="H32" s="10"/>
      <c r="I32" s="10"/>
      <c r="J32" s="10"/>
      <c r="K32" s="10"/>
      <c r="L32" s="25"/>
      <c r="M32" s="22"/>
      <c r="N32" s="237" t="s">
        <v>54</v>
      </c>
      <c r="O32" s="237"/>
      <c r="P32" s="38" t="str">
        <f>"("&amp;SUM(skilltree_1_3_3_subSkills_points)&amp;" / "&amp;_xlfn.SINGLE(skilltree_1_3_3_points)&amp;")"</f>
        <v>(0 / 0)</v>
      </c>
    </row>
    <row r="33" spans="1:16" ht="15" customHeight="1">
      <c r="A33" s="10"/>
      <c r="B33" s="2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6"/>
      <c r="N33" s="12">
        <v>0</v>
      </c>
      <c r="O33" s="27">
        <v>0</v>
      </c>
      <c r="P33" s="28">
        <f>3*(_xlfn.SINGLE(skilltree_1_3_3_points)+_xlfn.SINGLE(skilltree_1_3_3_bonusPoints))+_xlfn.SINGLE(skilltree_1_3_percentage)</f>
        <v>0</v>
      </c>
    </row>
    <row r="34" spans="1:16" ht="7.5" customHeight="1">
      <c r="A34" s="10"/>
      <c r="B34" s="25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8"/>
      <c r="O34" s="8"/>
      <c r="P34" s="8"/>
    </row>
    <row r="35" spans="1:16" ht="15" customHeight="1">
      <c r="A35" s="10"/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2"/>
      <c r="N35" s="233" t="s">
        <v>55</v>
      </c>
      <c r="O35" s="233"/>
      <c r="P35" s="40" t="str">
        <f>"("&amp;SUM(skilltree_2_1_1_subSkills_points)&amp;" / "&amp;_xlfn.SINGLE(skilltree_2_1_1_points)&amp;")"</f>
        <v>(0 / 0)</v>
      </c>
    </row>
    <row r="36" spans="1:16" ht="15" customHeight="1">
      <c r="A36" s="10"/>
      <c r="B36" s="25"/>
      <c r="C36" s="10"/>
      <c r="D36" s="10"/>
      <c r="E36" s="10"/>
      <c r="F36" s="10"/>
      <c r="G36" s="10"/>
      <c r="H36" s="10"/>
      <c r="I36" s="10"/>
      <c r="J36" s="10"/>
      <c r="K36" s="10"/>
      <c r="L36" s="25"/>
      <c r="M36" s="26"/>
      <c r="N36" s="12">
        <v>0</v>
      </c>
      <c r="O36" s="27">
        <v>0</v>
      </c>
      <c r="P36" s="28">
        <f>3*(_xlfn.SINGLE(skilltree_2_1_1_points)+_xlfn.SINGLE(skilltree_2_1_1_bonusPoints))+_xlfn.SINGLE(skilltree_2_1_percentage)</f>
        <v>0</v>
      </c>
    </row>
    <row r="37" spans="1:16" ht="7.5" customHeight="1">
      <c r="A37" s="10"/>
      <c r="B37" s="25"/>
      <c r="C37" s="10"/>
      <c r="D37" s="10"/>
      <c r="E37" s="10"/>
      <c r="F37" s="10"/>
      <c r="G37" s="10"/>
      <c r="H37" s="10"/>
      <c r="I37" s="8"/>
      <c r="J37" s="8"/>
      <c r="K37" s="8"/>
      <c r="L37" s="29"/>
      <c r="M37" s="8"/>
      <c r="N37" s="8"/>
      <c r="O37" s="8"/>
      <c r="P37" s="8"/>
    </row>
    <row r="38" spans="1:16" ht="15" customHeight="1">
      <c r="A38" s="10"/>
      <c r="B38" s="25"/>
      <c r="C38" s="10"/>
      <c r="D38" s="10"/>
      <c r="E38" s="10"/>
      <c r="F38" s="10"/>
      <c r="G38" s="10"/>
      <c r="H38" s="22"/>
      <c r="I38" s="239" t="s">
        <v>56</v>
      </c>
      <c r="J38" s="239"/>
      <c r="K38" s="41" t="str">
        <f>"("&amp;SUM(skilltree_2_1_subSkills_points)&amp;" / "&amp;_xlfn.SINGLE(skilltree_2_1_points)&amp;")"</f>
        <v>(0 / 0)</v>
      </c>
      <c r="L38" s="31"/>
      <c r="M38" s="32"/>
      <c r="N38" s="233" t="s">
        <v>57</v>
      </c>
      <c r="O38" s="233"/>
      <c r="P38" s="40" t="str">
        <f>"("&amp;SUM(skilltree_2_1_2_subSkills_points)&amp;" / "&amp;_xlfn.SINGLE(skilltree_2_1_2_points)&amp;")"</f>
        <v>(0 / 0)</v>
      </c>
    </row>
    <row r="39" spans="1:16" ht="15" customHeight="1">
      <c r="A39" s="10"/>
      <c r="B39" s="25"/>
      <c r="C39" s="10"/>
      <c r="D39" s="10"/>
      <c r="E39" s="10"/>
      <c r="F39" s="10"/>
      <c r="G39" s="25"/>
      <c r="H39" s="26"/>
      <c r="I39" s="12">
        <v>0</v>
      </c>
      <c r="J39" s="27">
        <v>0</v>
      </c>
      <c r="K39" s="28">
        <f>2*(I39+J39)+F48</f>
        <v>0</v>
      </c>
      <c r="L39" s="33"/>
      <c r="M39" s="34"/>
      <c r="N39" s="12">
        <v>0</v>
      </c>
      <c r="O39" s="27">
        <v>0</v>
      </c>
      <c r="P39" s="28">
        <f>3*(_xlfn.SINGLE(skilltree_2_1_2_points)+_xlfn.SINGLE(skilltree_2_1_2_bonusPoints))+_xlfn.SINGLE(skilltree_2_1_percentage)</f>
        <v>0</v>
      </c>
    </row>
    <row r="40" spans="1:16" ht="7.5" customHeight="1">
      <c r="A40" s="10"/>
      <c r="B40" s="25"/>
      <c r="C40" s="10"/>
      <c r="D40" s="10"/>
      <c r="E40" s="10"/>
      <c r="F40" s="10"/>
      <c r="G40" s="25"/>
      <c r="H40" s="10"/>
      <c r="I40" s="10"/>
      <c r="J40" s="10"/>
      <c r="K40" s="10"/>
      <c r="L40" s="25"/>
      <c r="M40" s="10"/>
      <c r="N40" s="8"/>
      <c r="O40" s="8"/>
      <c r="P40" s="8"/>
    </row>
    <row r="41" spans="1:16" ht="15" customHeight="1">
      <c r="A41" s="10"/>
      <c r="B41" s="25"/>
      <c r="C41" s="10"/>
      <c r="D41" s="10"/>
      <c r="E41" s="10"/>
      <c r="F41" s="10"/>
      <c r="G41" s="25"/>
      <c r="H41" s="10"/>
      <c r="I41" s="10"/>
      <c r="J41" s="10"/>
      <c r="K41" s="10"/>
      <c r="L41" s="25"/>
      <c r="M41" s="22"/>
      <c r="N41" s="233" t="s">
        <v>58</v>
      </c>
      <c r="O41" s="233"/>
      <c r="P41" s="40" t="str">
        <f>"("&amp;SUM(skilltree_2_1_3_subSkills_points)&amp;" / "&amp;_xlfn.SINGLE(skilltree_2_1_3_points)&amp;")"</f>
        <v>(0 / 0)</v>
      </c>
    </row>
    <row r="42" spans="1:16" ht="15" customHeight="1">
      <c r="A42" s="10"/>
      <c r="B42" s="25"/>
      <c r="C42" s="10"/>
      <c r="D42" s="10"/>
      <c r="E42" s="10"/>
      <c r="F42" s="10"/>
      <c r="G42" s="25"/>
      <c r="H42" s="10"/>
      <c r="I42" s="10"/>
      <c r="J42" s="10"/>
      <c r="K42" s="10"/>
      <c r="L42" s="10"/>
      <c r="M42" s="26"/>
      <c r="N42" s="12">
        <v>0</v>
      </c>
      <c r="O42" s="27">
        <v>0</v>
      </c>
      <c r="P42" s="28">
        <f>3*(_xlfn.SINGLE(skilltree_2_1_3_points)+_xlfn.SINGLE(skilltree_2_1_3_bonusPoints))+_xlfn.SINGLE(skilltree_2_1_percentage)</f>
        <v>0</v>
      </c>
    </row>
    <row r="43" spans="1:16" ht="7.5" customHeight="1">
      <c r="A43" s="10"/>
      <c r="B43" s="25"/>
      <c r="C43" s="10"/>
      <c r="D43" s="10"/>
      <c r="E43" s="10"/>
      <c r="F43" s="10"/>
      <c r="G43" s="25"/>
      <c r="H43" s="10"/>
      <c r="I43" s="10"/>
      <c r="J43" s="10"/>
      <c r="K43" s="10"/>
      <c r="L43" s="10"/>
      <c r="M43" s="10"/>
      <c r="N43" s="8"/>
      <c r="O43" s="8"/>
      <c r="P43" s="8"/>
    </row>
    <row r="44" spans="1:16" ht="15" customHeight="1">
      <c r="A44" s="10"/>
      <c r="B44" s="25"/>
      <c r="C44" s="10"/>
      <c r="D44" s="10"/>
      <c r="E44" s="10"/>
      <c r="F44" s="10"/>
      <c r="G44" s="25"/>
      <c r="H44" s="10"/>
      <c r="I44" s="10"/>
      <c r="J44" s="10"/>
      <c r="K44" s="10"/>
      <c r="L44" s="10"/>
      <c r="M44" s="22"/>
      <c r="N44" s="234" t="s">
        <v>59</v>
      </c>
      <c r="O44" s="234"/>
      <c r="P44" s="42" t="str">
        <f>"("&amp;SUM(skilltree_2_2_1_subSkills_points)&amp;" / "&amp;_xlfn.SINGLE(skilltree_2_2_1_points)&amp;")"</f>
        <v>(0 / 0)</v>
      </c>
    </row>
    <row r="45" spans="1:16" ht="15" customHeight="1">
      <c r="A45" s="10"/>
      <c r="B45" s="25"/>
      <c r="C45" s="10"/>
      <c r="D45" s="10"/>
      <c r="E45" s="10"/>
      <c r="F45" s="10"/>
      <c r="G45" s="25"/>
      <c r="H45" s="10"/>
      <c r="I45" s="10"/>
      <c r="J45" s="10"/>
      <c r="K45" s="10"/>
      <c r="L45" s="25"/>
      <c r="M45" s="26"/>
      <c r="N45" s="12">
        <v>0</v>
      </c>
      <c r="O45" s="27">
        <v>0</v>
      </c>
      <c r="P45" s="28">
        <f>3*(_xlfn.SINGLE(skilltree_2_2_1_points)+_xlfn.SINGLE(skilltree_2_2_1_bonusPoints))+_xlfn.SINGLE(skilltree_2_2_percentage)</f>
        <v>0</v>
      </c>
    </row>
    <row r="46" spans="1:16" ht="7.5" customHeight="1">
      <c r="A46" s="8"/>
      <c r="B46" s="29"/>
      <c r="C46" s="8"/>
      <c r="D46" s="8"/>
      <c r="E46" s="8"/>
      <c r="F46" s="8"/>
      <c r="G46" s="29"/>
      <c r="H46" s="8"/>
      <c r="I46" s="8"/>
      <c r="J46" s="8"/>
      <c r="K46" s="8"/>
      <c r="L46" s="29"/>
      <c r="M46" s="8"/>
      <c r="N46" s="8"/>
      <c r="O46" s="8"/>
      <c r="P46" s="8"/>
    </row>
    <row r="47" spans="1:16" ht="15" customHeight="1">
      <c r="A47" s="43" t="s">
        <v>60</v>
      </c>
      <c r="B47" s="31"/>
      <c r="C47" s="32"/>
      <c r="D47" s="235" t="s">
        <v>61</v>
      </c>
      <c r="E47" s="235"/>
      <c r="F47" s="44" t="str">
        <f>"("&amp;SUM(skilltree_2_subSkills_points)&amp;" / "&amp;_xlfn.SINGLE(skilltree_2_points)&amp;")"</f>
        <v>(0 / 0)</v>
      </c>
      <c r="G47" s="31"/>
      <c r="H47" s="32"/>
      <c r="I47" s="236" t="s">
        <v>62</v>
      </c>
      <c r="J47" s="236"/>
      <c r="K47" s="45" t="str">
        <f>"("&amp;SUM(skilltree_2_2_subSkills_points)&amp;" / "&amp;_xlfn.SINGLE(skilltree_2_2_points)&amp;")"</f>
        <v>(0 / 0)</v>
      </c>
      <c r="L47" s="31"/>
      <c r="M47" s="32"/>
      <c r="N47" s="234" t="s">
        <v>63</v>
      </c>
      <c r="O47" s="234"/>
      <c r="P47" s="42" t="str">
        <f>"("&amp;SUM(skilltree_2_2_2_subSkills_points)&amp;" / "&amp;_xlfn.SINGLE(skilltree_2_2_2_points)&amp;")"</f>
        <v>(0 / 0)</v>
      </c>
    </row>
    <row r="48" spans="1:16" ht="15" customHeight="1">
      <c r="A48" s="12">
        <f>_xlfn.SINGLE(charStats_level)*3</f>
        <v>3</v>
      </c>
      <c r="B48" s="46"/>
      <c r="C48" s="47"/>
      <c r="D48" s="12">
        <v>0</v>
      </c>
      <c r="E48" s="27">
        <v>0</v>
      </c>
      <c r="F48" s="28">
        <f>(D48+E48)</f>
        <v>0</v>
      </c>
      <c r="G48" s="33"/>
      <c r="H48" s="34"/>
      <c r="I48" s="12">
        <v>0</v>
      </c>
      <c r="J48" s="27">
        <v>0</v>
      </c>
      <c r="K48" s="28">
        <f>2*(I48+J48)+F48</f>
        <v>0</v>
      </c>
      <c r="L48" s="33"/>
      <c r="M48" s="34"/>
      <c r="N48" s="12">
        <v>0</v>
      </c>
      <c r="O48" s="27">
        <v>0</v>
      </c>
      <c r="P48" s="28">
        <f>3*(_xlfn.SINGLE(skilltree_2_2_2_points)+_xlfn.SINGLE(skilltree_2_2_2_bonusPoints))+_xlfn.SINGLE(skilltree_2_2_percentage)</f>
        <v>0</v>
      </c>
    </row>
    <row r="49" spans="1:16" ht="7.5" customHeight="1">
      <c r="A49" s="10"/>
      <c r="B49" s="25"/>
      <c r="C49" s="10"/>
      <c r="D49" s="10"/>
      <c r="E49" s="10"/>
      <c r="F49" s="10"/>
      <c r="G49" s="25"/>
      <c r="H49" s="10"/>
      <c r="I49" s="10"/>
      <c r="J49" s="10"/>
      <c r="K49" s="10"/>
      <c r="L49" s="25"/>
      <c r="M49" s="10"/>
      <c r="N49" s="8"/>
      <c r="O49" s="8"/>
      <c r="P49" s="8"/>
    </row>
    <row r="50" spans="1:16" ht="15" customHeight="1">
      <c r="A50" s="10"/>
      <c r="B50" s="25"/>
      <c r="C50" s="10"/>
      <c r="D50" s="10"/>
      <c r="E50" s="10"/>
      <c r="F50" s="10"/>
      <c r="G50" s="25"/>
      <c r="H50" s="10"/>
      <c r="I50" s="10"/>
      <c r="J50" s="10"/>
      <c r="K50" s="10"/>
      <c r="L50" s="25"/>
      <c r="M50" s="22"/>
      <c r="N50" s="234" t="s">
        <v>64</v>
      </c>
      <c r="O50" s="234"/>
      <c r="P50" s="42" t="str">
        <f>"("&amp;SUM(skilltree_2_2_3_subSkills_points)&amp;" / "&amp;_xlfn.SINGLE(skilltree_2_2_3_points)&amp;")"</f>
        <v>(0 / 0)</v>
      </c>
    </row>
    <row r="51" spans="1:16" ht="15" customHeight="1">
      <c r="A51" s="10"/>
      <c r="B51" s="25"/>
      <c r="C51" s="10"/>
      <c r="D51" s="10"/>
      <c r="E51" s="10"/>
      <c r="F51" s="10"/>
      <c r="G51" s="25"/>
      <c r="H51" s="10"/>
      <c r="I51" s="10"/>
      <c r="J51" s="10"/>
      <c r="K51" s="10"/>
      <c r="L51" s="10"/>
      <c r="M51" s="26"/>
      <c r="N51" s="12">
        <v>0</v>
      </c>
      <c r="O51" s="27">
        <v>0</v>
      </c>
      <c r="P51" s="28">
        <f>3*(_xlfn.SINGLE(skilltree_2_2_3_points)+_xlfn.SINGLE(skilltree_2_2_3_bonusPoints))+_xlfn.SINGLE(skilltree_2_2_percentage)</f>
        <v>0</v>
      </c>
    </row>
    <row r="52" spans="1:16" ht="7.5" customHeight="1">
      <c r="A52" s="10"/>
      <c r="B52" s="25"/>
      <c r="C52" s="10"/>
      <c r="D52" s="10"/>
      <c r="E52" s="10"/>
      <c r="F52" s="10"/>
      <c r="G52" s="25"/>
      <c r="H52" s="10"/>
      <c r="I52" s="10"/>
      <c r="J52" s="10"/>
      <c r="K52" s="10"/>
      <c r="L52" s="10"/>
      <c r="M52" s="10"/>
      <c r="N52" s="8"/>
      <c r="O52" s="8"/>
      <c r="P52" s="8"/>
    </row>
    <row r="53" spans="1:16" ht="15" customHeight="1">
      <c r="A53" s="10"/>
      <c r="B53" s="25"/>
      <c r="C53" s="10"/>
      <c r="D53" s="10"/>
      <c r="E53" s="10"/>
      <c r="F53" s="10"/>
      <c r="G53" s="25"/>
      <c r="H53" s="10"/>
      <c r="I53" s="10"/>
      <c r="J53" s="10"/>
      <c r="K53" s="10"/>
      <c r="L53" s="10"/>
      <c r="M53" s="22"/>
      <c r="N53" s="230" t="s">
        <v>65</v>
      </c>
      <c r="O53" s="230"/>
      <c r="P53" s="48" t="str">
        <f>"("&amp;SUM(skilltree_2_3_1_subSkills_points)&amp;" / "&amp;_xlfn.SINGLE(skilltree_2_3_1_points)&amp;")"</f>
        <v>(0 / 0)</v>
      </c>
    </row>
    <row r="54" spans="1:16" ht="15" customHeight="1">
      <c r="A54" s="10"/>
      <c r="B54" s="25"/>
      <c r="C54" s="10"/>
      <c r="D54" s="10"/>
      <c r="E54" s="10"/>
      <c r="F54" s="10"/>
      <c r="G54" s="25"/>
      <c r="H54" s="10"/>
      <c r="I54" s="10"/>
      <c r="J54" s="10"/>
      <c r="K54" s="10"/>
      <c r="L54" s="25"/>
      <c r="M54" s="26"/>
      <c r="N54" s="12">
        <v>0</v>
      </c>
      <c r="O54" s="27">
        <v>0</v>
      </c>
      <c r="P54" s="28">
        <f>3*(_xlfn.SINGLE(skilltree_2_3_1_points)+_xlfn.SINGLE(skilltree_2_3_1_bonusPoints))+_xlfn.SINGLE(skilltree_2_3_percentage)</f>
        <v>0</v>
      </c>
    </row>
    <row r="55" spans="1:16" ht="7.5" customHeight="1">
      <c r="A55" s="10"/>
      <c r="B55" s="25"/>
      <c r="C55" s="10"/>
      <c r="D55" s="10"/>
      <c r="E55" s="10"/>
      <c r="F55" s="10"/>
      <c r="G55" s="25"/>
      <c r="H55" s="10"/>
      <c r="I55" s="8"/>
      <c r="J55" s="8"/>
      <c r="K55" s="8"/>
      <c r="L55" s="29"/>
      <c r="M55" s="8"/>
      <c r="N55" s="8"/>
      <c r="O55" s="8"/>
      <c r="P55" s="8"/>
    </row>
    <row r="56" spans="1:16" ht="15" customHeight="1">
      <c r="A56" s="10"/>
      <c r="B56" s="25"/>
      <c r="C56" s="10"/>
      <c r="D56" s="10"/>
      <c r="E56" s="10"/>
      <c r="F56" s="10"/>
      <c r="G56" s="25"/>
      <c r="H56" s="22"/>
      <c r="I56" s="231" t="s">
        <v>66</v>
      </c>
      <c r="J56" s="231"/>
      <c r="K56" s="49" t="str">
        <f>"("&amp;SUM(skilltree_2_3_subSkills_points)&amp;" / "&amp;_xlfn.SINGLE(skilltree_2_3_points)&amp;")"</f>
        <v>(0 / 0)</v>
      </c>
      <c r="L56" s="31"/>
      <c r="M56" s="32"/>
      <c r="N56" s="230" t="s">
        <v>67</v>
      </c>
      <c r="O56" s="230"/>
      <c r="P56" s="48" t="str">
        <f>"("&amp;SUM(skilltree_2_3_2_subSkills_points)&amp;" / "&amp;_xlfn.SINGLE(skilltree_2_3_2_points)&amp;")"</f>
        <v>(0 / 0)</v>
      </c>
    </row>
    <row r="57" spans="1:16" ht="15" customHeight="1">
      <c r="A57" s="10"/>
      <c r="B57" s="25"/>
      <c r="C57" s="10"/>
      <c r="D57" s="10"/>
      <c r="E57" s="10"/>
      <c r="F57" s="10"/>
      <c r="G57" s="10"/>
      <c r="H57" s="26"/>
      <c r="I57" s="12">
        <v>0</v>
      </c>
      <c r="J57" s="27">
        <v>0</v>
      </c>
      <c r="K57" s="28">
        <f>2*(I57+J57)+F48</f>
        <v>0</v>
      </c>
      <c r="L57" s="33"/>
      <c r="M57" s="34"/>
      <c r="N57" s="12">
        <v>0</v>
      </c>
      <c r="O57" s="27">
        <v>0</v>
      </c>
      <c r="P57" s="28">
        <f>3*(_xlfn.SINGLE(skilltree_2_3_2_points)+_xlfn.SINGLE(skilltree_2_3_2_bonusPoints))+_xlfn.SINGLE(skilltree_2_3_percentage)</f>
        <v>0</v>
      </c>
    </row>
    <row r="58" spans="1:16" ht="7.5" customHeight="1">
      <c r="A58" s="10"/>
      <c r="B58" s="25"/>
      <c r="C58" s="10"/>
      <c r="D58" s="10"/>
      <c r="E58" s="10"/>
      <c r="F58" s="10"/>
      <c r="G58" s="10"/>
      <c r="H58" s="10"/>
      <c r="I58" s="10"/>
      <c r="J58" s="10"/>
      <c r="K58" s="10"/>
      <c r="L58" s="25"/>
      <c r="M58" s="10"/>
      <c r="N58" s="8"/>
      <c r="O58" s="8"/>
      <c r="P58" s="8"/>
    </row>
    <row r="59" spans="1:16" ht="15" customHeight="1">
      <c r="A59" s="10"/>
      <c r="B59" s="25"/>
      <c r="C59" s="10"/>
      <c r="D59" s="10"/>
      <c r="E59" s="10"/>
      <c r="F59" s="10"/>
      <c r="G59" s="10"/>
      <c r="H59" s="10"/>
      <c r="I59" s="10"/>
      <c r="J59" s="10"/>
      <c r="K59" s="10"/>
      <c r="L59" s="25"/>
      <c r="M59" s="22"/>
      <c r="N59" s="230" t="s">
        <v>68</v>
      </c>
      <c r="O59" s="230"/>
      <c r="P59" s="48" t="str">
        <f>"("&amp;SUM(skilltree_2_3_3_subSkills_points)&amp;" / "&amp;_xlfn.SINGLE(skilltree_2_3_3_points)&amp;")"</f>
        <v>(0 / 0)</v>
      </c>
    </row>
    <row r="60" spans="1:16" ht="15" customHeight="1">
      <c r="A60" s="10"/>
      <c r="B60" s="2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26"/>
      <c r="N60" s="12">
        <v>0</v>
      </c>
      <c r="O60" s="27">
        <v>0</v>
      </c>
      <c r="P60" s="28">
        <f>3*(_xlfn.SINGLE(skilltree_2_3_3_points)+_xlfn.SINGLE(skilltree_2_3_3_bonusPoints))+_xlfn.SINGLE(skilltree_2_3_percentage)</f>
        <v>0</v>
      </c>
    </row>
    <row r="61" spans="1:16" ht="7.5" customHeight="1">
      <c r="A61" s="10"/>
      <c r="B61" s="2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8"/>
      <c r="O61" s="8"/>
      <c r="P61" s="8"/>
    </row>
    <row r="62" spans="1:16" ht="15" customHeight="1">
      <c r="A62" s="10"/>
      <c r="B62" s="2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22"/>
      <c r="N62" s="226" t="s">
        <v>69</v>
      </c>
      <c r="O62" s="226"/>
      <c r="P62" s="50" t="str">
        <f>"("&amp;SUM(skilltree_3_1_1_subSkills_points)&amp;" / "&amp;_xlfn.SINGLE(skilltree_3_1_1_points)&amp;")"</f>
        <v>(0 / 0)</v>
      </c>
    </row>
    <row r="63" spans="1:16" ht="15" customHeight="1">
      <c r="A63" s="10"/>
      <c r="B63" s="25"/>
      <c r="C63" s="10"/>
      <c r="D63" s="10"/>
      <c r="E63" s="10"/>
      <c r="F63" s="10"/>
      <c r="G63" s="10"/>
      <c r="H63" s="10"/>
      <c r="I63" s="10"/>
      <c r="J63" s="10"/>
      <c r="K63" s="10"/>
      <c r="L63" s="25"/>
      <c r="M63" s="26"/>
      <c r="N63" s="12">
        <v>0</v>
      </c>
      <c r="O63" s="27">
        <v>0</v>
      </c>
      <c r="P63" s="28">
        <f>3*(_xlfn.SINGLE(skilltree_3_1_1_points)+_xlfn.SINGLE(skilltree_3_1_1_bonusPoints))+_xlfn.SINGLE(skilltree_3_1_percentage)</f>
        <v>0</v>
      </c>
    </row>
    <row r="64" spans="1:16" ht="7.5" customHeight="1">
      <c r="A64" s="10"/>
      <c r="B64" s="25"/>
      <c r="C64" s="10"/>
      <c r="D64" s="10"/>
      <c r="E64" s="10"/>
      <c r="F64" s="10"/>
      <c r="G64" s="10"/>
      <c r="H64" s="10"/>
      <c r="I64" s="8"/>
      <c r="J64" s="8"/>
      <c r="K64" s="8"/>
      <c r="L64" s="29"/>
      <c r="M64" s="8"/>
      <c r="N64" s="8"/>
      <c r="O64" s="8"/>
      <c r="P64" s="8"/>
    </row>
    <row r="65" spans="1:16" ht="15" customHeight="1">
      <c r="A65" s="10"/>
      <c r="B65" s="25"/>
      <c r="C65" s="10"/>
      <c r="D65" s="10"/>
      <c r="E65" s="10"/>
      <c r="F65" s="10"/>
      <c r="G65" s="10"/>
      <c r="H65" s="22"/>
      <c r="I65" s="232" t="s">
        <v>70</v>
      </c>
      <c r="J65" s="232"/>
      <c r="K65" s="51" t="str">
        <f>"("&amp;SUM(skilltree_3_1_subSkills_points)&amp;" / "&amp;_xlfn.SINGLE(skilltree_3_1_points)&amp;")"</f>
        <v>(0 / 0)</v>
      </c>
      <c r="L65" s="31"/>
      <c r="M65" s="32"/>
      <c r="N65" s="226" t="s">
        <v>71</v>
      </c>
      <c r="O65" s="226"/>
      <c r="P65" s="50" t="str">
        <f>"("&amp;SUM(skilltree_3_1_2_subSkills_points)&amp;" / "&amp;_xlfn.SINGLE(skilltree_3_1_2_points)&amp;")"</f>
        <v>(0 / 0)</v>
      </c>
    </row>
    <row r="66" spans="1:16" ht="15" customHeight="1">
      <c r="A66" s="10"/>
      <c r="B66" s="25"/>
      <c r="C66" s="10"/>
      <c r="D66" s="10"/>
      <c r="E66" s="10"/>
      <c r="F66" s="10"/>
      <c r="G66" s="25"/>
      <c r="H66" s="26"/>
      <c r="I66" s="12">
        <v>0</v>
      </c>
      <c r="J66" s="27">
        <v>0</v>
      </c>
      <c r="K66" s="28">
        <f>2*(I66+J66)+F75</f>
        <v>0</v>
      </c>
      <c r="L66" s="33"/>
      <c r="M66" s="34"/>
      <c r="N66" s="12">
        <v>0</v>
      </c>
      <c r="O66" s="27">
        <v>0</v>
      </c>
      <c r="P66" s="28">
        <f>3*(_xlfn.SINGLE(skilltree_3_1_2_points)+_xlfn.SINGLE(skilltree_3_1_2_bonusPoints))+_xlfn.SINGLE(skilltree_3_1_percentage)</f>
        <v>0</v>
      </c>
    </row>
    <row r="67" spans="1:16" ht="7.5" customHeight="1">
      <c r="A67" s="10"/>
      <c r="B67" s="25"/>
      <c r="C67" s="10"/>
      <c r="D67" s="10"/>
      <c r="E67" s="10"/>
      <c r="F67" s="10"/>
      <c r="G67" s="25"/>
      <c r="H67" s="10"/>
      <c r="I67" s="10"/>
      <c r="J67" s="10"/>
      <c r="K67" s="10"/>
      <c r="L67" s="25"/>
      <c r="M67" s="10"/>
      <c r="N67" s="8"/>
      <c r="O67" s="8"/>
      <c r="P67" s="8"/>
    </row>
    <row r="68" spans="1:16" ht="15" customHeight="1">
      <c r="A68" s="10"/>
      <c r="B68" s="25"/>
      <c r="C68" s="10"/>
      <c r="D68" s="10"/>
      <c r="E68" s="10"/>
      <c r="F68" s="10"/>
      <c r="G68" s="25"/>
      <c r="H68" s="10"/>
      <c r="I68" s="10"/>
      <c r="J68" s="10"/>
      <c r="K68" s="10"/>
      <c r="L68" s="25"/>
      <c r="M68" s="22"/>
      <c r="N68" s="226" t="s">
        <v>72</v>
      </c>
      <c r="O68" s="226"/>
      <c r="P68" s="50" t="str">
        <f>"("&amp;SUM(skilltree_3_1_3_subSkills_points)&amp;" / "&amp;_xlfn.SINGLE(skilltree_3_1_3_points)&amp;")"</f>
        <v>(0 / 0)</v>
      </c>
    </row>
    <row r="69" spans="1:16" ht="15" customHeight="1">
      <c r="A69" s="10"/>
      <c r="B69" s="25"/>
      <c r="C69" s="10"/>
      <c r="D69" s="10"/>
      <c r="E69" s="10"/>
      <c r="F69" s="10"/>
      <c r="G69" s="25"/>
      <c r="H69" s="10"/>
      <c r="I69" s="10"/>
      <c r="J69" s="10"/>
      <c r="K69" s="10"/>
      <c r="L69" s="10"/>
      <c r="M69" s="26"/>
      <c r="N69" s="12">
        <v>0</v>
      </c>
      <c r="O69" s="27">
        <v>0</v>
      </c>
      <c r="P69" s="28">
        <f>3*(_xlfn.SINGLE(skilltree_3_1_3_points)+_xlfn.SINGLE(skilltree_3_1_3_bonusPoints))+_xlfn.SINGLE(skilltree_3_1_percentage)</f>
        <v>0</v>
      </c>
    </row>
    <row r="70" spans="1:16" ht="7.5" customHeight="1">
      <c r="A70" s="10"/>
      <c r="B70" s="25"/>
      <c r="C70" s="10"/>
      <c r="D70" s="10"/>
      <c r="E70" s="10"/>
      <c r="F70" s="10"/>
      <c r="G70" s="25"/>
      <c r="H70" s="10"/>
      <c r="I70" s="10"/>
      <c r="J70" s="10"/>
      <c r="K70" s="10"/>
      <c r="L70" s="10"/>
      <c r="M70" s="10"/>
      <c r="N70" s="8"/>
      <c r="O70" s="8"/>
      <c r="P70" s="8"/>
    </row>
    <row r="71" spans="1:16" ht="15" customHeight="1">
      <c r="A71" s="10"/>
      <c r="B71" s="25"/>
      <c r="C71" s="10"/>
      <c r="D71" s="10"/>
      <c r="E71" s="10"/>
      <c r="F71" s="10"/>
      <c r="G71" s="25"/>
      <c r="H71" s="10"/>
      <c r="I71" s="10"/>
      <c r="J71" s="10"/>
      <c r="K71" s="10"/>
      <c r="L71" s="10"/>
      <c r="M71" s="22"/>
      <c r="N71" s="227" t="s">
        <v>73</v>
      </c>
      <c r="O71" s="227"/>
      <c r="P71" s="52" t="str">
        <f>"("&amp;SUM(skilltree_3_2_1_subSkills_points)&amp;" / "&amp;_xlfn.SINGLE(skilltree_3_2_1_points)&amp;")"</f>
        <v>(0 / 0)</v>
      </c>
    </row>
    <row r="72" spans="1:16" ht="15" customHeight="1">
      <c r="A72" s="10"/>
      <c r="B72" s="25"/>
      <c r="C72" s="10"/>
      <c r="D72" s="10"/>
      <c r="E72" s="10"/>
      <c r="F72" s="10"/>
      <c r="G72" s="25"/>
      <c r="H72" s="10"/>
      <c r="I72" s="10"/>
      <c r="J72" s="10"/>
      <c r="K72" s="10"/>
      <c r="L72" s="25"/>
      <c r="M72" s="26"/>
      <c r="N72" s="12">
        <v>0</v>
      </c>
      <c r="O72" s="27">
        <v>0</v>
      </c>
      <c r="P72" s="28">
        <f>3*(_xlfn.SINGLE(skilltree_3_2_1_points)+_xlfn.SINGLE(skilltree_3_2_1_bonusPoints))+_xlfn.SINGLE(skilltree_3_2_percentage)</f>
        <v>0</v>
      </c>
    </row>
    <row r="73" spans="1:16" ht="7.5" customHeight="1">
      <c r="A73" s="10"/>
      <c r="B73" s="25"/>
      <c r="C73" s="10"/>
      <c r="D73" s="8"/>
      <c r="E73" s="8"/>
      <c r="F73" s="8"/>
      <c r="G73" s="29"/>
      <c r="H73" s="8"/>
      <c r="I73" s="8"/>
      <c r="J73" s="8"/>
      <c r="K73" s="8"/>
      <c r="L73" s="29"/>
      <c r="M73" s="8"/>
      <c r="N73" s="8"/>
      <c r="O73" s="8"/>
      <c r="P73" s="8"/>
    </row>
    <row r="74" spans="1:16" ht="15" customHeight="1">
      <c r="A74" s="10"/>
      <c r="B74" s="25"/>
      <c r="C74" s="22"/>
      <c r="D74" s="228" t="s">
        <v>74</v>
      </c>
      <c r="E74" s="228"/>
      <c r="F74" s="53" t="str">
        <f>"("&amp;SUM(skilltree_3_subSkills_points)&amp;" / "&amp;_xlfn.SINGLE(skilltree_3_points)&amp;")"</f>
        <v>(0 / 0)</v>
      </c>
      <c r="G74" s="31"/>
      <c r="H74" s="32"/>
      <c r="I74" s="229" t="s">
        <v>75</v>
      </c>
      <c r="J74" s="229"/>
      <c r="K74" s="54" t="str">
        <f>"("&amp;SUM(skilltree_3_2_subSkills_points)&amp;" / "&amp;_xlfn.SINGLE(skilltree_3_2_points)&amp;")"</f>
        <v>(0 / 0)</v>
      </c>
      <c r="L74" s="31"/>
      <c r="M74" s="32"/>
      <c r="N74" s="227" t="s">
        <v>76</v>
      </c>
      <c r="O74" s="227"/>
      <c r="P74" s="52" t="str">
        <f>"("&amp;SUM(skilltree_3_2_2_subSkills_points)&amp;" / "&amp;_xlfn.SINGLE(skilltree_3_2_2_points)&amp;")"</f>
        <v>(0 / 0)</v>
      </c>
    </row>
    <row r="75" spans="1:16" ht="15" customHeight="1">
      <c r="A75" s="10"/>
      <c r="B75" s="10"/>
      <c r="C75" s="26"/>
      <c r="D75" s="12">
        <v>0</v>
      </c>
      <c r="E75" s="27">
        <v>0</v>
      </c>
      <c r="F75" s="28">
        <f>(D75+E75)</f>
        <v>0</v>
      </c>
      <c r="G75" s="33"/>
      <c r="H75" s="34"/>
      <c r="I75" s="12">
        <v>0</v>
      </c>
      <c r="J75" s="27">
        <v>0</v>
      </c>
      <c r="K75" s="28">
        <f>2*(I75+J75)+F75</f>
        <v>0</v>
      </c>
      <c r="L75" s="33"/>
      <c r="M75" s="34"/>
      <c r="N75" s="12">
        <v>0</v>
      </c>
      <c r="O75" s="27">
        <v>0</v>
      </c>
      <c r="P75" s="28">
        <f>3*(_xlfn.SINGLE(skilltree_3_2_2_points)+_xlfn.SINGLE(skilltree_3_2_2_bonusPoints))+_xlfn.SINGLE(skilltree_3_2_percentage)</f>
        <v>0</v>
      </c>
    </row>
    <row r="76" spans="1:16" ht="7.5" customHeight="1">
      <c r="A76" s="10"/>
      <c r="B76" s="10"/>
      <c r="C76" s="10"/>
      <c r="D76" s="10"/>
      <c r="E76" s="10"/>
      <c r="F76" s="10"/>
      <c r="G76" s="25"/>
      <c r="H76" s="10"/>
      <c r="I76" s="10"/>
      <c r="J76" s="10"/>
      <c r="K76" s="10"/>
      <c r="L76" s="25"/>
      <c r="M76" s="10"/>
      <c r="N76" s="8"/>
      <c r="O76" s="8"/>
      <c r="P76" s="8"/>
    </row>
    <row r="77" spans="1:16" ht="15" customHeight="1">
      <c r="A77" s="10"/>
      <c r="B77" s="10"/>
      <c r="C77" s="10"/>
      <c r="D77" s="10"/>
      <c r="E77" s="10"/>
      <c r="F77" s="10"/>
      <c r="G77" s="25"/>
      <c r="H77" s="10"/>
      <c r="I77" s="10"/>
      <c r="J77" s="10"/>
      <c r="K77" s="10"/>
      <c r="L77" s="25"/>
      <c r="M77" s="22"/>
      <c r="N77" s="227" t="s">
        <v>77</v>
      </c>
      <c r="O77" s="227"/>
      <c r="P77" s="52" t="str">
        <f>"("&amp;SUM(skilltree_3_2_3_subSkills_points)&amp;" / "&amp;_xlfn.SINGLE(skilltree_3_2_3_points)&amp;")"</f>
        <v>(0 / 0)</v>
      </c>
    </row>
    <row r="78" spans="1:16" ht="15" customHeight="1">
      <c r="A78" s="10"/>
      <c r="B78" s="10"/>
      <c r="C78" s="10"/>
      <c r="D78" s="10"/>
      <c r="E78" s="10"/>
      <c r="F78" s="10"/>
      <c r="G78" s="25"/>
      <c r="H78" s="10"/>
      <c r="I78" s="10"/>
      <c r="J78" s="10"/>
      <c r="K78" s="10"/>
      <c r="L78" s="10"/>
      <c r="M78" s="26"/>
      <c r="N78" s="12">
        <v>0</v>
      </c>
      <c r="O78" s="27">
        <v>0</v>
      </c>
      <c r="P78" s="28">
        <f>3*(_xlfn.SINGLE(skilltree_3_2_3_points)+_xlfn.SINGLE(skilltree_3_2_3_bonusPoints))+_xlfn.SINGLE(skilltree_3_2_percentage)</f>
        <v>0</v>
      </c>
    </row>
    <row r="79" spans="1:16" ht="7.5" customHeight="1">
      <c r="A79" s="10"/>
      <c r="B79" s="10"/>
      <c r="C79" s="10"/>
      <c r="D79" s="10"/>
      <c r="E79" s="10"/>
      <c r="F79" s="10"/>
      <c r="G79" s="25"/>
      <c r="H79" s="10"/>
      <c r="I79" s="10"/>
      <c r="J79" s="10"/>
      <c r="K79" s="10"/>
      <c r="L79" s="10"/>
      <c r="M79" s="10"/>
      <c r="N79" s="8"/>
      <c r="O79" s="8"/>
      <c r="P79" s="8"/>
    </row>
    <row r="80" spans="1:16" ht="15" customHeight="1">
      <c r="A80" s="10"/>
      <c r="B80" s="10"/>
      <c r="C80" s="10"/>
      <c r="D80" s="10"/>
      <c r="E80" s="10"/>
      <c r="F80" s="10"/>
      <c r="G80" s="25"/>
      <c r="H80" s="10"/>
      <c r="I80" s="10"/>
      <c r="J80" s="10"/>
      <c r="K80" s="10"/>
      <c r="L80" s="10"/>
      <c r="M80" s="22"/>
      <c r="N80" s="224" t="s">
        <v>78</v>
      </c>
      <c r="O80" s="224"/>
      <c r="P80" s="55" t="str">
        <f>"("&amp;SUM(skilltree_3_3_1_subSkills_points)&amp;" / "&amp;_xlfn.SINGLE(skilltree_3_3_1_points)&amp;")"</f>
        <v>(0 / 0)</v>
      </c>
    </row>
    <row r="81" spans="1:16" ht="15" customHeight="1">
      <c r="A81" s="10"/>
      <c r="B81" s="10"/>
      <c r="C81" s="10"/>
      <c r="D81" s="10"/>
      <c r="E81" s="10"/>
      <c r="F81" s="10"/>
      <c r="G81" s="25"/>
      <c r="H81" s="10"/>
      <c r="I81" s="10"/>
      <c r="J81" s="10"/>
      <c r="K81" s="10"/>
      <c r="L81" s="25"/>
      <c r="M81" s="26"/>
      <c r="N81" s="12">
        <v>0</v>
      </c>
      <c r="O81" s="27">
        <v>0</v>
      </c>
      <c r="P81" s="28">
        <f>3*(_xlfn.SINGLE(skilltree_3_3_1_points)+_xlfn.SINGLE(skilltree_3_3_1_bonusPoints))+_xlfn.SINGLE(skilltree_3_3_percentage)</f>
        <v>0</v>
      </c>
    </row>
    <row r="82" spans="1:16" ht="7.5" customHeight="1">
      <c r="A82" s="10"/>
      <c r="B82" s="10"/>
      <c r="C82" s="10"/>
      <c r="D82" s="10"/>
      <c r="E82" s="10"/>
      <c r="F82" s="10"/>
      <c r="G82" s="25"/>
      <c r="H82" s="10"/>
      <c r="I82" s="8"/>
      <c r="J82" s="8"/>
      <c r="K82" s="8"/>
      <c r="L82" s="29"/>
      <c r="M82" s="8"/>
      <c r="N82" s="8"/>
      <c r="O82" s="8"/>
      <c r="P82" s="8"/>
    </row>
    <row r="83" spans="1:16" ht="15" customHeight="1">
      <c r="A83" s="10"/>
      <c r="B83" s="10"/>
      <c r="C83" s="10"/>
      <c r="D83" s="10"/>
      <c r="E83" s="10"/>
      <c r="F83" s="10"/>
      <c r="G83" s="25"/>
      <c r="H83" s="22"/>
      <c r="I83" s="225" t="s">
        <v>79</v>
      </c>
      <c r="J83" s="225"/>
      <c r="K83" s="56" t="str">
        <f>"("&amp;SUM(skilltree_3_3_subSkills_points)&amp;" / "&amp;_xlfn.SINGLE(skilltree_3_3_points)&amp;")"</f>
        <v>(0 / 0)</v>
      </c>
      <c r="L83" s="31"/>
      <c r="M83" s="32"/>
      <c r="N83" s="224" t="s">
        <v>80</v>
      </c>
      <c r="O83" s="224"/>
      <c r="P83" s="55" t="str">
        <f>"("&amp;SUM(skilltree_3_3_2_subSkills_points)&amp;" / "&amp;_xlfn.SINGLE(skilltree_3_3_2_points)&amp;")"</f>
        <v>(0 / 0)</v>
      </c>
    </row>
    <row r="84" spans="1:16" ht="15" customHeight="1">
      <c r="A84" s="10"/>
      <c r="B84" s="10"/>
      <c r="C84" s="10"/>
      <c r="D84" s="10"/>
      <c r="E84" s="10"/>
      <c r="F84" s="10"/>
      <c r="G84" s="10"/>
      <c r="H84" s="26"/>
      <c r="I84" s="12">
        <v>0</v>
      </c>
      <c r="J84" s="27">
        <v>0</v>
      </c>
      <c r="K84" s="28">
        <f>2*(I84+J84)+F75</f>
        <v>0</v>
      </c>
      <c r="L84" s="33"/>
      <c r="M84" s="34"/>
      <c r="N84" s="12">
        <v>0</v>
      </c>
      <c r="O84" s="27">
        <v>0</v>
      </c>
      <c r="P84" s="28">
        <f>3*(_xlfn.SINGLE(skilltree_3_3_2_points)+_xlfn.SINGLE(skilltree_3_3_2_bonusPoints))+_xlfn.SINGLE(skilltree_3_3_percentage)</f>
        <v>0</v>
      </c>
    </row>
    <row r="85" spans="1:16" ht="7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25"/>
      <c r="M85" s="10"/>
      <c r="N85" s="8"/>
      <c r="O85" s="8"/>
      <c r="P85" s="8"/>
    </row>
    <row r="86" spans="1:1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25"/>
      <c r="M86" s="22"/>
      <c r="N86" s="224" t="s">
        <v>81</v>
      </c>
      <c r="O86" s="224"/>
      <c r="P86" s="55" t="str">
        <f>"("&amp;SUM(skilltree_3_3_3_subSkills_points)&amp;" / "&amp;_xlfn.SINGLE(skilltree_3_3_3_points)&amp;")"</f>
        <v>(0 / 0)</v>
      </c>
    </row>
    <row r="87" spans="1:16" ht="15" customHeight="1">
      <c r="A87" s="57"/>
      <c r="B87" s="57"/>
      <c r="C87" s="57"/>
      <c r="D87" s="57"/>
      <c r="E87" s="57"/>
      <c r="F87" s="57"/>
      <c r="G87" s="57"/>
      <c r="H87" s="57"/>
      <c r="I87" s="10"/>
      <c r="J87" s="10"/>
      <c r="K87" s="10"/>
      <c r="L87" s="10"/>
      <c r="M87" s="26"/>
      <c r="N87" s="12">
        <v>0</v>
      </c>
      <c r="O87" s="27">
        <v>0</v>
      </c>
      <c r="P87" s="28">
        <f>3*(N87+O87)+K84</f>
        <v>0</v>
      </c>
    </row>
    <row r="88" spans="1:16" ht="30" customHeight="1">
      <c r="A88" s="213" t="s">
        <v>367</v>
      </c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</row>
  </sheetData>
  <mergeCells count="51">
    <mergeCell ref="A1:C2"/>
    <mergeCell ref="E2:N2"/>
    <mergeCell ref="F3:N3"/>
    <mergeCell ref="D5:E5"/>
    <mergeCell ref="I5:J5"/>
    <mergeCell ref="N5:O5"/>
    <mergeCell ref="D1:O1"/>
    <mergeCell ref="N23:O23"/>
    <mergeCell ref="A6:B6"/>
    <mergeCell ref="D6:F6"/>
    <mergeCell ref="I6:K6"/>
    <mergeCell ref="N6:P6"/>
    <mergeCell ref="N8:O8"/>
    <mergeCell ref="I11:J11"/>
    <mergeCell ref="N11:O11"/>
    <mergeCell ref="N14:O14"/>
    <mergeCell ref="N17:O17"/>
    <mergeCell ref="D20:E20"/>
    <mergeCell ref="I20:J20"/>
    <mergeCell ref="N20:O20"/>
    <mergeCell ref="N50:O50"/>
    <mergeCell ref="N26:O26"/>
    <mergeCell ref="I29:J29"/>
    <mergeCell ref="N29:O29"/>
    <mergeCell ref="N32:O32"/>
    <mergeCell ref="N35:O35"/>
    <mergeCell ref="I38:J38"/>
    <mergeCell ref="N38:O38"/>
    <mergeCell ref="N41:O41"/>
    <mergeCell ref="N44:O44"/>
    <mergeCell ref="D47:E47"/>
    <mergeCell ref="I47:J47"/>
    <mergeCell ref="N47:O47"/>
    <mergeCell ref="N77:O77"/>
    <mergeCell ref="N53:O53"/>
    <mergeCell ref="I56:J56"/>
    <mergeCell ref="N56:O56"/>
    <mergeCell ref="N59:O59"/>
    <mergeCell ref="N62:O62"/>
    <mergeCell ref="I65:J65"/>
    <mergeCell ref="N65:O65"/>
    <mergeCell ref="N68:O68"/>
    <mergeCell ref="N71:O71"/>
    <mergeCell ref="D74:E74"/>
    <mergeCell ref="I74:J74"/>
    <mergeCell ref="N74:O74"/>
    <mergeCell ref="N80:O80"/>
    <mergeCell ref="I83:J83"/>
    <mergeCell ref="N83:O83"/>
    <mergeCell ref="N86:O86"/>
    <mergeCell ref="A88:P88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3"/>
  <sheetViews>
    <sheetView showGridLines="0" topLeftCell="G19" workbookViewId="0">
      <selection activeCell="D79" sqref="D79"/>
    </sheetView>
  </sheetViews>
  <sheetFormatPr defaultRowHeight="15.75" customHeight="1"/>
  <cols>
    <col min="1" max="3" width="5.625" style="1" customWidth="1"/>
    <col min="4" max="4" width="30.625" style="1" customWidth="1"/>
    <col min="5" max="6" width="3" style="1" customWidth="1"/>
    <col min="7" max="9" width="5.625" style="1" customWidth="1"/>
    <col min="10" max="10" width="30.625" style="1" customWidth="1"/>
    <col min="11" max="12" width="3" style="1" customWidth="1"/>
    <col min="13" max="15" width="5.625" style="1" customWidth="1"/>
    <col min="16" max="16" width="30.625" style="1" customWidth="1"/>
    <col min="17" max="1024" width="9.75" style="1" customWidth="1"/>
    <col min="1025" max="16384" width="9" style="1"/>
  </cols>
  <sheetData>
    <row r="1" spans="1:16" ht="22.5" customHeight="1">
      <c r="A1" s="219"/>
      <c r="B1" s="219"/>
      <c r="C1" s="10"/>
      <c r="D1" s="10"/>
      <c r="E1" s="220" t="s">
        <v>0</v>
      </c>
      <c r="F1" s="220"/>
      <c r="G1" s="220"/>
      <c r="H1" s="220"/>
      <c r="I1" s="220"/>
      <c r="J1" s="220"/>
      <c r="K1" s="220"/>
      <c r="L1" s="220"/>
      <c r="M1" s="10"/>
      <c r="N1" s="10"/>
      <c r="O1" s="10"/>
      <c r="P1" s="10"/>
    </row>
    <row r="2" spans="1:16" ht="45" customHeight="1">
      <c r="A2" s="219"/>
      <c r="B2" s="219"/>
      <c r="C2" s="18"/>
      <c r="D2" s="18"/>
      <c r="E2" s="18"/>
      <c r="F2" s="18"/>
      <c r="G2" s="262" t="s">
        <v>82</v>
      </c>
      <c r="H2" s="262"/>
      <c r="I2" s="262"/>
      <c r="J2" s="262"/>
      <c r="K2" s="18"/>
      <c r="L2" s="18"/>
      <c r="M2" s="18"/>
      <c r="N2" s="18"/>
      <c r="O2" s="18"/>
      <c r="P2" s="18"/>
    </row>
    <row r="3" spans="1:16" ht="14.25">
      <c r="A3" s="10"/>
      <c r="B3" s="10"/>
      <c r="C3" s="10"/>
      <c r="D3" s="58"/>
      <c r="E3" s="10"/>
      <c r="F3" s="10"/>
      <c r="G3" s="248" t="s">
        <v>2</v>
      </c>
      <c r="H3" s="248"/>
      <c r="I3" s="247"/>
      <c r="J3" s="247"/>
      <c r="K3" s="10"/>
      <c r="L3" s="10"/>
      <c r="M3" s="10"/>
      <c r="N3" s="10"/>
      <c r="O3" s="10"/>
      <c r="P3" s="10"/>
    </row>
    <row r="4" spans="1:16" ht="14.25">
      <c r="A4" s="10"/>
      <c r="B4" s="10"/>
      <c r="C4" s="10"/>
      <c r="D4" s="59"/>
      <c r="E4" s="19"/>
      <c r="F4" s="19"/>
      <c r="G4" s="248" t="s">
        <v>83</v>
      </c>
      <c r="H4" s="248"/>
      <c r="I4" s="248" t="str">
        <f>"("&amp;SUM(skilltree_tier4_1_pointsAssigned,skilltree_tier4_2_pointsAssigned,skilltree_tier4_3_pointsAssigned)&amp;" / "&amp;_xlfn.SINGLE(skilltree_0_points)&amp;")"</f>
        <v>(0 / 3)</v>
      </c>
      <c r="J4" s="248"/>
      <c r="K4" s="10"/>
      <c r="L4" s="10"/>
      <c r="M4" s="10"/>
      <c r="N4" s="10"/>
      <c r="O4" s="10"/>
      <c r="P4" s="10"/>
    </row>
    <row r="5" spans="1:16" ht="14.25" customHeight="1">
      <c r="A5" s="10"/>
      <c r="B5" s="10"/>
      <c r="C5" s="10"/>
      <c r="D5" s="59"/>
      <c r="E5" s="108"/>
      <c r="F5" s="108"/>
      <c r="G5" s="249" t="s">
        <v>38</v>
      </c>
      <c r="H5" s="250"/>
      <c r="I5" s="249" t="s">
        <v>84</v>
      </c>
      <c r="J5" s="250"/>
      <c r="K5" s="10"/>
      <c r="L5" s="10"/>
      <c r="M5" s="10"/>
      <c r="N5" s="10"/>
      <c r="O5" s="10"/>
      <c r="P5" s="10"/>
    </row>
    <row r="6" spans="1:16" ht="14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14.25">
      <c r="A7" s="248" t="s">
        <v>85</v>
      </c>
      <c r="B7" s="248"/>
      <c r="C7" s="248"/>
      <c r="D7" s="248"/>
      <c r="E7" s="60"/>
      <c r="F7" s="61"/>
      <c r="G7" s="248" t="s">
        <v>86</v>
      </c>
      <c r="H7" s="248"/>
      <c r="I7" s="248"/>
      <c r="J7" s="248"/>
      <c r="K7" s="60"/>
      <c r="L7" s="61"/>
      <c r="M7" s="248" t="s">
        <v>87</v>
      </c>
      <c r="N7" s="248"/>
      <c r="O7" s="248"/>
      <c r="P7" s="248"/>
    </row>
    <row r="8" spans="1:16" ht="14.25">
      <c r="A8" s="10"/>
      <c r="B8" s="10"/>
      <c r="C8" s="10"/>
      <c r="D8" s="10"/>
      <c r="E8" s="60"/>
      <c r="F8" s="61"/>
      <c r="G8" s="10"/>
      <c r="H8" s="10"/>
      <c r="I8" s="10"/>
      <c r="J8" s="10"/>
      <c r="K8" s="60"/>
      <c r="L8" s="61"/>
      <c r="M8" s="10"/>
      <c r="N8" s="10"/>
      <c r="O8" s="10"/>
      <c r="P8" s="10"/>
    </row>
    <row r="9" spans="1:16" ht="14.25">
      <c r="A9" s="261" t="s">
        <v>42</v>
      </c>
      <c r="B9" s="261"/>
      <c r="C9" s="261"/>
      <c r="D9" s="261"/>
      <c r="E9" s="62"/>
      <c r="F9" s="63"/>
      <c r="G9" s="259" t="s">
        <v>55</v>
      </c>
      <c r="H9" s="259"/>
      <c r="I9" s="259"/>
      <c r="J9" s="259"/>
      <c r="K9" s="62"/>
      <c r="L9" s="63"/>
      <c r="M9" s="260" t="s">
        <v>69</v>
      </c>
      <c r="N9" s="260"/>
      <c r="O9" s="260"/>
      <c r="P9" s="260"/>
    </row>
    <row r="10" spans="1:16" ht="14.25">
      <c r="A10" s="109">
        <v>0</v>
      </c>
      <c r="B10" s="110">
        <v>0</v>
      </c>
      <c r="C10" s="111">
        <f>4*(_xlfn.SINGLE(skilltree_1_1_1_1_points)+_xlfn.SINGLE(skilltree_1_1_1_1_bonusPoints))+_xlfn.SINGLE(skilltree_1_1_1_percentage)</f>
        <v>0</v>
      </c>
      <c r="D10" s="112"/>
      <c r="E10" s="64"/>
      <c r="F10" s="65"/>
      <c r="G10" s="109">
        <v>0</v>
      </c>
      <c r="H10" s="110">
        <v>0</v>
      </c>
      <c r="I10" s="111">
        <f>4*(_xlfn.SINGLE(skilltree_2_1_1_1_points)+_xlfn.SINGLE(skilltree_2_1_1_1_bonusPoints))+_xlfn.SINGLE(skilltree_2_1_1_percentage)</f>
        <v>0</v>
      </c>
      <c r="J10" s="112"/>
      <c r="K10" s="64"/>
      <c r="L10" s="65"/>
      <c r="M10" s="109">
        <v>0</v>
      </c>
      <c r="N10" s="110">
        <v>0</v>
      </c>
      <c r="O10" s="111">
        <f>4*(_xlfn.SINGLE(skilltree_3_1_1_1_points)+_xlfn.SINGLE(skilltree_3_1_1_1_bonusPoints))+_xlfn.SINGLE(skilltree_3_1_1_percentage)</f>
        <v>0</v>
      </c>
      <c r="P10" s="112"/>
    </row>
    <row r="11" spans="1:16" ht="14.25">
      <c r="A11" s="113">
        <v>0</v>
      </c>
      <c r="B11" s="114">
        <v>0</v>
      </c>
      <c r="C11" s="111">
        <f>4*(_xlfn.SINGLE(skilltree_1_1_1_2_points)+_xlfn.SINGLE(skilltree_1_1_1_2_bonusPoints))+_xlfn.SINGLE(skilltree_1_1_1_percentage)</f>
        <v>0</v>
      </c>
      <c r="D11" s="115"/>
      <c r="E11" s="64"/>
      <c r="F11" s="65"/>
      <c r="G11" s="113">
        <v>0</v>
      </c>
      <c r="H11" s="114">
        <v>0</v>
      </c>
      <c r="I11" s="111">
        <f>4*(_xlfn.SINGLE(skilltree_2_1_1_2_points)+_xlfn.SINGLE(skilltree_2_1_1_2_bonusPoints))+_xlfn.SINGLE(skilltree_2_1_1_percentage)</f>
        <v>0</v>
      </c>
      <c r="J11" s="115"/>
      <c r="K11" s="64"/>
      <c r="L11" s="65"/>
      <c r="M11" s="113">
        <v>0</v>
      </c>
      <c r="N11" s="114">
        <v>0</v>
      </c>
      <c r="O11" s="111">
        <f>4*(_xlfn.SINGLE(skilltree_3_1_1_2_points)+_xlfn.SINGLE(skilltree_3_1_1_2_bonusPoints))+_xlfn.SINGLE(skilltree_3_1_1_percentage)</f>
        <v>0</v>
      </c>
      <c r="P11" s="115"/>
    </row>
    <row r="12" spans="1:16" ht="14.25">
      <c r="A12" s="113">
        <v>0</v>
      </c>
      <c r="B12" s="114">
        <v>0</v>
      </c>
      <c r="C12" s="111">
        <f>4*(_xlfn.SINGLE(skilltree_1_1_1_3_points)+_xlfn.SINGLE(skilltree_1_1_1_3_bonusPoints))+_xlfn.SINGLE(skilltree_1_1_1_percentage)</f>
        <v>0</v>
      </c>
      <c r="D12" s="115"/>
      <c r="E12" s="64"/>
      <c r="F12" s="65"/>
      <c r="G12" s="113">
        <v>0</v>
      </c>
      <c r="H12" s="114">
        <v>0</v>
      </c>
      <c r="I12" s="111">
        <f>4*(_xlfn.SINGLE(skilltree_2_1_1_3_points)+_xlfn.SINGLE(skilltree_2_1_1_3_bonusPoints))+_xlfn.SINGLE(skilltree_2_1_1_percentage)</f>
        <v>0</v>
      </c>
      <c r="J12" s="115"/>
      <c r="K12" s="64"/>
      <c r="L12" s="65"/>
      <c r="M12" s="113">
        <v>0</v>
      </c>
      <c r="N12" s="114">
        <v>0</v>
      </c>
      <c r="O12" s="111">
        <f>4*(_xlfn.SINGLE(skilltree_3_1_1_3_points)+_xlfn.SINGLE(skilltree_3_1_1_3_bonusPoints))+_xlfn.SINGLE(skilltree_3_1_1_percentage)</f>
        <v>0</v>
      </c>
      <c r="P12" s="115"/>
    </row>
    <row r="13" spans="1:16" ht="7.5" customHeight="1">
      <c r="A13" s="10"/>
      <c r="B13" s="10"/>
      <c r="C13" s="10"/>
      <c r="D13" s="10"/>
      <c r="E13" s="60"/>
      <c r="F13" s="61"/>
      <c r="G13" s="10"/>
      <c r="H13" s="10"/>
      <c r="I13" s="10"/>
      <c r="J13" s="10"/>
      <c r="K13" s="60"/>
      <c r="L13" s="61"/>
      <c r="M13" s="66"/>
      <c r="N13" s="66"/>
      <c r="O13" s="66"/>
      <c r="P13" s="66"/>
    </row>
    <row r="14" spans="1:16" ht="14.25" customHeight="1">
      <c r="A14" s="240" t="s">
        <v>44</v>
      </c>
      <c r="B14" s="257"/>
      <c r="C14" s="257"/>
      <c r="D14" s="258"/>
      <c r="E14" s="62"/>
      <c r="F14" s="63"/>
      <c r="G14" s="259" t="s">
        <v>57</v>
      </c>
      <c r="H14" s="259"/>
      <c r="I14" s="259"/>
      <c r="J14" s="259"/>
      <c r="K14" s="62"/>
      <c r="L14" s="63"/>
      <c r="M14" s="260" t="s">
        <v>71</v>
      </c>
      <c r="N14" s="260"/>
      <c r="O14" s="260"/>
      <c r="P14" s="260"/>
    </row>
    <row r="15" spans="1:16" ht="14.25">
      <c r="A15" s="109">
        <v>0</v>
      </c>
      <c r="B15" s="110">
        <v>0</v>
      </c>
      <c r="C15" s="111">
        <f>4*(_xlfn.SINGLE(skilltree_1_1_2_1_points)+_xlfn.SINGLE(skilltree_1_1_2_1_bonusPoints))+_xlfn.SINGLE(skilltree_1_1_2_percentage)</f>
        <v>0</v>
      </c>
      <c r="D15" s="112"/>
      <c r="E15" s="64"/>
      <c r="F15" s="65"/>
      <c r="G15" s="109">
        <v>0</v>
      </c>
      <c r="H15" s="110">
        <v>0</v>
      </c>
      <c r="I15" s="111">
        <f>4*(_xlfn.SINGLE(skilltree_2_1_2_1_points)+_xlfn.SINGLE(skilltree_2_1_2_1_bonusPoints))+_xlfn.SINGLE(skilltree_2_1_2_percentage)</f>
        <v>0</v>
      </c>
      <c r="J15" s="112"/>
      <c r="K15" s="64"/>
      <c r="L15" s="65"/>
      <c r="M15" s="109">
        <v>0</v>
      </c>
      <c r="N15" s="110">
        <v>0</v>
      </c>
      <c r="O15" s="111">
        <f>4*(_xlfn.SINGLE(skilltree_3_1_2_1_points)+_xlfn.SINGLE(skilltree_3_1_2_1_bonusPoints))+_xlfn.SINGLE(skilltree_3_1_2_percentage)</f>
        <v>0</v>
      </c>
      <c r="P15" s="112"/>
    </row>
    <row r="16" spans="1:16" ht="14.25">
      <c r="A16" s="113">
        <v>0</v>
      </c>
      <c r="B16" s="114">
        <v>0</v>
      </c>
      <c r="C16" s="111">
        <f>4*(_xlfn.SINGLE(skilltree_1_1_2_2_points)+_xlfn.SINGLE(skilltree_1_1_2_2_bonusPoints))+_xlfn.SINGLE(skilltree_1_1_2_percentage)</f>
        <v>0</v>
      </c>
      <c r="D16" s="115"/>
      <c r="E16" s="64"/>
      <c r="F16" s="65"/>
      <c r="G16" s="113">
        <v>0</v>
      </c>
      <c r="H16" s="114">
        <v>0</v>
      </c>
      <c r="I16" s="111">
        <f>4*(_xlfn.SINGLE(skilltree_2_1_2_2_points)+_xlfn.SINGLE(skilltree_2_1_2_2_bonusPoints))+_xlfn.SINGLE(skilltree_2_1_2_percentage)</f>
        <v>0</v>
      </c>
      <c r="J16" s="115"/>
      <c r="K16" s="64"/>
      <c r="L16" s="65"/>
      <c r="M16" s="113">
        <v>0</v>
      </c>
      <c r="N16" s="114">
        <v>0</v>
      </c>
      <c r="O16" s="111">
        <f>4*(_xlfn.SINGLE(skilltree_3_1_2_2_points)+_xlfn.SINGLE(skilltree_3_1_2_2_bonusPoints))+_xlfn.SINGLE(skilltree_3_1_2_percentage)</f>
        <v>0</v>
      </c>
      <c r="P16" s="115"/>
    </row>
    <row r="17" spans="1:16" ht="14.25">
      <c r="A17" s="113">
        <v>0</v>
      </c>
      <c r="B17" s="114">
        <v>0</v>
      </c>
      <c r="C17" s="111">
        <f>4*(_xlfn.SINGLE(skilltree_1_1_2_3_points)+_xlfn.SINGLE(skilltree_1_1_2_3_bonusPoints))+_xlfn.SINGLE(skilltree_1_1_2_percentage)</f>
        <v>0</v>
      </c>
      <c r="D17" s="115"/>
      <c r="E17" s="64"/>
      <c r="F17" s="65"/>
      <c r="G17" s="113">
        <v>0</v>
      </c>
      <c r="H17" s="114">
        <v>0</v>
      </c>
      <c r="I17" s="111">
        <f>4*(_xlfn.SINGLE(skilltree_2_1_2_3_points)+_xlfn.SINGLE(skilltree_2_1_2_3_bonusPoints))+_xlfn.SINGLE(skilltree_2_1_2_percentage)</f>
        <v>0</v>
      </c>
      <c r="J17" s="115"/>
      <c r="K17" s="64"/>
      <c r="L17" s="65"/>
      <c r="M17" s="113">
        <v>0</v>
      </c>
      <c r="N17" s="114">
        <v>0</v>
      </c>
      <c r="O17" s="111">
        <f>4*(_xlfn.SINGLE(skilltree_3_1_2_3_points)+_xlfn.SINGLE(skilltree_3_1_2_3_bonusPoints))+_xlfn.SINGLE(skilltree_3_1_2_percentage)</f>
        <v>0</v>
      </c>
      <c r="P17" s="115"/>
    </row>
    <row r="18" spans="1:16" ht="7.5" customHeight="1">
      <c r="A18" s="10"/>
      <c r="B18" s="10"/>
      <c r="C18" s="10"/>
      <c r="D18" s="10"/>
      <c r="E18" s="60"/>
      <c r="F18" s="61"/>
      <c r="G18" s="10"/>
      <c r="H18" s="10"/>
      <c r="I18" s="10"/>
      <c r="J18" s="10"/>
      <c r="K18" s="60"/>
      <c r="L18" s="61"/>
      <c r="M18" s="66"/>
      <c r="N18" s="66"/>
      <c r="O18" s="66"/>
      <c r="P18" s="66"/>
    </row>
    <row r="19" spans="1:16" ht="14.25">
      <c r="A19" s="261" t="s">
        <v>45</v>
      </c>
      <c r="B19" s="261"/>
      <c r="C19" s="261"/>
      <c r="D19" s="261"/>
      <c r="E19" s="62"/>
      <c r="F19" s="63"/>
      <c r="G19" s="259" t="s">
        <v>58</v>
      </c>
      <c r="H19" s="259"/>
      <c r="I19" s="259"/>
      <c r="J19" s="259"/>
      <c r="K19" s="62"/>
      <c r="L19" s="63"/>
      <c r="M19" s="260" t="s">
        <v>72</v>
      </c>
      <c r="N19" s="260"/>
      <c r="O19" s="260"/>
      <c r="P19" s="260"/>
    </row>
    <row r="20" spans="1:16" ht="14.25">
      <c r="A20" s="109">
        <v>0</v>
      </c>
      <c r="B20" s="110">
        <v>0</v>
      </c>
      <c r="C20" s="111">
        <f>4*(_xlfn.SINGLE(skilltree_1_1_3_1_points)+_xlfn.SINGLE(skilltree_1_1_3_1_bonusPoints))+_xlfn.SINGLE(skilltree_1_1_3_percentage)</f>
        <v>0</v>
      </c>
      <c r="D20" s="112"/>
      <c r="E20" s="64"/>
      <c r="F20" s="65"/>
      <c r="G20" s="109">
        <v>0</v>
      </c>
      <c r="H20" s="110">
        <v>0</v>
      </c>
      <c r="I20" s="111">
        <f>4*(_xlfn.SINGLE(skilltree_2_1_3_1_points)+_xlfn.SINGLE(skilltree_2_1_3_1_bonusPoints))+_xlfn.SINGLE(skilltree_2_1_3_percentage)</f>
        <v>0</v>
      </c>
      <c r="J20" s="112"/>
      <c r="K20" s="64"/>
      <c r="L20" s="65"/>
      <c r="M20" s="109">
        <v>0</v>
      </c>
      <c r="N20" s="110">
        <v>0</v>
      </c>
      <c r="O20" s="111">
        <f>4*(_xlfn.SINGLE(skilltree_3_1_3_1_points)+_xlfn.SINGLE(skilltree_3_1_3_1_bonusPoints))+_xlfn.SINGLE(skilltree_3_1_3_percentage)</f>
        <v>0</v>
      </c>
      <c r="P20" s="112"/>
    </row>
    <row r="21" spans="1:16" ht="14.25">
      <c r="A21" s="113">
        <v>0</v>
      </c>
      <c r="B21" s="114">
        <v>0</v>
      </c>
      <c r="C21" s="111">
        <f>4*(_xlfn.SINGLE(skilltree_1_1_3_2_points)+_xlfn.SINGLE(skilltree_1_1_3_2_bonusPoints))+_xlfn.SINGLE(skilltree_1_1_3_percentage)</f>
        <v>0</v>
      </c>
      <c r="D21" s="115"/>
      <c r="E21" s="64"/>
      <c r="F21" s="65"/>
      <c r="G21" s="113">
        <v>0</v>
      </c>
      <c r="H21" s="114">
        <v>0</v>
      </c>
      <c r="I21" s="111">
        <f>4*(_xlfn.SINGLE(skilltree_2_1_3_2_points)+_xlfn.SINGLE(skilltree_2_1_3_2_bonusPoints))+_xlfn.SINGLE(skilltree_2_1_3_percentage)</f>
        <v>0</v>
      </c>
      <c r="J21" s="115"/>
      <c r="K21" s="64"/>
      <c r="L21" s="65"/>
      <c r="M21" s="113">
        <v>0</v>
      </c>
      <c r="N21" s="114">
        <v>0</v>
      </c>
      <c r="O21" s="111">
        <f>4*(_xlfn.SINGLE(skilltree_3_1_3_2_points)+_xlfn.SINGLE(skilltree_3_1_3_2_bonusPoints))+_xlfn.SINGLE(skilltree_3_1_3_percentage)</f>
        <v>0</v>
      </c>
      <c r="P21" s="115"/>
    </row>
    <row r="22" spans="1:16" ht="14.25">
      <c r="A22" s="113">
        <v>0</v>
      </c>
      <c r="B22" s="114">
        <v>0</v>
      </c>
      <c r="C22" s="111">
        <f>4*(_xlfn.SINGLE(skilltree_1_1_3_3_points)+_xlfn.SINGLE(skilltree_1_1_3_3_bonusPoints))+_xlfn.SINGLE(skilltree_1_1_3_percentage)</f>
        <v>0</v>
      </c>
      <c r="D22" s="115"/>
      <c r="E22" s="64"/>
      <c r="F22" s="65"/>
      <c r="G22" s="113">
        <v>0</v>
      </c>
      <c r="H22" s="114">
        <v>0</v>
      </c>
      <c r="I22" s="111">
        <f>4*(_xlfn.SINGLE(skilltree_2_1_3_3_points)+_xlfn.SINGLE(skilltree_2_1_3_3_bonusPoints))+_xlfn.SINGLE(skilltree_2_1_3_percentage)</f>
        <v>0</v>
      </c>
      <c r="J22" s="115"/>
      <c r="K22" s="64"/>
      <c r="L22" s="65"/>
      <c r="M22" s="113">
        <v>0</v>
      </c>
      <c r="N22" s="114">
        <v>0</v>
      </c>
      <c r="O22" s="111">
        <f>4*(_xlfn.SINGLE(skilltree_3_1_3_3_points)+_xlfn.SINGLE(skilltree_3_1_3_3_bonusPoints))+_xlfn.SINGLE(skilltree_3_1_3_percentage)</f>
        <v>0</v>
      </c>
      <c r="P22" s="115"/>
    </row>
    <row r="23" spans="1:16" ht="22.5" customHeight="1">
      <c r="A23" s="58"/>
      <c r="B23" s="58"/>
      <c r="C23" s="58"/>
      <c r="D23" s="58"/>
      <c r="E23" s="64"/>
      <c r="F23" s="65"/>
      <c r="G23" s="58"/>
      <c r="H23" s="58"/>
      <c r="I23" s="58"/>
      <c r="J23" s="58"/>
      <c r="K23" s="64"/>
      <c r="L23" s="65"/>
      <c r="M23" s="58"/>
      <c r="N23" s="58"/>
      <c r="O23" s="58"/>
      <c r="P23" s="58"/>
    </row>
    <row r="24" spans="1:16" ht="14.25">
      <c r="A24" s="254" t="s">
        <v>46</v>
      </c>
      <c r="B24" s="254"/>
      <c r="C24" s="254"/>
      <c r="D24" s="254"/>
      <c r="E24" s="62"/>
      <c r="F24" s="63"/>
      <c r="G24" s="255" t="s">
        <v>59</v>
      </c>
      <c r="H24" s="255"/>
      <c r="I24" s="255"/>
      <c r="J24" s="255"/>
      <c r="K24" s="62"/>
      <c r="L24" s="63"/>
      <c r="M24" s="256" t="s">
        <v>73</v>
      </c>
      <c r="N24" s="256"/>
      <c r="O24" s="256"/>
      <c r="P24" s="256"/>
    </row>
    <row r="25" spans="1:16" ht="14.25">
      <c r="A25" s="109">
        <v>0</v>
      </c>
      <c r="B25" s="110">
        <v>0</v>
      </c>
      <c r="C25" s="111">
        <f>4*(_xlfn.SINGLE(skilltree_1_2_1_1_points)+_xlfn.SINGLE(skilltree_1_2_1_1_bonusPoints))+_xlfn.SINGLE(skilltree_1_2_1_percentage)</f>
        <v>0</v>
      </c>
      <c r="D25" s="112"/>
      <c r="E25" s="64"/>
      <c r="F25" s="65"/>
      <c r="G25" s="109">
        <v>0</v>
      </c>
      <c r="H25" s="110">
        <v>0</v>
      </c>
      <c r="I25" s="111">
        <f>4*(_xlfn.SINGLE(skilltree_2_2_1_1_points)+_xlfn.SINGLE(skilltree_2_2_1_1_bonusPoints))+_xlfn.SINGLE(skilltree_2_2_1_percentage)</f>
        <v>0</v>
      </c>
      <c r="J25" s="112"/>
      <c r="K25" s="64"/>
      <c r="L25" s="65"/>
      <c r="M25" s="109">
        <v>0</v>
      </c>
      <c r="N25" s="110">
        <v>0</v>
      </c>
      <c r="O25" s="111">
        <f>4*(_xlfn.SINGLE(skilltree_3_2_1_1_points)+_xlfn.SINGLE(skilltree_3_2_1_1_bonusPoints))+_xlfn.SINGLE(skilltree_3_2_1_percentage)</f>
        <v>0</v>
      </c>
      <c r="P25" s="112"/>
    </row>
    <row r="26" spans="1:16" ht="14.25">
      <c r="A26" s="113">
        <v>0</v>
      </c>
      <c r="B26" s="114">
        <v>0</v>
      </c>
      <c r="C26" s="111">
        <f>4*(_xlfn.SINGLE(skilltree_1_2_1_2_points)+_xlfn.SINGLE(skilltree_1_2_1_2_bonusPoints))+_xlfn.SINGLE(skilltree_1_2_1_percentage)</f>
        <v>0</v>
      </c>
      <c r="D26" s="115"/>
      <c r="E26" s="64"/>
      <c r="F26" s="65"/>
      <c r="G26" s="113">
        <v>0</v>
      </c>
      <c r="H26" s="114">
        <v>0</v>
      </c>
      <c r="I26" s="111">
        <f>4*(_xlfn.SINGLE(skilltree_2_2_1_2_points)+_xlfn.SINGLE(skilltree_2_2_1_2_bonusPoints))+_xlfn.SINGLE(skilltree_2_2_1_percentage)</f>
        <v>0</v>
      </c>
      <c r="J26" s="115"/>
      <c r="K26" s="64"/>
      <c r="L26" s="65"/>
      <c r="M26" s="113">
        <v>0</v>
      </c>
      <c r="N26" s="114">
        <v>0</v>
      </c>
      <c r="O26" s="111">
        <f>4*(_xlfn.SINGLE(skilltree_3_2_1_2_points)+_xlfn.SINGLE(skilltree_3_2_1_2_bonusPoints))+_xlfn.SINGLE(skilltree_3_2_1_percentage)</f>
        <v>0</v>
      </c>
      <c r="P26" s="115"/>
    </row>
    <row r="27" spans="1:16" ht="14.25">
      <c r="A27" s="113">
        <v>0</v>
      </c>
      <c r="B27" s="114">
        <v>0</v>
      </c>
      <c r="C27" s="111">
        <f>4*(_xlfn.SINGLE(skilltree_1_2_1_3_points)+_xlfn.SINGLE(skilltree_1_2_1_3_bonusPoints))+_xlfn.SINGLE(skilltree_1_2_1_percentage)</f>
        <v>0</v>
      </c>
      <c r="D27" s="115"/>
      <c r="E27" s="64"/>
      <c r="F27" s="65"/>
      <c r="G27" s="113">
        <v>0</v>
      </c>
      <c r="H27" s="114">
        <v>0</v>
      </c>
      <c r="I27" s="111">
        <f>4*(_xlfn.SINGLE(skilltree_2_2_1_3_points)+_xlfn.SINGLE(skilltree_2_2_1_3_bonusPoints))+_xlfn.SINGLE(skilltree_2_2_1_percentage)</f>
        <v>0</v>
      </c>
      <c r="J27" s="115"/>
      <c r="K27" s="64"/>
      <c r="L27" s="65"/>
      <c r="M27" s="113">
        <v>0</v>
      </c>
      <c r="N27" s="114">
        <v>0</v>
      </c>
      <c r="O27" s="111">
        <f>4*(_xlfn.SINGLE(skilltree_3_2_1_3_points)+_xlfn.SINGLE(skilltree_3_2_1_3_bonusPoints))+_xlfn.SINGLE(skilltree_3_2_1_percentage)</f>
        <v>0</v>
      </c>
      <c r="P27" s="115"/>
    </row>
    <row r="28" spans="1:16" ht="7.5" customHeight="1">
      <c r="A28" s="10"/>
      <c r="B28" s="10"/>
      <c r="C28" s="10"/>
      <c r="D28" s="10"/>
      <c r="E28" s="60"/>
      <c r="F28" s="61"/>
      <c r="G28" s="10"/>
      <c r="H28" s="10"/>
      <c r="I28" s="10"/>
      <c r="J28" s="10"/>
      <c r="K28" s="60"/>
      <c r="L28" s="61"/>
      <c r="M28" s="66"/>
      <c r="N28" s="66"/>
      <c r="O28" s="66"/>
      <c r="P28" s="66"/>
    </row>
    <row r="29" spans="1:16" ht="14.25">
      <c r="A29" s="254" t="s">
        <v>49</v>
      </c>
      <c r="B29" s="254"/>
      <c r="C29" s="254"/>
      <c r="D29" s="254"/>
      <c r="E29" s="62"/>
      <c r="F29" s="63"/>
      <c r="G29" s="255" t="s">
        <v>63</v>
      </c>
      <c r="H29" s="255"/>
      <c r="I29" s="255"/>
      <c r="J29" s="255"/>
      <c r="K29" s="62"/>
      <c r="L29" s="63"/>
      <c r="M29" s="256" t="s">
        <v>76</v>
      </c>
      <c r="N29" s="256"/>
      <c r="O29" s="256"/>
      <c r="P29" s="256"/>
    </row>
    <row r="30" spans="1:16" ht="14.25">
      <c r="A30" s="109">
        <v>0</v>
      </c>
      <c r="B30" s="110">
        <v>0</v>
      </c>
      <c r="C30" s="111">
        <f>4*(_xlfn.SINGLE(skilltree_1_2_2_1_points)+_xlfn.SINGLE(skilltree_1_2_2_1_bonusPoints))+_xlfn.SINGLE(skilltree_1_2_2_percentage)</f>
        <v>0</v>
      </c>
      <c r="D30" s="112"/>
      <c r="E30" s="64"/>
      <c r="F30" s="65"/>
      <c r="G30" s="109">
        <v>0</v>
      </c>
      <c r="H30" s="110">
        <v>0</v>
      </c>
      <c r="I30" s="111">
        <f>4*(_xlfn.SINGLE(skilltree_2_2_2_1_points)+_xlfn.SINGLE(skilltree_2_2_2_1_bonusPoints))+_xlfn.SINGLE(skilltree_2_2_2_percentage)</f>
        <v>0</v>
      </c>
      <c r="J30" s="112"/>
      <c r="K30" s="64"/>
      <c r="L30" s="65"/>
      <c r="M30" s="109">
        <v>0</v>
      </c>
      <c r="N30" s="110">
        <v>0</v>
      </c>
      <c r="O30" s="111">
        <f>4*(_xlfn.SINGLE(skilltree_3_2_2_1_points)+_xlfn.SINGLE(skilltree_3_2_2_1_bonusPoints))+_xlfn.SINGLE(skilltree_3_2_2_percentage)</f>
        <v>0</v>
      </c>
      <c r="P30" s="112"/>
    </row>
    <row r="31" spans="1:16" ht="14.25">
      <c r="A31" s="113">
        <v>0</v>
      </c>
      <c r="B31" s="114">
        <v>0</v>
      </c>
      <c r="C31" s="111">
        <f>4*(_xlfn.SINGLE(skilltree_1_2_2_2_points)+_xlfn.SINGLE(skilltree_1_2_2_2_bonusPoints))+_xlfn.SINGLE(skilltree_1_2_2_percentage)</f>
        <v>0</v>
      </c>
      <c r="D31" s="115"/>
      <c r="E31" s="64"/>
      <c r="F31" s="65"/>
      <c r="G31" s="113">
        <v>0</v>
      </c>
      <c r="H31" s="114">
        <v>0</v>
      </c>
      <c r="I31" s="111">
        <f>4*(_xlfn.SINGLE(skilltree_2_2_2_2_points)+_xlfn.SINGLE(skilltree_2_2_2_2_bonusPoints))+_xlfn.SINGLE(skilltree_2_2_2_percentage)</f>
        <v>0</v>
      </c>
      <c r="J31" s="115"/>
      <c r="K31" s="64"/>
      <c r="L31" s="65"/>
      <c r="M31" s="113">
        <v>0</v>
      </c>
      <c r="N31" s="114">
        <v>0</v>
      </c>
      <c r="O31" s="111">
        <f>4*(_xlfn.SINGLE(skilltree_3_2_2_2_points)+_xlfn.SINGLE(skilltree_3_2_2_2_bonusPoints))+_xlfn.SINGLE(skilltree_3_2_2_percentage)</f>
        <v>0</v>
      </c>
      <c r="P31" s="115"/>
    </row>
    <row r="32" spans="1:16" ht="14.25">
      <c r="A32" s="113">
        <v>0</v>
      </c>
      <c r="B32" s="114">
        <v>0</v>
      </c>
      <c r="C32" s="111">
        <f>4*(_xlfn.SINGLE(skilltree_1_2_2_3_points)+_xlfn.SINGLE(skilltree_1_2_2_3_bonusPoints))+_xlfn.SINGLE(skilltree_1_2_2_percentage)</f>
        <v>0</v>
      </c>
      <c r="D32" s="115"/>
      <c r="E32" s="64"/>
      <c r="F32" s="65"/>
      <c r="G32" s="113">
        <v>0</v>
      </c>
      <c r="H32" s="114">
        <v>0</v>
      </c>
      <c r="I32" s="111">
        <f>4*(_xlfn.SINGLE(skilltree_2_2_2_3_points)+_xlfn.SINGLE(skilltree_2_2_2_3_bonusPoints))+_xlfn.SINGLE(skilltree_2_2_2_percentage)</f>
        <v>0</v>
      </c>
      <c r="J32" s="115"/>
      <c r="K32" s="64"/>
      <c r="L32" s="65"/>
      <c r="M32" s="113">
        <v>0</v>
      </c>
      <c r="N32" s="114">
        <v>0</v>
      </c>
      <c r="O32" s="111">
        <f>4*(_xlfn.SINGLE(skilltree_3_2_2_3_points)+_xlfn.SINGLE(skilltree_3_2_2_3_bonusPoints))+_xlfn.SINGLE(skilltree_3_2_2_percentage)</f>
        <v>0</v>
      </c>
      <c r="P32" s="115"/>
    </row>
    <row r="33" spans="1:16" ht="7.5" customHeight="1">
      <c r="A33" s="10"/>
      <c r="B33" s="10"/>
      <c r="C33" s="10"/>
      <c r="D33" s="10"/>
      <c r="E33" s="60"/>
      <c r="F33" s="61"/>
      <c r="G33" s="10"/>
      <c r="H33" s="10"/>
      <c r="I33" s="10"/>
      <c r="J33" s="10"/>
      <c r="K33" s="60"/>
      <c r="L33" s="61"/>
      <c r="M33" s="66"/>
      <c r="N33" s="66"/>
      <c r="O33" s="66"/>
      <c r="P33" s="66"/>
    </row>
    <row r="34" spans="1:16" ht="14.25">
      <c r="A34" s="254" t="s">
        <v>50</v>
      </c>
      <c r="B34" s="254"/>
      <c r="C34" s="254"/>
      <c r="D34" s="254"/>
      <c r="E34" s="62"/>
      <c r="F34" s="63"/>
      <c r="G34" s="255" t="s">
        <v>64</v>
      </c>
      <c r="H34" s="255"/>
      <c r="I34" s="255"/>
      <c r="J34" s="255"/>
      <c r="K34" s="62"/>
      <c r="L34" s="63"/>
      <c r="M34" s="256" t="s">
        <v>77</v>
      </c>
      <c r="N34" s="256"/>
      <c r="O34" s="256"/>
      <c r="P34" s="256"/>
    </row>
    <row r="35" spans="1:16" ht="14.25">
      <c r="A35" s="109">
        <v>0</v>
      </c>
      <c r="B35" s="110">
        <v>0</v>
      </c>
      <c r="C35" s="111">
        <f>4*(_xlfn.SINGLE(skilltree_1_2_3_1_points)+_xlfn.SINGLE(skilltree_1_2_3_1_bonusPoints))+_xlfn.SINGLE(skilltree_1_2_3_percentage)</f>
        <v>0</v>
      </c>
      <c r="D35" s="112"/>
      <c r="E35" s="64"/>
      <c r="F35" s="65"/>
      <c r="G35" s="109">
        <v>0</v>
      </c>
      <c r="H35" s="110">
        <v>0</v>
      </c>
      <c r="I35" s="111">
        <f>4*(_xlfn.SINGLE(skilltree_2_2_3_1_points)+_xlfn.SINGLE(skilltree_2_2_3_1_bonusPoints))+_xlfn.SINGLE(skilltree_2_2_3_percentage)</f>
        <v>0</v>
      </c>
      <c r="J35" s="112"/>
      <c r="K35" s="64"/>
      <c r="L35" s="65"/>
      <c r="M35" s="109">
        <v>0</v>
      </c>
      <c r="N35" s="110">
        <v>0</v>
      </c>
      <c r="O35" s="111">
        <f>4*(_xlfn.SINGLE(skilltree_3_2_3_1_points)+_xlfn.SINGLE(skilltree_3_2_3_1_bonusPoints))+_xlfn.SINGLE(skilltree_3_2_3_percentage)</f>
        <v>0</v>
      </c>
      <c r="P35" s="112"/>
    </row>
    <row r="36" spans="1:16" ht="14.25">
      <c r="A36" s="113">
        <v>0</v>
      </c>
      <c r="B36" s="114">
        <v>0</v>
      </c>
      <c r="C36" s="111">
        <f>4*(_xlfn.SINGLE(skilltree_1_2_3_2_points)+_xlfn.SINGLE(skilltree_1_2_3_2_bonusPoints))+_xlfn.SINGLE(skilltree_1_2_3_percentage)</f>
        <v>0</v>
      </c>
      <c r="D36" s="115"/>
      <c r="E36" s="64"/>
      <c r="F36" s="65"/>
      <c r="G36" s="113">
        <v>0</v>
      </c>
      <c r="H36" s="114">
        <v>0</v>
      </c>
      <c r="I36" s="111">
        <f>4*(_xlfn.SINGLE(skilltree_2_2_3_2_points)+_xlfn.SINGLE(skilltree_2_2_3_2_bonusPoints))+_xlfn.SINGLE(skilltree_2_2_3_percentage)</f>
        <v>0</v>
      </c>
      <c r="J36" s="115"/>
      <c r="K36" s="64"/>
      <c r="L36" s="65"/>
      <c r="M36" s="113">
        <v>0</v>
      </c>
      <c r="N36" s="114">
        <v>0</v>
      </c>
      <c r="O36" s="111">
        <f>4*(_xlfn.SINGLE(skilltree_3_2_3_2_points)+_xlfn.SINGLE(skilltree_3_2_3_2_bonusPoints))+_xlfn.SINGLE(skilltree_3_2_3_percentage)</f>
        <v>0</v>
      </c>
      <c r="P36" s="115"/>
    </row>
    <row r="37" spans="1:16" ht="14.25">
      <c r="A37" s="113">
        <v>0</v>
      </c>
      <c r="B37" s="114">
        <v>0</v>
      </c>
      <c r="C37" s="111">
        <f>4*(_xlfn.SINGLE(skilltree_1_2_3_3_points)+_xlfn.SINGLE(skilltree_1_2_3_3_bonusPoints))+_xlfn.SINGLE(skilltree_1_2_3_percentage)</f>
        <v>0</v>
      </c>
      <c r="D37" s="115"/>
      <c r="E37" s="64"/>
      <c r="F37" s="65"/>
      <c r="G37" s="113">
        <v>0</v>
      </c>
      <c r="H37" s="114">
        <v>0</v>
      </c>
      <c r="I37" s="111">
        <f>4*(_xlfn.SINGLE(skilltree_2_2_3_3_points)+_xlfn.SINGLE(skilltree_2_2_3_3_bonusPoints))+_xlfn.SINGLE(skilltree_2_2_3_percentage)</f>
        <v>0</v>
      </c>
      <c r="J37" s="115"/>
      <c r="K37" s="64"/>
      <c r="L37" s="65"/>
      <c r="M37" s="113">
        <v>0</v>
      </c>
      <c r="N37" s="114">
        <v>0</v>
      </c>
      <c r="O37" s="111">
        <f>4*(_xlfn.SINGLE(skilltree_3_2_3_3_points)+_xlfn.SINGLE(skilltree_3_2_3_3_bonusPoints))+_xlfn.SINGLE(skilltree_3_2_3_percentage)</f>
        <v>0</v>
      </c>
      <c r="P37" s="115"/>
    </row>
    <row r="38" spans="1:16" ht="22.5" customHeight="1">
      <c r="A38" s="58"/>
      <c r="B38" s="58"/>
      <c r="C38" s="58"/>
      <c r="D38" s="58"/>
      <c r="E38" s="64"/>
      <c r="F38" s="65"/>
      <c r="G38" s="58"/>
      <c r="H38" s="58"/>
      <c r="I38" s="58"/>
      <c r="J38" s="58"/>
      <c r="K38" s="64"/>
      <c r="L38" s="65"/>
      <c r="M38" s="58"/>
      <c r="N38" s="58"/>
      <c r="O38" s="58"/>
      <c r="P38" s="58"/>
    </row>
    <row r="39" spans="1:16" ht="14.25">
      <c r="A39" s="251" t="s">
        <v>51</v>
      </c>
      <c r="B39" s="251"/>
      <c r="C39" s="251"/>
      <c r="D39" s="251"/>
      <c r="E39" s="62"/>
      <c r="F39" s="63"/>
      <c r="G39" s="252" t="s">
        <v>65</v>
      </c>
      <c r="H39" s="252"/>
      <c r="I39" s="252"/>
      <c r="J39" s="252"/>
      <c r="K39" s="62"/>
      <c r="L39" s="63"/>
      <c r="M39" s="253" t="s">
        <v>78</v>
      </c>
      <c r="N39" s="253"/>
      <c r="O39" s="253"/>
      <c r="P39" s="253"/>
    </row>
    <row r="40" spans="1:16" ht="14.25">
      <c r="A40" s="109">
        <v>0</v>
      </c>
      <c r="B40" s="110">
        <v>0</v>
      </c>
      <c r="C40" s="111">
        <f>4*(_xlfn.SINGLE(skilltree_1_3_1_1_points)+_xlfn.SINGLE(skilltree_1_3_1_1_bonusPoints))+_xlfn.SINGLE(skilltree_1_3_1_percentage)</f>
        <v>0</v>
      </c>
      <c r="D40" s="112"/>
      <c r="E40" s="64"/>
      <c r="F40" s="65"/>
      <c r="G40" s="109">
        <v>0</v>
      </c>
      <c r="H40" s="110">
        <v>0</v>
      </c>
      <c r="I40" s="111">
        <f>4*(_xlfn.SINGLE(skilltree_2_3_1_1_points)+_xlfn.SINGLE(skilltree_2_3_1_1_bonusPoints))+_xlfn.SINGLE(skilltree_2_3_1_percentage)</f>
        <v>0</v>
      </c>
      <c r="J40" s="112"/>
      <c r="K40" s="64"/>
      <c r="L40" s="65"/>
      <c r="M40" s="109">
        <v>0</v>
      </c>
      <c r="N40" s="110">
        <v>0</v>
      </c>
      <c r="O40" s="111">
        <f>4*(_xlfn.SINGLE(skilltree_3_3_1_1_points)+_xlfn.SINGLE(skilltree_3_3_1_1_bonusPoints))+_xlfn.SINGLE(skilltree_3_3_1_percentage)</f>
        <v>0</v>
      </c>
      <c r="P40" s="112"/>
    </row>
    <row r="41" spans="1:16" ht="14.25">
      <c r="A41" s="113">
        <v>0</v>
      </c>
      <c r="B41" s="114">
        <v>0</v>
      </c>
      <c r="C41" s="111">
        <f>4*(_xlfn.SINGLE(skilltree_1_3_1_2_points)+_xlfn.SINGLE(skilltree_1_3_1_2_bonusPoints))+_xlfn.SINGLE(skilltree_1_3_1_percentage)</f>
        <v>0</v>
      </c>
      <c r="D41" s="115"/>
      <c r="E41" s="64"/>
      <c r="F41" s="65"/>
      <c r="G41" s="113">
        <v>0</v>
      </c>
      <c r="H41" s="114">
        <v>0</v>
      </c>
      <c r="I41" s="111">
        <f>4*(_xlfn.SINGLE(skilltree_2_3_1_2_points)+_xlfn.SINGLE(skilltree_2_3_1_2_bonusPoints))+_xlfn.SINGLE(skilltree_2_3_1_percentage)</f>
        <v>0</v>
      </c>
      <c r="J41" s="115"/>
      <c r="K41" s="64"/>
      <c r="L41" s="65"/>
      <c r="M41" s="113">
        <v>0</v>
      </c>
      <c r="N41" s="114">
        <v>0</v>
      </c>
      <c r="O41" s="111">
        <f>4*(_xlfn.SINGLE(skilltree_3_3_1_2_points)+_xlfn.SINGLE(skilltree_3_3_1_2_bonusPoints))+_xlfn.SINGLE(skilltree_3_3_1_percentage)</f>
        <v>0</v>
      </c>
      <c r="P41" s="115"/>
    </row>
    <row r="42" spans="1:16" ht="14.25">
      <c r="A42" s="113">
        <v>0</v>
      </c>
      <c r="B42" s="114">
        <v>0</v>
      </c>
      <c r="C42" s="111">
        <f>4*(_xlfn.SINGLE(skilltree_1_3_1_3_points)+_xlfn.SINGLE(skilltree_1_3_1_3_bonusPoints))+_xlfn.SINGLE(skilltree_1_3_1_percentage)</f>
        <v>0</v>
      </c>
      <c r="D42" s="115"/>
      <c r="E42" s="64"/>
      <c r="F42" s="65"/>
      <c r="G42" s="113">
        <v>0</v>
      </c>
      <c r="H42" s="114">
        <v>0</v>
      </c>
      <c r="I42" s="111">
        <f>4*(_xlfn.SINGLE(skilltree_2_3_1_3_points)+_xlfn.SINGLE(skilltree_2_3_1_3_bonusPoints))+_xlfn.SINGLE(skilltree_2_3_1_percentage)</f>
        <v>0</v>
      </c>
      <c r="J42" s="115"/>
      <c r="K42" s="64"/>
      <c r="L42" s="65"/>
      <c r="M42" s="113">
        <v>0</v>
      </c>
      <c r="N42" s="114">
        <v>0</v>
      </c>
      <c r="O42" s="111">
        <f>4*(_xlfn.SINGLE(skilltree_3_3_1_3_points)+_xlfn.SINGLE(skilltree_3_3_1_3_bonusPoints))+_xlfn.SINGLE(skilltree_3_3_1_percentage)</f>
        <v>0</v>
      </c>
      <c r="P42" s="115"/>
    </row>
    <row r="43" spans="1:16" ht="7.5" customHeight="1">
      <c r="A43" s="10"/>
      <c r="B43" s="10"/>
      <c r="C43" s="10"/>
      <c r="D43" s="10"/>
      <c r="E43" s="60"/>
      <c r="F43" s="61"/>
      <c r="G43" s="66"/>
      <c r="H43" s="66"/>
      <c r="I43" s="66"/>
      <c r="J43" s="66"/>
      <c r="K43" s="60"/>
      <c r="L43" s="61"/>
      <c r="M43" s="66"/>
      <c r="N43" s="66"/>
      <c r="O43" s="66"/>
      <c r="P43" s="66"/>
    </row>
    <row r="44" spans="1:16" ht="14.25">
      <c r="A44" s="251" t="s">
        <v>53</v>
      </c>
      <c r="B44" s="251"/>
      <c r="C44" s="251"/>
      <c r="D44" s="251"/>
      <c r="E44" s="62"/>
      <c r="F44" s="63"/>
      <c r="G44" s="252" t="s">
        <v>67</v>
      </c>
      <c r="H44" s="252"/>
      <c r="I44" s="252"/>
      <c r="J44" s="252"/>
      <c r="K44" s="62"/>
      <c r="L44" s="63"/>
      <c r="M44" s="253" t="s">
        <v>80</v>
      </c>
      <c r="N44" s="253"/>
      <c r="O44" s="253"/>
      <c r="P44" s="253"/>
    </row>
    <row r="45" spans="1:16" ht="14.25">
      <c r="A45" s="109">
        <v>0</v>
      </c>
      <c r="B45" s="110">
        <v>0</v>
      </c>
      <c r="C45" s="111">
        <f>4*(_xlfn.SINGLE(skilltree_1_3_2_1_points)+_xlfn.SINGLE(skilltree_1_3_2_1_bonusPoints))+_xlfn.SINGLE(skilltree_1_3_2_percentage)</f>
        <v>0</v>
      </c>
      <c r="D45" s="112"/>
      <c r="E45" s="64"/>
      <c r="F45" s="65"/>
      <c r="G45" s="109">
        <v>0</v>
      </c>
      <c r="H45" s="110">
        <v>0</v>
      </c>
      <c r="I45" s="111">
        <f>4*(_xlfn.SINGLE(skilltree_2_3_2_1_points)+_xlfn.SINGLE(skilltree_2_3_2_1_bonusPoints))+_xlfn.SINGLE(skilltree_2_3_2_percentage)</f>
        <v>0</v>
      </c>
      <c r="J45" s="112"/>
      <c r="K45" s="64"/>
      <c r="L45" s="65"/>
      <c r="M45" s="109">
        <v>0</v>
      </c>
      <c r="N45" s="110">
        <v>0</v>
      </c>
      <c r="O45" s="111">
        <f>4*(_xlfn.SINGLE(skilltree_3_3_2_1_points)+_xlfn.SINGLE(skilltree_3_3_2_1_bonusPoints))+_xlfn.SINGLE(skilltree_3_3_2_percentage)</f>
        <v>0</v>
      </c>
      <c r="P45" s="112"/>
    </row>
    <row r="46" spans="1:16" ht="14.25">
      <c r="A46" s="113">
        <v>0</v>
      </c>
      <c r="B46" s="114">
        <v>0</v>
      </c>
      <c r="C46" s="111">
        <f>4*(_xlfn.SINGLE(skilltree_1_3_2_2_points)+_xlfn.SINGLE(skilltree_1_3_2_2_bonusPoints))+_xlfn.SINGLE(skilltree_1_3_2_percentage)</f>
        <v>0</v>
      </c>
      <c r="D46" s="115"/>
      <c r="E46" s="64"/>
      <c r="F46" s="65"/>
      <c r="G46" s="113">
        <v>0</v>
      </c>
      <c r="H46" s="114">
        <v>0</v>
      </c>
      <c r="I46" s="111">
        <f>4*(_xlfn.SINGLE(skilltree_2_3_2_2_points)+_xlfn.SINGLE(skilltree_2_3_2_2_bonusPoints))+_xlfn.SINGLE(skilltree_2_3_2_percentage)</f>
        <v>0</v>
      </c>
      <c r="J46" s="115"/>
      <c r="K46" s="64"/>
      <c r="L46" s="65"/>
      <c r="M46" s="113">
        <v>0</v>
      </c>
      <c r="N46" s="114">
        <v>0</v>
      </c>
      <c r="O46" s="111">
        <f>4*(_xlfn.SINGLE(skilltree_3_3_2_2_points)+_xlfn.SINGLE(skilltree_3_3_2_2_bonusPoints))+_xlfn.SINGLE(skilltree_3_3_2_percentage)</f>
        <v>0</v>
      </c>
      <c r="P46" s="115"/>
    </row>
    <row r="47" spans="1:16" ht="14.25">
      <c r="A47" s="113">
        <v>0</v>
      </c>
      <c r="B47" s="114">
        <v>0</v>
      </c>
      <c r="C47" s="111">
        <f>4*(_xlfn.SINGLE(skilltree_1_3_2_3_points)+_xlfn.SINGLE(skilltree_1_3_2_3_bonusPoints))+_xlfn.SINGLE(skilltree_1_3_2_percentage)</f>
        <v>0</v>
      </c>
      <c r="D47" s="115"/>
      <c r="E47" s="64"/>
      <c r="F47" s="65"/>
      <c r="G47" s="113">
        <v>0</v>
      </c>
      <c r="H47" s="114">
        <v>0</v>
      </c>
      <c r="I47" s="111">
        <f>4*(_xlfn.SINGLE(skilltree_2_3_2_3_points)+_xlfn.SINGLE(skilltree_2_3_2_3_bonusPoints))+_xlfn.SINGLE(skilltree_2_3_2_percentage)</f>
        <v>0</v>
      </c>
      <c r="J47" s="115"/>
      <c r="K47" s="64"/>
      <c r="L47" s="65"/>
      <c r="M47" s="113">
        <v>0</v>
      </c>
      <c r="N47" s="114">
        <v>0</v>
      </c>
      <c r="O47" s="111">
        <f>4*(_xlfn.SINGLE(skilltree_3_3_2_3_points)+_xlfn.SINGLE(skilltree_3_3_2_3_bonusPoints))+_xlfn.SINGLE(skilltree_3_3_2_percentage)</f>
        <v>0</v>
      </c>
      <c r="P47" s="115"/>
    </row>
    <row r="48" spans="1:16" ht="7.5" customHeight="1">
      <c r="A48" s="10"/>
      <c r="B48" s="10"/>
      <c r="C48" s="10"/>
      <c r="D48" s="10"/>
      <c r="E48" s="60"/>
      <c r="F48" s="61"/>
      <c r="G48" s="66"/>
      <c r="H48" s="66"/>
      <c r="I48" s="66"/>
      <c r="J48" s="66"/>
      <c r="K48" s="60"/>
      <c r="L48" s="61"/>
      <c r="M48" s="66"/>
      <c r="N48" s="66"/>
      <c r="O48" s="66"/>
      <c r="P48" s="66"/>
    </row>
    <row r="49" spans="1:16" ht="14.25">
      <c r="A49" s="251" t="s">
        <v>54</v>
      </c>
      <c r="B49" s="251"/>
      <c r="C49" s="251"/>
      <c r="D49" s="251"/>
      <c r="E49" s="62"/>
      <c r="F49" s="63"/>
      <c r="G49" s="252" t="s">
        <v>68</v>
      </c>
      <c r="H49" s="252"/>
      <c r="I49" s="252"/>
      <c r="J49" s="252"/>
      <c r="K49" s="62"/>
      <c r="L49" s="63"/>
      <c r="M49" s="253" t="s">
        <v>81</v>
      </c>
      <c r="N49" s="253"/>
      <c r="O49" s="253"/>
      <c r="P49" s="253"/>
    </row>
    <row r="50" spans="1:16" ht="14.25">
      <c r="A50" s="109">
        <v>0</v>
      </c>
      <c r="B50" s="110">
        <v>0</v>
      </c>
      <c r="C50" s="111">
        <f>4*(_xlfn.SINGLE(skilltree_1_3_3_1_points)+_xlfn.SINGLE(skilltree_1_3_3_1_bonusPoints))+_xlfn.SINGLE(skilltree_1_3_3_percentage)</f>
        <v>0</v>
      </c>
      <c r="D50" s="112"/>
      <c r="E50" s="64"/>
      <c r="F50" s="65"/>
      <c r="G50" s="109">
        <v>0</v>
      </c>
      <c r="H50" s="110">
        <v>0</v>
      </c>
      <c r="I50" s="111">
        <f>4*(_xlfn.SINGLE(skilltree_2_3_3_1_points)+_xlfn.SINGLE(skilltree_2_3_3_1_bonusPoints))+_xlfn.SINGLE(skilltree_2_3_3_percentage)</f>
        <v>0</v>
      </c>
      <c r="J50" s="112"/>
      <c r="K50" s="64"/>
      <c r="L50" s="65"/>
      <c r="M50" s="109">
        <v>0</v>
      </c>
      <c r="N50" s="110">
        <v>0</v>
      </c>
      <c r="O50" s="111">
        <f>4*(_xlfn.SINGLE(skilltree_3_3_3_1_points)+_xlfn.SINGLE(skilltree_3_3_3_1_bonusPoints))+_xlfn.SINGLE(skilltree_3_3_3_percentage)</f>
        <v>0</v>
      </c>
      <c r="P50" s="112"/>
    </row>
    <row r="51" spans="1:16" ht="14.25">
      <c r="A51" s="113">
        <v>0</v>
      </c>
      <c r="B51" s="114">
        <v>0</v>
      </c>
      <c r="C51" s="111">
        <f>4*(_xlfn.SINGLE(skilltree_1_3_3_2_points)+_xlfn.SINGLE(skilltree_1_3_3_2_bonusPoints))+_xlfn.SINGLE(skilltree_1_3_3_percentage)</f>
        <v>0</v>
      </c>
      <c r="D51" s="115"/>
      <c r="E51" s="64"/>
      <c r="F51" s="65"/>
      <c r="G51" s="113">
        <v>0</v>
      </c>
      <c r="H51" s="114">
        <v>0</v>
      </c>
      <c r="I51" s="111">
        <f>4*(_xlfn.SINGLE(skilltree_2_3_3_2_points)+_xlfn.SINGLE(skilltree_2_3_3_2_bonusPoints))+_xlfn.SINGLE(skilltree_2_3_3_percentage)</f>
        <v>0</v>
      </c>
      <c r="J51" s="115"/>
      <c r="K51" s="64"/>
      <c r="L51" s="65"/>
      <c r="M51" s="113">
        <v>0</v>
      </c>
      <c r="N51" s="114">
        <v>0</v>
      </c>
      <c r="O51" s="111">
        <f>4*(_xlfn.SINGLE(skilltree_3_3_3_2_points)+_xlfn.SINGLE(skilltree_3_3_3_2_bonusPoints))+_xlfn.SINGLE(skilltree_3_3_3_percentage)</f>
        <v>0</v>
      </c>
      <c r="P51" s="115"/>
    </row>
    <row r="52" spans="1:16" ht="14.25">
      <c r="A52" s="113">
        <v>0</v>
      </c>
      <c r="B52" s="114">
        <v>0</v>
      </c>
      <c r="C52" s="111">
        <f>4*(_xlfn.SINGLE(skilltree_1_3_3_3_points)+_xlfn.SINGLE(skilltree_1_3_3_3_bonusPoints))+_xlfn.SINGLE(skilltree_1_3_3_percentage)</f>
        <v>0</v>
      </c>
      <c r="D52" s="115"/>
      <c r="E52" s="64"/>
      <c r="F52" s="65"/>
      <c r="G52" s="113">
        <v>0</v>
      </c>
      <c r="H52" s="114">
        <v>0</v>
      </c>
      <c r="I52" s="111">
        <f>4*(_xlfn.SINGLE(skilltree_2_3_3_3_points)+_xlfn.SINGLE(skilltree_2_3_3_3_bonusPoints))+_xlfn.SINGLE(skilltree_2_3_3_percentage)</f>
        <v>0</v>
      </c>
      <c r="J52" s="115"/>
      <c r="K52" s="64"/>
      <c r="L52" s="65"/>
      <c r="M52" s="113">
        <v>0</v>
      </c>
      <c r="N52" s="114">
        <v>0</v>
      </c>
      <c r="O52" s="111">
        <f>4*(_xlfn.SINGLE(skilltree_3_3_3_3_points)+_xlfn.SINGLE(skilltree_3_3_3_3_bonusPoints))+_xlfn.SINGLE(skilltree_3_3_3_percentage)</f>
        <v>0</v>
      </c>
      <c r="P52" s="115"/>
    </row>
    <row r="53" spans="1:16" ht="30" customHeight="1">
      <c r="A53" s="213" t="s">
        <v>367</v>
      </c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</row>
  </sheetData>
  <mergeCells count="40">
    <mergeCell ref="G4:H4"/>
    <mergeCell ref="I4:J4"/>
    <mergeCell ref="E1:L1"/>
    <mergeCell ref="A1:B2"/>
    <mergeCell ref="G2:J2"/>
    <mergeCell ref="G3:H3"/>
    <mergeCell ref="I3:J3"/>
    <mergeCell ref="A7:D7"/>
    <mergeCell ref="G7:J7"/>
    <mergeCell ref="M7:P7"/>
    <mergeCell ref="A9:D9"/>
    <mergeCell ref="G9:J9"/>
    <mergeCell ref="M9:P9"/>
    <mergeCell ref="A14:D14"/>
    <mergeCell ref="G14:J14"/>
    <mergeCell ref="M14:P14"/>
    <mergeCell ref="A19:D19"/>
    <mergeCell ref="G19:J19"/>
    <mergeCell ref="M19:P19"/>
    <mergeCell ref="G24:J24"/>
    <mergeCell ref="M24:P24"/>
    <mergeCell ref="A29:D29"/>
    <mergeCell ref="G29:J29"/>
    <mergeCell ref="M29:P29"/>
    <mergeCell ref="A53:P53"/>
    <mergeCell ref="I5:J5"/>
    <mergeCell ref="G5:H5"/>
    <mergeCell ref="A44:D44"/>
    <mergeCell ref="G44:J44"/>
    <mergeCell ref="M44:P44"/>
    <mergeCell ref="A49:D49"/>
    <mergeCell ref="G49:J49"/>
    <mergeCell ref="M49:P49"/>
    <mergeCell ref="A34:D34"/>
    <mergeCell ref="G34:J34"/>
    <mergeCell ref="M34:P34"/>
    <mergeCell ref="A39:D39"/>
    <mergeCell ref="G39:J39"/>
    <mergeCell ref="M39:P39"/>
    <mergeCell ref="A24:D24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8"/>
  <sheetViews>
    <sheetView showGridLines="0" topLeftCell="A44" workbookViewId="0">
      <selection activeCell="D95" sqref="D95"/>
    </sheetView>
  </sheetViews>
  <sheetFormatPr defaultRowHeight="15.75" customHeight="1"/>
  <cols>
    <col min="1" max="1" width="16.625" style="1" customWidth="1"/>
    <col min="2" max="3" width="8.375" style="1" customWidth="1"/>
    <col min="4" max="4" width="2.5" style="1" customWidth="1"/>
    <col min="5" max="5" width="6.875" style="1" customWidth="1"/>
    <col min="6" max="7" width="8.375" style="1" customWidth="1"/>
    <col min="8" max="8" width="2.5" style="1" customWidth="1"/>
    <col min="9" max="9" width="44.625" style="1" customWidth="1"/>
    <col min="10" max="10" width="13.625" style="1" customWidth="1"/>
    <col min="11" max="1024" width="9.75" style="1" customWidth="1"/>
    <col min="1025" max="16384" width="9" style="1"/>
  </cols>
  <sheetData>
    <row r="1" spans="1:10" ht="22.5" customHeight="1">
      <c r="A1" s="219"/>
      <c r="B1" s="220" t="s">
        <v>0</v>
      </c>
      <c r="C1" s="220"/>
      <c r="D1" s="220"/>
      <c r="E1" s="220"/>
      <c r="F1" s="220"/>
      <c r="G1" s="220"/>
      <c r="H1" s="220"/>
      <c r="I1" s="220"/>
      <c r="J1" s="2"/>
    </row>
    <row r="2" spans="1:10" ht="45" customHeight="1">
      <c r="A2" s="219"/>
      <c r="B2" s="221" t="s">
        <v>1</v>
      </c>
      <c r="C2" s="221"/>
      <c r="D2" s="221"/>
      <c r="E2" s="221"/>
      <c r="F2" s="221"/>
      <c r="G2" s="221"/>
      <c r="H2" s="221"/>
      <c r="I2" s="221"/>
      <c r="J2" s="3"/>
    </row>
    <row r="3" spans="1:10" ht="14.25">
      <c r="A3" s="4"/>
      <c r="B3" s="5"/>
      <c r="C3" s="5"/>
      <c r="D3" s="5"/>
      <c r="E3" s="5"/>
      <c r="F3" s="5"/>
      <c r="G3" s="5"/>
      <c r="H3" s="5"/>
      <c r="I3" s="5"/>
      <c r="J3" s="5"/>
    </row>
    <row r="4" spans="1:10" ht="14.25">
      <c r="A4" s="16" t="s">
        <v>2</v>
      </c>
      <c r="B4" s="222"/>
      <c r="C4" s="222"/>
      <c r="D4" s="222"/>
      <c r="E4" s="222"/>
      <c r="F4" s="222"/>
      <c r="G4" s="222"/>
      <c r="H4" s="5"/>
      <c r="I4" s="214" t="s">
        <v>3</v>
      </c>
      <c r="J4" s="214"/>
    </row>
    <row r="5" spans="1:10" ht="14.25">
      <c r="A5" s="16" t="s">
        <v>4</v>
      </c>
      <c r="B5" s="222"/>
      <c r="C5" s="222"/>
      <c r="D5" s="222"/>
      <c r="E5" s="222"/>
      <c r="F5" s="222"/>
      <c r="G5" s="222"/>
      <c r="H5" s="5"/>
      <c r="I5" s="216"/>
      <c r="J5" s="216"/>
    </row>
    <row r="6" spans="1:10" ht="14.25">
      <c r="A6" s="16" t="s">
        <v>5</v>
      </c>
      <c r="B6" s="222"/>
      <c r="C6" s="222"/>
      <c r="D6" s="222"/>
      <c r="E6" s="222"/>
      <c r="F6" s="222"/>
      <c r="G6" s="222"/>
      <c r="H6" s="5"/>
      <c r="I6" s="216"/>
      <c r="J6" s="216"/>
    </row>
    <row r="7" spans="1:10" ht="14.25">
      <c r="A7" s="16" t="s">
        <v>6</v>
      </c>
      <c r="B7" s="222"/>
      <c r="C7" s="222"/>
      <c r="D7" s="222"/>
      <c r="E7" s="222"/>
      <c r="F7" s="222"/>
      <c r="G7" s="222"/>
      <c r="H7" s="5"/>
      <c r="I7" s="216"/>
      <c r="J7" s="216"/>
    </row>
    <row r="8" spans="1:10" ht="14.25">
      <c r="A8" s="16" t="s">
        <v>7</v>
      </c>
      <c r="B8" s="223"/>
      <c r="C8" s="223"/>
      <c r="D8" s="223"/>
      <c r="E8" s="223"/>
      <c r="F8" s="223"/>
      <c r="G8" s="223"/>
      <c r="H8" s="5"/>
      <c r="I8" s="216"/>
      <c r="J8" s="216"/>
    </row>
    <row r="9" spans="1:10" ht="14.25">
      <c r="A9" s="16" t="s">
        <v>8</v>
      </c>
      <c r="B9" s="7"/>
      <c r="C9" s="5"/>
      <c r="D9" s="5"/>
      <c r="E9" s="5"/>
      <c r="F9" s="5"/>
      <c r="G9" s="5"/>
      <c r="H9" s="8"/>
      <c r="I9" s="216"/>
      <c r="J9" s="216"/>
    </row>
    <row r="10" spans="1:10" ht="14.25">
      <c r="A10" s="9"/>
      <c r="B10" s="10"/>
      <c r="C10" s="10"/>
      <c r="D10" s="10"/>
      <c r="E10" s="10"/>
      <c r="F10" s="10"/>
      <c r="G10" s="10"/>
      <c r="H10" s="10"/>
      <c r="I10" s="216"/>
      <c r="J10" s="216"/>
    </row>
    <row r="11" spans="1:10" ht="14.25">
      <c r="A11" s="10"/>
      <c r="B11" s="17" t="s">
        <v>9</v>
      </c>
      <c r="C11" s="17" t="s">
        <v>10</v>
      </c>
      <c r="D11" s="8"/>
      <c r="E11" s="4"/>
      <c r="F11" s="17" t="s">
        <v>11</v>
      </c>
      <c r="G11" s="17" t="s">
        <v>12</v>
      </c>
      <c r="H11" s="8"/>
      <c r="I11" s="216"/>
      <c r="J11" s="216"/>
    </row>
    <row r="12" spans="1:10" ht="14.25">
      <c r="A12" s="16" t="s">
        <v>13</v>
      </c>
      <c r="B12" s="67"/>
      <c r="C12" s="12"/>
      <c r="D12" s="8"/>
      <c r="E12" s="16" t="s">
        <v>14</v>
      </c>
      <c r="F12" s="11"/>
      <c r="G12" s="12"/>
      <c r="H12" s="8"/>
      <c r="I12" s="216"/>
      <c r="J12" s="216"/>
    </row>
    <row r="13" spans="1:10" ht="14.25">
      <c r="A13" s="16" t="s">
        <v>15</v>
      </c>
      <c r="B13" s="67"/>
      <c r="C13" s="6"/>
      <c r="D13" s="8"/>
      <c r="E13" s="16" t="s">
        <v>16</v>
      </c>
      <c r="F13" s="7"/>
      <c r="G13" s="6"/>
      <c r="H13" s="8"/>
      <c r="I13" s="216"/>
      <c r="J13" s="216"/>
    </row>
    <row r="14" spans="1:10" ht="14.25" customHeight="1">
      <c r="A14" s="16" t="s">
        <v>17</v>
      </c>
      <c r="B14" s="68"/>
      <c r="C14" s="6"/>
      <c r="D14" s="8"/>
      <c r="E14" s="16" t="s">
        <v>18</v>
      </c>
      <c r="F14" s="7"/>
      <c r="G14" s="6"/>
      <c r="H14" s="8"/>
      <c r="I14" s="216"/>
      <c r="J14" s="216"/>
    </row>
    <row r="15" spans="1:10" ht="14.25">
      <c r="A15" s="16" t="s">
        <v>19</v>
      </c>
      <c r="B15" s="67"/>
      <c r="C15" s="6"/>
      <c r="D15" s="8"/>
      <c r="E15" s="16" t="s">
        <v>20</v>
      </c>
      <c r="F15" s="7"/>
      <c r="G15" s="8"/>
      <c r="H15" s="8"/>
      <c r="I15" s="216"/>
      <c r="J15" s="216"/>
    </row>
    <row r="16" spans="1:10" ht="14.25" customHeight="1">
      <c r="A16" s="16" t="s">
        <v>21</v>
      </c>
      <c r="B16" s="67"/>
      <c r="C16" s="6"/>
      <c r="D16" s="8"/>
      <c r="E16" s="16" t="s">
        <v>22</v>
      </c>
      <c r="F16" s="7"/>
      <c r="G16" s="8"/>
      <c r="H16" s="8"/>
      <c r="I16" s="216"/>
      <c r="J16" s="216"/>
    </row>
    <row r="17" spans="1:10" ht="14.25" customHeight="1">
      <c r="A17" s="16" t="s">
        <v>23</v>
      </c>
      <c r="B17" s="69"/>
      <c r="C17" s="6"/>
      <c r="D17" s="8"/>
      <c r="E17" s="8"/>
      <c r="F17" s="8"/>
      <c r="G17" s="8"/>
      <c r="H17" s="8"/>
      <c r="I17" s="216"/>
      <c r="J17" s="216"/>
    </row>
    <row r="18" spans="1:10" ht="14.25">
      <c r="A18" s="4"/>
      <c r="B18" s="8"/>
      <c r="C18" s="8"/>
      <c r="D18" s="8"/>
      <c r="E18" s="8"/>
      <c r="F18" s="8"/>
      <c r="G18" s="8"/>
      <c r="H18" s="8"/>
      <c r="I18" s="8"/>
      <c r="J18" s="8"/>
    </row>
    <row r="19" spans="1:10" ht="14.25">
      <c r="A19" s="214" t="s">
        <v>24</v>
      </c>
      <c r="B19" s="214"/>
      <c r="C19" s="214"/>
      <c r="D19" s="214"/>
      <c r="E19" s="214"/>
      <c r="F19" s="214"/>
      <c r="G19" s="214"/>
      <c r="H19" s="214"/>
      <c r="I19" s="214"/>
      <c r="J19" s="214"/>
    </row>
    <row r="20" spans="1:10" ht="14.25">
      <c r="A20" s="17" t="s">
        <v>25</v>
      </c>
      <c r="B20" s="17" t="s">
        <v>26</v>
      </c>
      <c r="C20" s="17" t="s">
        <v>27</v>
      </c>
      <c r="D20" s="214" t="s">
        <v>28</v>
      </c>
      <c r="E20" s="214"/>
      <c r="F20" s="214" t="s">
        <v>29</v>
      </c>
      <c r="G20" s="214"/>
      <c r="H20" s="214"/>
      <c r="I20" s="214" t="s">
        <v>3</v>
      </c>
      <c r="J20" s="214"/>
    </row>
    <row r="21" spans="1:10" ht="14.25">
      <c r="A21" s="13"/>
      <c r="B21" s="13"/>
      <c r="C21" s="13"/>
      <c r="D21" s="264"/>
      <c r="E21" s="264"/>
      <c r="F21" s="264"/>
      <c r="G21" s="264"/>
      <c r="H21" s="264"/>
      <c r="I21" s="264"/>
      <c r="J21" s="264"/>
    </row>
    <row r="22" spans="1:10" ht="14.25">
      <c r="A22" s="14"/>
      <c r="B22" s="103"/>
      <c r="C22" s="103"/>
      <c r="D22" s="263"/>
      <c r="E22" s="263"/>
      <c r="F22" s="263"/>
      <c r="G22" s="263"/>
      <c r="H22" s="263"/>
      <c r="I22" s="263"/>
      <c r="J22" s="263"/>
    </row>
    <row r="23" spans="1:10" ht="14.25">
      <c r="A23" s="14"/>
      <c r="B23" s="103"/>
      <c r="C23" s="103"/>
      <c r="D23" s="263"/>
      <c r="E23" s="263"/>
      <c r="F23" s="263"/>
      <c r="G23" s="263"/>
      <c r="H23" s="263"/>
      <c r="I23" s="263"/>
      <c r="J23" s="263"/>
    </row>
    <row r="24" spans="1:10" ht="14.25">
      <c r="A24" s="14"/>
      <c r="B24" s="103"/>
      <c r="C24" s="103"/>
      <c r="D24" s="263"/>
      <c r="E24" s="263"/>
      <c r="F24" s="263"/>
      <c r="G24" s="263"/>
      <c r="H24" s="263"/>
      <c r="I24" s="263"/>
      <c r="J24" s="263"/>
    </row>
    <row r="25" spans="1:10" ht="14.25">
      <c r="A25" s="14"/>
      <c r="B25" s="103"/>
      <c r="C25" s="103"/>
      <c r="D25" s="263"/>
      <c r="E25" s="263"/>
      <c r="F25" s="263"/>
      <c r="G25" s="263"/>
      <c r="H25" s="263"/>
      <c r="I25" s="263"/>
      <c r="J25" s="263"/>
    </row>
    <row r="26" spans="1:10" ht="14.25">
      <c r="A26" s="14"/>
      <c r="B26" s="103"/>
      <c r="C26" s="103"/>
      <c r="D26" s="263"/>
      <c r="E26" s="263"/>
      <c r="F26" s="263"/>
      <c r="G26" s="263"/>
      <c r="H26" s="263"/>
      <c r="I26" s="263"/>
      <c r="J26" s="263"/>
    </row>
    <row r="27" spans="1:10" ht="14.25">
      <c r="A27" s="14"/>
      <c r="B27" s="103"/>
      <c r="C27" s="103"/>
      <c r="D27" s="263"/>
      <c r="E27" s="263"/>
      <c r="F27" s="263"/>
      <c r="G27" s="263"/>
      <c r="H27" s="263"/>
      <c r="I27" s="263"/>
      <c r="J27" s="263"/>
    </row>
    <row r="28" spans="1:10" ht="14.25">
      <c r="A28" s="14"/>
      <c r="B28" s="103"/>
      <c r="C28" s="103"/>
      <c r="D28" s="263"/>
      <c r="E28" s="263"/>
      <c r="F28" s="263"/>
      <c r="G28" s="263"/>
      <c r="H28" s="263"/>
      <c r="I28" s="263"/>
      <c r="J28" s="263"/>
    </row>
    <row r="29" spans="1:10" ht="14.25">
      <c r="A29" s="14"/>
      <c r="B29" s="103"/>
      <c r="C29" s="103"/>
      <c r="D29" s="263"/>
      <c r="E29" s="263"/>
      <c r="F29" s="263"/>
      <c r="G29" s="263"/>
      <c r="H29" s="263"/>
      <c r="I29" s="263"/>
      <c r="J29" s="263"/>
    </row>
    <row r="30" spans="1:10" ht="14.25">
      <c r="A30" s="14"/>
      <c r="B30" s="103"/>
      <c r="C30" s="103"/>
      <c r="D30" s="263"/>
      <c r="E30" s="263"/>
      <c r="F30" s="263"/>
      <c r="G30" s="263"/>
      <c r="H30" s="263"/>
      <c r="I30" s="263"/>
      <c r="J30" s="263"/>
    </row>
    <row r="31" spans="1:10" ht="14.25">
      <c r="A31" s="15"/>
      <c r="B31" s="8"/>
      <c r="C31" s="8"/>
      <c r="D31" s="8"/>
      <c r="E31" s="8"/>
      <c r="F31" s="8"/>
      <c r="G31" s="8"/>
      <c r="H31" s="8"/>
      <c r="I31" s="8"/>
      <c r="J31" s="8"/>
    </row>
    <row r="32" spans="1:10" ht="14.25">
      <c r="A32" s="214" t="s">
        <v>30</v>
      </c>
      <c r="B32" s="214"/>
      <c r="C32" s="214"/>
      <c r="D32" s="214"/>
      <c r="E32" s="214"/>
      <c r="F32" s="214"/>
      <c r="G32" s="214"/>
      <c r="H32" s="214"/>
      <c r="I32" s="214"/>
      <c r="J32" s="214"/>
    </row>
    <row r="33" spans="1:10" ht="14.25">
      <c r="A33" s="17" t="s">
        <v>25</v>
      </c>
      <c r="B33" s="17" t="s">
        <v>26</v>
      </c>
      <c r="C33" s="17" t="s">
        <v>27</v>
      </c>
      <c r="D33" s="214" t="s">
        <v>28</v>
      </c>
      <c r="E33" s="214"/>
      <c r="F33" s="214" t="s">
        <v>31</v>
      </c>
      <c r="G33" s="214"/>
      <c r="H33" s="214"/>
      <c r="I33" s="214" t="s">
        <v>3</v>
      </c>
      <c r="J33" s="214"/>
    </row>
    <row r="34" spans="1:10" ht="14.25">
      <c r="A34" s="13"/>
      <c r="B34" s="104"/>
      <c r="C34" s="104"/>
      <c r="D34" s="264"/>
      <c r="E34" s="264"/>
      <c r="F34" s="264"/>
      <c r="G34" s="264"/>
      <c r="H34" s="264"/>
      <c r="I34" s="264"/>
      <c r="J34" s="264"/>
    </row>
    <row r="35" spans="1:10" ht="14.25">
      <c r="A35" s="14"/>
      <c r="B35" s="105"/>
      <c r="C35" s="105"/>
      <c r="D35" s="263"/>
      <c r="E35" s="263"/>
      <c r="F35" s="263"/>
      <c r="G35" s="263"/>
      <c r="H35" s="263"/>
      <c r="I35" s="263"/>
      <c r="J35" s="263"/>
    </row>
    <row r="36" spans="1:10" ht="14.25">
      <c r="A36" s="14"/>
      <c r="B36" s="105"/>
      <c r="C36" s="105"/>
      <c r="D36" s="263"/>
      <c r="E36" s="263"/>
      <c r="F36" s="263"/>
      <c r="G36" s="263"/>
      <c r="H36" s="263"/>
      <c r="I36" s="263"/>
      <c r="J36" s="263"/>
    </row>
    <row r="37" spans="1:10" ht="14.25">
      <c r="A37" s="14"/>
      <c r="B37" s="105"/>
      <c r="C37" s="105"/>
      <c r="D37" s="263"/>
      <c r="E37" s="263"/>
      <c r="F37" s="263"/>
      <c r="G37" s="263"/>
      <c r="H37" s="263"/>
      <c r="I37" s="263"/>
      <c r="J37" s="263"/>
    </row>
    <row r="38" spans="1:10" ht="14.25">
      <c r="A38" s="14"/>
      <c r="B38" s="105"/>
      <c r="C38" s="105"/>
      <c r="D38" s="263"/>
      <c r="E38" s="263"/>
      <c r="F38" s="263"/>
      <c r="G38" s="263"/>
      <c r="H38" s="263"/>
      <c r="I38" s="263"/>
      <c r="J38" s="263"/>
    </row>
    <row r="39" spans="1:10" ht="14.25">
      <c r="A39" s="14"/>
      <c r="B39" s="105"/>
      <c r="C39" s="105"/>
      <c r="D39" s="263"/>
      <c r="E39" s="263"/>
      <c r="F39" s="263"/>
      <c r="G39" s="263"/>
      <c r="H39" s="263"/>
      <c r="I39" s="263"/>
      <c r="J39" s="263"/>
    </row>
    <row r="40" spans="1:10" ht="14.25">
      <c r="A40" s="14"/>
      <c r="B40" s="105"/>
      <c r="C40" s="105"/>
      <c r="D40" s="263"/>
      <c r="E40" s="263"/>
      <c r="F40" s="263"/>
      <c r="G40" s="263"/>
      <c r="H40" s="263"/>
      <c r="I40" s="263"/>
      <c r="J40" s="263"/>
    </row>
    <row r="41" spans="1:10" ht="14.25">
      <c r="A41" s="14"/>
      <c r="B41" s="105"/>
      <c r="C41" s="105"/>
      <c r="D41" s="263"/>
      <c r="E41" s="263"/>
      <c r="F41" s="263"/>
      <c r="G41" s="263"/>
      <c r="H41" s="263"/>
      <c r="I41" s="263"/>
      <c r="J41" s="263"/>
    </row>
    <row r="42" spans="1:10" ht="14.25">
      <c r="A42" s="14"/>
      <c r="B42" s="105"/>
      <c r="C42" s="105"/>
      <c r="D42" s="263"/>
      <c r="E42" s="263"/>
      <c r="F42" s="263"/>
      <c r="G42" s="263"/>
      <c r="H42" s="263"/>
      <c r="I42" s="263"/>
      <c r="J42" s="263"/>
    </row>
    <row r="43" spans="1:10" ht="14.25">
      <c r="A43" s="14"/>
      <c r="B43" s="105"/>
      <c r="C43" s="105"/>
      <c r="D43" s="263"/>
      <c r="E43" s="263"/>
      <c r="F43" s="263"/>
      <c r="G43" s="263"/>
      <c r="H43" s="263"/>
      <c r="I43" s="263"/>
      <c r="J43" s="263"/>
    </row>
    <row r="44" spans="1:10" ht="14.25">
      <c r="A44" s="15"/>
      <c r="B44" s="8"/>
      <c r="C44" s="8"/>
      <c r="D44" s="8"/>
      <c r="E44" s="8"/>
      <c r="F44" s="8"/>
      <c r="G44" s="8"/>
      <c r="H44" s="8"/>
      <c r="I44" s="8"/>
      <c r="J44" s="8"/>
    </row>
    <row r="45" spans="1:10" ht="14.25">
      <c r="A45" s="214" t="s">
        <v>32</v>
      </c>
      <c r="B45" s="214"/>
      <c r="C45" s="214"/>
      <c r="D45" s="214"/>
      <c r="E45" s="214"/>
      <c r="F45" s="214"/>
      <c r="G45" s="214"/>
      <c r="H45" s="214"/>
      <c r="I45" s="214"/>
      <c r="J45" s="214"/>
    </row>
    <row r="46" spans="1:10" ht="14.25">
      <c r="A46" s="17" t="s">
        <v>33</v>
      </c>
      <c r="B46" s="215"/>
      <c r="C46" s="215"/>
      <c r="D46" s="215"/>
      <c r="E46" s="215"/>
      <c r="F46" s="215"/>
      <c r="G46" s="215"/>
      <c r="H46" s="215"/>
      <c r="I46" s="215"/>
      <c r="J46" s="215"/>
    </row>
    <row r="47" spans="1:10" ht="14.25">
      <c r="A47" s="216"/>
      <c r="B47" s="216"/>
      <c r="C47" s="216"/>
      <c r="D47" s="216"/>
      <c r="E47" s="216"/>
      <c r="F47" s="216"/>
      <c r="G47" s="216"/>
      <c r="H47" s="216"/>
      <c r="I47" s="216"/>
      <c r="J47" s="216"/>
    </row>
    <row r="48" spans="1:10" ht="14.25">
      <c r="A48" s="212"/>
      <c r="B48" s="212"/>
      <c r="C48" s="212"/>
      <c r="D48" s="212"/>
      <c r="E48" s="212"/>
      <c r="F48" s="212"/>
      <c r="G48" s="212"/>
      <c r="H48" s="212"/>
      <c r="I48" s="212"/>
      <c r="J48" s="212"/>
    </row>
    <row r="49" spans="1:10" ht="14.25">
      <c r="A49" s="212"/>
      <c r="B49" s="212"/>
      <c r="C49" s="212"/>
      <c r="D49" s="212"/>
      <c r="E49" s="212"/>
      <c r="F49" s="212"/>
      <c r="G49" s="212"/>
      <c r="H49" s="212"/>
      <c r="I49" s="212"/>
      <c r="J49" s="212"/>
    </row>
    <row r="50" spans="1:10" ht="14.25">
      <c r="A50" s="212"/>
      <c r="B50" s="212"/>
      <c r="C50" s="212"/>
      <c r="D50" s="212"/>
      <c r="E50" s="212"/>
      <c r="F50" s="212"/>
      <c r="G50" s="212"/>
      <c r="H50" s="212"/>
      <c r="I50" s="212"/>
      <c r="J50" s="212"/>
    </row>
    <row r="51" spans="1:10" ht="14.25">
      <c r="A51" s="212"/>
      <c r="B51" s="212"/>
      <c r="C51" s="212"/>
      <c r="D51" s="212"/>
      <c r="E51" s="212"/>
      <c r="F51" s="212"/>
      <c r="G51" s="212"/>
      <c r="H51" s="212"/>
      <c r="I51" s="212"/>
      <c r="J51" s="212"/>
    </row>
    <row r="52" spans="1:10" ht="14.25">
      <c r="A52" s="212"/>
      <c r="B52" s="212"/>
      <c r="C52" s="212"/>
      <c r="D52" s="212"/>
      <c r="E52" s="212"/>
      <c r="F52" s="212"/>
      <c r="G52" s="212"/>
      <c r="H52" s="212"/>
      <c r="I52" s="212"/>
      <c r="J52" s="212"/>
    </row>
    <row r="53" spans="1:10" ht="14.25">
      <c r="A53" s="212"/>
      <c r="B53" s="212"/>
      <c r="C53" s="212"/>
      <c r="D53" s="212"/>
      <c r="E53" s="212"/>
      <c r="F53" s="212"/>
      <c r="G53" s="212"/>
      <c r="H53" s="212"/>
      <c r="I53" s="212"/>
      <c r="J53" s="212"/>
    </row>
    <row r="54" spans="1:10" ht="14.25">
      <c r="A54" s="212"/>
      <c r="B54" s="212"/>
      <c r="C54" s="212"/>
      <c r="D54" s="212"/>
      <c r="E54" s="212"/>
      <c r="F54" s="212"/>
      <c r="G54" s="212"/>
      <c r="H54" s="212"/>
      <c r="I54" s="212"/>
      <c r="J54" s="212"/>
    </row>
    <row r="55" spans="1:10" ht="14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</row>
    <row r="56" spans="1:10" ht="14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</row>
    <row r="57" spans="1:10" ht="14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</row>
    <row r="58" spans="1:10" ht="14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</row>
    <row r="59" spans="1:10" ht="14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</row>
    <row r="60" spans="1:10" ht="14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</row>
    <row r="61" spans="1:10" ht="14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</row>
    <row r="62" spans="1:10" ht="14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</row>
    <row r="63" spans="1:10" ht="14.25">
      <c r="A63" s="212"/>
      <c r="B63" s="212"/>
      <c r="C63" s="212"/>
      <c r="D63" s="212"/>
      <c r="E63" s="212"/>
      <c r="F63" s="212"/>
      <c r="G63" s="212"/>
      <c r="H63" s="212"/>
      <c r="I63" s="212"/>
      <c r="J63" s="212"/>
    </row>
    <row r="64" spans="1:10" ht="14.25">
      <c r="A64" s="212"/>
      <c r="B64" s="212"/>
      <c r="C64" s="212"/>
      <c r="D64" s="212"/>
      <c r="E64" s="212"/>
      <c r="F64" s="212"/>
      <c r="G64" s="212"/>
      <c r="H64" s="212"/>
      <c r="I64" s="212"/>
      <c r="J64" s="212"/>
    </row>
    <row r="65" spans="1:10" ht="14.25">
      <c r="A65" s="212"/>
      <c r="B65" s="212"/>
      <c r="C65" s="212"/>
      <c r="D65" s="212"/>
      <c r="E65" s="212"/>
      <c r="F65" s="212"/>
      <c r="G65" s="212"/>
      <c r="H65" s="212"/>
      <c r="I65" s="212"/>
      <c r="J65" s="212"/>
    </row>
    <row r="66" spans="1:10" ht="14.25">
      <c r="A66" s="212"/>
      <c r="B66" s="212"/>
      <c r="C66" s="212"/>
      <c r="D66" s="212"/>
      <c r="E66" s="212"/>
      <c r="F66" s="212"/>
      <c r="G66" s="212"/>
      <c r="H66" s="212"/>
      <c r="I66" s="212"/>
      <c r="J66" s="212"/>
    </row>
    <row r="67" spans="1:10" ht="14.25">
      <c r="A67" s="212"/>
      <c r="B67" s="212"/>
      <c r="C67" s="212"/>
      <c r="D67" s="212"/>
      <c r="E67" s="212"/>
      <c r="F67" s="212"/>
      <c r="G67" s="212"/>
      <c r="H67" s="212"/>
      <c r="I67" s="212"/>
      <c r="J67" s="212"/>
    </row>
    <row r="68" spans="1:10" ht="14.25">
      <c r="A68" s="212"/>
      <c r="B68" s="212"/>
      <c r="C68" s="212"/>
      <c r="D68" s="212"/>
      <c r="E68" s="212"/>
      <c r="F68" s="212"/>
      <c r="G68" s="212"/>
      <c r="H68" s="212"/>
      <c r="I68" s="212"/>
      <c r="J68" s="212"/>
    </row>
    <row r="69" spans="1:10" ht="14.25">
      <c r="A69" s="212"/>
      <c r="B69" s="212"/>
      <c r="C69" s="212"/>
      <c r="D69" s="212"/>
      <c r="E69" s="212"/>
      <c r="F69" s="212"/>
      <c r="G69" s="212"/>
      <c r="H69" s="212"/>
      <c r="I69" s="212"/>
      <c r="J69" s="212"/>
    </row>
    <row r="70" spans="1:10" ht="14.25">
      <c r="A70" s="212"/>
      <c r="B70" s="212"/>
      <c r="C70" s="212"/>
      <c r="D70" s="212"/>
      <c r="E70" s="212"/>
      <c r="F70" s="212"/>
      <c r="G70" s="212"/>
      <c r="H70" s="212"/>
      <c r="I70" s="212"/>
      <c r="J70" s="212"/>
    </row>
    <row r="71" spans="1:10" ht="14.25">
      <c r="A71" s="212"/>
      <c r="B71" s="212"/>
      <c r="C71" s="212"/>
      <c r="D71" s="212"/>
      <c r="E71" s="212"/>
      <c r="F71" s="212"/>
      <c r="G71" s="212"/>
      <c r="H71" s="212"/>
      <c r="I71" s="212"/>
      <c r="J71" s="212"/>
    </row>
    <row r="72" spans="1:10" ht="14.25">
      <c r="A72" s="212"/>
      <c r="B72" s="212"/>
      <c r="C72" s="212"/>
      <c r="D72" s="212"/>
      <c r="E72" s="212"/>
      <c r="F72" s="212"/>
      <c r="G72" s="212"/>
      <c r="H72" s="212"/>
      <c r="I72" s="212"/>
      <c r="J72" s="212"/>
    </row>
    <row r="73" spans="1:10" ht="14.25">
      <c r="A73" s="212"/>
      <c r="B73" s="212"/>
      <c r="C73" s="212"/>
      <c r="D73" s="212"/>
      <c r="E73" s="212"/>
      <c r="F73" s="212"/>
      <c r="G73" s="212"/>
      <c r="H73" s="212"/>
      <c r="I73" s="212"/>
      <c r="J73" s="212"/>
    </row>
    <row r="74" spans="1:10" ht="14.25">
      <c r="A74" s="212"/>
      <c r="B74" s="212"/>
      <c r="C74" s="212"/>
      <c r="D74" s="212"/>
      <c r="E74" s="212"/>
      <c r="F74" s="212"/>
      <c r="G74" s="212"/>
      <c r="H74" s="212"/>
      <c r="I74" s="212"/>
      <c r="J74" s="212"/>
    </row>
    <row r="75" spans="1:10" ht="14.25">
      <c r="A75" s="212"/>
      <c r="B75" s="212"/>
      <c r="C75" s="212"/>
      <c r="D75" s="212"/>
      <c r="E75" s="212"/>
      <c r="F75" s="212"/>
      <c r="G75" s="212"/>
      <c r="H75" s="212"/>
      <c r="I75" s="212"/>
      <c r="J75" s="212"/>
    </row>
    <row r="76" spans="1:10" ht="14.25">
      <c r="A76" s="212"/>
      <c r="B76" s="212"/>
      <c r="C76" s="212"/>
      <c r="D76" s="212"/>
      <c r="E76" s="212"/>
      <c r="F76" s="212"/>
      <c r="G76" s="212"/>
      <c r="H76" s="212"/>
      <c r="I76" s="212"/>
      <c r="J76" s="212"/>
    </row>
    <row r="77" spans="1:10" ht="14.25">
      <c r="A77" s="212"/>
      <c r="B77" s="212"/>
      <c r="C77" s="212"/>
      <c r="D77" s="212"/>
      <c r="E77" s="212"/>
      <c r="F77" s="212"/>
      <c r="G77" s="212"/>
      <c r="H77" s="212"/>
      <c r="I77" s="212"/>
      <c r="J77" s="212"/>
    </row>
    <row r="78" spans="1:10" ht="30" customHeight="1">
      <c r="A78" s="213" t="s">
        <v>367</v>
      </c>
      <c r="B78" s="213"/>
      <c r="C78" s="213"/>
      <c r="D78" s="213"/>
      <c r="E78" s="213"/>
      <c r="F78" s="213"/>
      <c r="G78" s="213"/>
      <c r="H78" s="213"/>
      <c r="I78" s="213"/>
      <c r="J78" s="213"/>
    </row>
  </sheetData>
  <mergeCells count="143">
    <mergeCell ref="A1:A2"/>
    <mergeCell ref="B1:I1"/>
    <mergeCell ref="B2:I2"/>
    <mergeCell ref="B4:G4"/>
    <mergeCell ref="I4:J4"/>
    <mergeCell ref="B5:G5"/>
    <mergeCell ref="I5:J17"/>
    <mergeCell ref="B6:G6"/>
    <mergeCell ref="B7:G7"/>
    <mergeCell ref="B8:G8"/>
    <mergeCell ref="D22:E22"/>
    <mergeCell ref="F22:H22"/>
    <mergeCell ref="I22:J22"/>
    <mergeCell ref="D23:E23"/>
    <mergeCell ref="F23:H23"/>
    <mergeCell ref="I23:J23"/>
    <mergeCell ref="A19:J19"/>
    <mergeCell ref="D20:E20"/>
    <mergeCell ref="F20:H20"/>
    <mergeCell ref="I20:J20"/>
    <mergeCell ref="D21:E21"/>
    <mergeCell ref="F21:H21"/>
    <mergeCell ref="I21:J21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30:E30"/>
    <mergeCell ref="F30:H30"/>
    <mergeCell ref="I30:J30"/>
    <mergeCell ref="A32:J32"/>
    <mergeCell ref="D33:E33"/>
    <mergeCell ref="F33:H33"/>
    <mergeCell ref="I33:J33"/>
    <mergeCell ref="D28:E28"/>
    <mergeCell ref="F28:H28"/>
    <mergeCell ref="I28:J28"/>
    <mergeCell ref="D29:E29"/>
    <mergeCell ref="F29:H29"/>
    <mergeCell ref="I29:J29"/>
    <mergeCell ref="D36:E36"/>
    <mergeCell ref="F36:H36"/>
    <mergeCell ref="I36:J36"/>
    <mergeCell ref="D37:E37"/>
    <mergeCell ref="F37:H37"/>
    <mergeCell ref="I37:J37"/>
    <mergeCell ref="D34:E34"/>
    <mergeCell ref="F34:H34"/>
    <mergeCell ref="I34:J34"/>
    <mergeCell ref="D35:E35"/>
    <mergeCell ref="F35:H35"/>
    <mergeCell ref="I35:J35"/>
    <mergeCell ref="D40:E40"/>
    <mergeCell ref="F40:H40"/>
    <mergeCell ref="I40:J40"/>
    <mergeCell ref="D41:E41"/>
    <mergeCell ref="F41:H41"/>
    <mergeCell ref="I41:J41"/>
    <mergeCell ref="D38:E38"/>
    <mergeCell ref="F38:H38"/>
    <mergeCell ref="I38:J38"/>
    <mergeCell ref="D39:E39"/>
    <mergeCell ref="F39:H39"/>
    <mergeCell ref="I39:J39"/>
    <mergeCell ref="A45:J45"/>
    <mergeCell ref="B46:J46"/>
    <mergeCell ref="A47:H47"/>
    <mergeCell ref="I47:J47"/>
    <mergeCell ref="A48:H48"/>
    <mergeCell ref="I48:J48"/>
    <mergeCell ref="D42:E42"/>
    <mergeCell ref="F42:H42"/>
    <mergeCell ref="I42:J42"/>
    <mergeCell ref="D43:E43"/>
    <mergeCell ref="F43:H43"/>
    <mergeCell ref="I43:J43"/>
    <mergeCell ref="A52:H52"/>
    <mergeCell ref="I52:J52"/>
    <mergeCell ref="A53:H53"/>
    <mergeCell ref="I53:J53"/>
    <mergeCell ref="A54:H54"/>
    <mergeCell ref="I54:J54"/>
    <mergeCell ref="A49:H49"/>
    <mergeCell ref="I49:J49"/>
    <mergeCell ref="A50:H50"/>
    <mergeCell ref="I50:J50"/>
    <mergeCell ref="A51:H51"/>
    <mergeCell ref="I51:J51"/>
    <mergeCell ref="A58:H58"/>
    <mergeCell ref="I58:J58"/>
    <mergeCell ref="A59:H59"/>
    <mergeCell ref="I59:J59"/>
    <mergeCell ref="A60:H60"/>
    <mergeCell ref="I60:J60"/>
    <mergeCell ref="A55:H55"/>
    <mergeCell ref="I55:J55"/>
    <mergeCell ref="A56:H56"/>
    <mergeCell ref="I56:J56"/>
    <mergeCell ref="A57:H57"/>
    <mergeCell ref="I57:J57"/>
    <mergeCell ref="A64:H64"/>
    <mergeCell ref="I64:J64"/>
    <mergeCell ref="A65:H65"/>
    <mergeCell ref="I65:J65"/>
    <mergeCell ref="A66:H66"/>
    <mergeCell ref="I66:J66"/>
    <mergeCell ref="A61:H61"/>
    <mergeCell ref="I61:J61"/>
    <mergeCell ref="A62:H62"/>
    <mergeCell ref="I62:J62"/>
    <mergeCell ref="A63:H63"/>
    <mergeCell ref="I63:J63"/>
    <mergeCell ref="A70:H70"/>
    <mergeCell ref="I70:J70"/>
    <mergeCell ref="A71:H71"/>
    <mergeCell ref="I71:J71"/>
    <mergeCell ref="A72:H72"/>
    <mergeCell ref="I72:J72"/>
    <mergeCell ref="A67:H67"/>
    <mergeCell ref="I67:J67"/>
    <mergeCell ref="A68:H68"/>
    <mergeCell ref="I68:J68"/>
    <mergeCell ref="A69:H69"/>
    <mergeCell ref="I69:J69"/>
    <mergeCell ref="A76:H76"/>
    <mergeCell ref="I76:J76"/>
    <mergeCell ref="A77:H77"/>
    <mergeCell ref="I77:J77"/>
    <mergeCell ref="A78:J78"/>
    <mergeCell ref="A73:H73"/>
    <mergeCell ref="I73:J73"/>
    <mergeCell ref="A74:H74"/>
    <mergeCell ref="I74:J74"/>
    <mergeCell ref="A75:H75"/>
    <mergeCell ref="I75:J7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8"/>
  <sheetViews>
    <sheetView showGridLines="0" topLeftCell="A64" workbookViewId="0">
      <selection activeCell="E2" sqref="E2:N2"/>
    </sheetView>
  </sheetViews>
  <sheetFormatPr defaultRowHeight="15.75" customHeight="1"/>
  <cols>
    <col min="1" max="1" width="14.125" style="1" customWidth="1"/>
    <col min="2" max="3" width="1.125" style="1" customWidth="1"/>
    <col min="4" max="6" width="7.375" style="1" customWidth="1"/>
    <col min="7" max="8" width="1.125" style="1" customWidth="1"/>
    <col min="9" max="11" width="7.375" style="1" customWidth="1"/>
    <col min="12" max="13" width="1.125" style="1" customWidth="1"/>
    <col min="14" max="16" width="7.375" style="1" customWidth="1"/>
    <col min="17" max="1024" width="9.75" style="1" customWidth="1"/>
    <col min="1025" max="16384" width="9" style="1"/>
  </cols>
  <sheetData>
    <row r="1" spans="1:16" ht="22.5" customHeight="1">
      <c r="A1" s="219"/>
      <c r="B1" s="219"/>
      <c r="C1" s="219"/>
      <c r="D1" s="220" t="s">
        <v>0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10"/>
    </row>
    <row r="2" spans="1:16" ht="45" customHeight="1">
      <c r="A2" s="219"/>
      <c r="B2" s="219"/>
      <c r="C2" s="219"/>
      <c r="D2" s="10"/>
      <c r="E2" s="221" t="s">
        <v>34</v>
      </c>
      <c r="F2" s="221"/>
      <c r="G2" s="221"/>
      <c r="H2" s="221"/>
      <c r="I2" s="221"/>
      <c r="J2" s="221"/>
      <c r="K2" s="221"/>
      <c r="L2" s="221"/>
      <c r="M2" s="221"/>
      <c r="N2" s="221"/>
      <c r="O2" s="3"/>
      <c r="P2" s="18"/>
    </row>
    <row r="3" spans="1:16" ht="15" customHeight="1">
      <c r="A3" s="8"/>
      <c r="B3" s="8"/>
      <c r="C3" s="8"/>
      <c r="D3" s="8"/>
      <c r="E3" s="6" t="s">
        <v>2</v>
      </c>
      <c r="F3" s="266"/>
      <c r="G3" s="266"/>
      <c r="H3" s="266"/>
      <c r="I3" s="266"/>
      <c r="J3" s="266"/>
      <c r="K3" s="266"/>
      <c r="L3" s="266"/>
      <c r="M3" s="266"/>
      <c r="N3" s="266"/>
      <c r="O3" s="8"/>
      <c r="P3" s="8"/>
    </row>
    <row r="4" spans="1:16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" customHeight="1">
      <c r="A5" s="8"/>
      <c r="B5" s="8"/>
      <c r="C5" s="8"/>
      <c r="D5" s="248" t="s">
        <v>35</v>
      </c>
      <c r="E5" s="248"/>
      <c r="F5" s="248"/>
      <c r="G5" s="8"/>
      <c r="H5" s="8"/>
      <c r="I5" s="248" t="s">
        <v>36</v>
      </c>
      <c r="J5" s="248"/>
      <c r="K5" s="248"/>
      <c r="L5" s="8"/>
      <c r="M5" s="8"/>
      <c r="N5" s="248" t="s">
        <v>37</v>
      </c>
      <c r="O5" s="248"/>
      <c r="P5" s="248"/>
    </row>
    <row r="6" spans="1:16" ht="15" customHeight="1">
      <c r="A6" s="244" t="s">
        <v>38</v>
      </c>
      <c r="B6" s="244"/>
      <c r="C6" s="19"/>
      <c r="D6" s="245" t="s">
        <v>39</v>
      </c>
      <c r="E6" s="245"/>
      <c r="F6" s="245"/>
      <c r="G6" s="20"/>
      <c r="H6" s="20"/>
      <c r="I6" s="245" t="s">
        <v>40</v>
      </c>
      <c r="J6" s="245"/>
      <c r="K6" s="245"/>
      <c r="L6" s="20"/>
      <c r="M6" s="20"/>
      <c r="N6" s="245" t="s">
        <v>41</v>
      </c>
      <c r="O6" s="245"/>
      <c r="P6" s="245"/>
    </row>
    <row r="7" spans="1:16" ht="1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ht="1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22"/>
      <c r="N8" s="265" t="s">
        <v>42</v>
      </c>
      <c r="O8" s="265"/>
      <c r="P8" s="265"/>
    </row>
    <row r="9" spans="1:16" ht="15" customHeight="1">
      <c r="A9" s="24"/>
      <c r="B9" s="24"/>
      <c r="C9" s="24"/>
      <c r="D9" s="24"/>
      <c r="E9" s="24"/>
      <c r="F9" s="24"/>
      <c r="G9" s="24"/>
      <c r="H9" s="24"/>
      <c r="I9" s="10"/>
      <c r="J9" s="10"/>
      <c r="K9" s="10"/>
      <c r="L9" s="25"/>
      <c r="M9" s="26"/>
      <c r="N9" s="12"/>
      <c r="O9" s="116" t="s">
        <v>88</v>
      </c>
      <c r="P9" s="117" t="s">
        <v>89</v>
      </c>
    </row>
    <row r="10" spans="1:16" ht="7.5" customHeight="1">
      <c r="A10" s="10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29"/>
      <c r="M10" s="8"/>
      <c r="N10" s="8"/>
      <c r="O10" s="8"/>
      <c r="P10" s="8"/>
    </row>
    <row r="11" spans="1:16" ht="15" customHeight="1">
      <c r="A11" s="10"/>
      <c r="B11" s="10"/>
      <c r="C11" s="10"/>
      <c r="D11" s="10"/>
      <c r="E11" s="10"/>
      <c r="F11" s="10"/>
      <c r="G11" s="10"/>
      <c r="H11" s="22"/>
      <c r="I11" s="265" t="s">
        <v>43</v>
      </c>
      <c r="J11" s="265"/>
      <c r="K11" s="265"/>
      <c r="L11" s="31"/>
      <c r="M11" s="32"/>
      <c r="N11" s="265" t="s">
        <v>44</v>
      </c>
      <c r="O11" s="265"/>
      <c r="P11" s="265"/>
    </row>
    <row r="12" spans="1:16" ht="15" customHeight="1">
      <c r="A12" s="10"/>
      <c r="B12" s="10"/>
      <c r="C12" s="10"/>
      <c r="D12" s="10"/>
      <c r="E12" s="10"/>
      <c r="F12" s="10"/>
      <c r="G12" s="25"/>
      <c r="H12" s="26"/>
      <c r="I12" s="12"/>
      <c r="J12" s="116" t="s">
        <v>88</v>
      </c>
      <c r="K12" s="117" t="s">
        <v>89</v>
      </c>
      <c r="L12" s="33"/>
      <c r="M12" s="34"/>
      <c r="N12" s="12"/>
      <c r="O12" s="116" t="s">
        <v>88</v>
      </c>
      <c r="P12" s="117" t="s">
        <v>89</v>
      </c>
    </row>
    <row r="13" spans="1:16" ht="7.5" customHeight="1">
      <c r="A13" s="10"/>
      <c r="B13" s="10"/>
      <c r="C13" s="10"/>
      <c r="D13" s="10"/>
      <c r="E13" s="10"/>
      <c r="F13" s="10"/>
      <c r="G13" s="25"/>
      <c r="H13" s="10"/>
      <c r="I13" s="10"/>
      <c r="J13" s="10"/>
      <c r="K13" s="10"/>
      <c r="L13" s="25"/>
      <c r="M13" s="10"/>
      <c r="N13" s="8"/>
      <c r="O13" s="8"/>
      <c r="P13" s="8"/>
    </row>
    <row r="14" spans="1:16" ht="15" customHeight="1">
      <c r="A14" s="10"/>
      <c r="B14" s="10"/>
      <c r="C14" s="10"/>
      <c r="D14" s="10"/>
      <c r="E14" s="10"/>
      <c r="F14" s="10"/>
      <c r="G14" s="25"/>
      <c r="H14" s="10"/>
      <c r="I14" s="10"/>
      <c r="J14" s="10"/>
      <c r="K14" s="10"/>
      <c r="L14" s="25"/>
      <c r="M14" s="22"/>
      <c r="N14" s="265" t="s">
        <v>45</v>
      </c>
      <c r="O14" s="265"/>
      <c r="P14" s="265"/>
    </row>
    <row r="15" spans="1:16" ht="15" customHeight="1">
      <c r="A15" s="10"/>
      <c r="B15" s="10"/>
      <c r="C15" s="10"/>
      <c r="D15" s="10"/>
      <c r="E15" s="10"/>
      <c r="F15" s="10"/>
      <c r="G15" s="25"/>
      <c r="H15" s="10"/>
      <c r="I15" s="10"/>
      <c r="J15" s="10"/>
      <c r="K15" s="10"/>
      <c r="L15" s="10"/>
      <c r="M15" s="26"/>
      <c r="N15" s="12"/>
      <c r="O15" s="116" t="s">
        <v>88</v>
      </c>
      <c r="P15" s="117" t="s">
        <v>89</v>
      </c>
    </row>
    <row r="16" spans="1:16" ht="7.5" customHeight="1">
      <c r="A16" s="10"/>
      <c r="B16" s="10"/>
      <c r="C16" s="10"/>
      <c r="D16" s="10"/>
      <c r="E16" s="10"/>
      <c r="F16" s="10"/>
      <c r="G16" s="25"/>
      <c r="H16" s="10"/>
      <c r="I16" s="10"/>
      <c r="J16" s="10"/>
      <c r="K16" s="10"/>
      <c r="L16" s="10"/>
      <c r="M16" s="10"/>
      <c r="N16" s="8"/>
      <c r="O16" s="8"/>
      <c r="P16" s="8"/>
    </row>
    <row r="17" spans="1:16" ht="15" customHeight="1">
      <c r="A17" s="10"/>
      <c r="B17" s="10"/>
      <c r="C17" s="10"/>
      <c r="D17" s="10"/>
      <c r="E17" s="10"/>
      <c r="F17" s="10"/>
      <c r="G17" s="25"/>
      <c r="H17" s="10"/>
      <c r="I17" s="10"/>
      <c r="J17" s="10"/>
      <c r="K17" s="10"/>
      <c r="L17" s="10"/>
      <c r="M17" s="22"/>
      <c r="N17" s="265" t="s">
        <v>46</v>
      </c>
      <c r="O17" s="265"/>
      <c r="P17" s="265"/>
    </row>
    <row r="18" spans="1:16" ht="15" customHeight="1">
      <c r="A18" s="10"/>
      <c r="B18" s="10"/>
      <c r="C18" s="10"/>
      <c r="D18" s="10"/>
      <c r="E18" s="10"/>
      <c r="F18" s="10"/>
      <c r="G18" s="25"/>
      <c r="H18" s="10"/>
      <c r="I18" s="10"/>
      <c r="J18" s="10"/>
      <c r="K18" s="10"/>
      <c r="L18" s="25"/>
      <c r="M18" s="26"/>
      <c r="N18" s="12"/>
      <c r="O18" s="116" t="s">
        <v>88</v>
      </c>
      <c r="P18" s="117" t="s">
        <v>89</v>
      </c>
    </row>
    <row r="19" spans="1:16" ht="7.5" customHeight="1">
      <c r="A19" s="10"/>
      <c r="B19" s="10"/>
      <c r="C19" s="10"/>
      <c r="D19" s="8"/>
      <c r="E19" s="8"/>
      <c r="F19" s="8"/>
      <c r="G19" s="29"/>
      <c r="H19" s="8"/>
      <c r="I19" s="8"/>
      <c r="J19" s="8"/>
      <c r="K19" s="8"/>
      <c r="L19" s="29"/>
      <c r="M19" s="8"/>
      <c r="N19" s="8"/>
      <c r="O19" s="8"/>
      <c r="P19" s="8"/>
    </row>
    <row r="20" spans="1:16" ht="15" customHeight="1">
      <c r="A20" s="10"/>
      <c r="B20" s="10"/>
      <c r="C20" s="22"/>
      <c r="D20" s="265" t="s">
        <v>47</v>
      </c>
      <c r="E20" s="265"/>
      <c r="F20" s="265"/>
      <c r="G20" s="31"/>
      <c r="H20" s="32"/>
      <c r="I20" s="265" t="s">
        <v>48</v>
      </c>
      <c r="J20" s="265"/>
      <c r="K20" s="265"/>
      <c r="L20" s="31"/>
      <c r="M20" s="32"/>
      <c r="N20" s="265" t="s">
        <v>49</v>
      </c>
      <c r="O20" s="265"/>
      <c r="P20" s="265"/>
    </row>
    <row r="21" spans="1:16" ht="15" customHeight="1">
      <c r="A21" s="10"/>
      <c r="B21" s="25"/>
      <c r="C21" s="26"/>
      <c r="D21" s="12"/>
      <c r="E21" s="116" t="s">
        <v>88</v>
      </c>
      <c r="F21" s="117" t="s">
        <v>89</v>
      </c>
      <c r="G21" s="33"/>
      <c r="H21" s="34"/>
      <c r="I21" s="12"/>
      <c r="J21" s="116" t="s">
        <v>88</v>
      </c>
      <c r="K21" s="117" t="s">
        <v>89</v>
      </c>
      <c r="L21" s="33"/>
      <c r="M21" s="34"/>
      <c r="N21" s="12"/>
      <c r="O21" s="116" t="s">
        <v>88</v>
      </c>
      <c r="P21" s="117" t="s">
        <v>89</v>
      </c>
    </row>
    <row r="22" spans="1:16" ht="7.5" customHeight="1">
      <c r="A22" s="10"/>
      <c r="B22" s="25"/>
      <c r="C22" s="10"/>
      <c r="D22" s="10"/>
      <c r="E22" s="10"/>
      <c r="F22" s="10"/>
      <c r="G22" s="25"/>
      <c r="H22" s="10"/>
      <c r="I22" s="10"/>
      <c r="J22" s="10"/>
      <c r="K22" s="10"/>
      <c r="L22" s="25"/>
      <c r="M22" s="10"/>
      <c r="N22" s="8"/>
      <c r="O22" s="8"/>
      <c r="P22" s="8"/>
    </row>
    <row r="23" spans="1:16" ht="15" customHeight="1">
      <c r="A23" s="10"/>
      <c r="B23" s="25"/>
      <c r="C23" s="10"/>
      <c r="D23" s="10"/>
      <c r="E23" s="10"/>
      <c r="F23" s="10"/>
      <c r="G23" s="25"/>
      <c r="H23" s="10"/>
      <c r="I23" s="10"/>
      <c r="J23" s="10"/>
      <c r="K23" s="10"/>
      <c r="L23" s="25"/>
      <c r="M23" s="22"/>
      <c r="N23" s="265" t="s">
        <v>50</v>
      </c>
      <c r="O23" s="265"/>
      <c r="P23" s="265"/>
    </row>
    <row r="24" spans="1:16" ht="15" customHeight="1">
      <c r="A24" s="10"/>
      <c r="B24" s="25"/>
      <c r="C24" s="10"/>
      <c r="D24" s="10"/>
      <c r="E24" s="10"/>
      <c r="F24" s="10"/>
      <c r="G24" s="25"/>
      <c r="H24" s="10"/>
      <c r="I24" s="10"/>
      <c r="J24" s="10"/>
      <c r="K24" s="10"/>
      <c r="L24" s="10"/>
      <c r="M24" s="26"/>
      <c r="N24" s="12"/>
      <c r="O24" s="116" t="s">
        <v>88</v>
      </c>
      <c r="P24" s="117" t="s">
        <v>89</v>
      </c>
    </row>
    <row r="25" spans="1:16" ht="7.5" customHeight="1">
      <c r="A25" s="10"/>
      <c r="B25" s="25"/>
      <c r="C25" s="10"/>
      <c r="D25" s="10"/>
      <c r="E25" s="10"/>
      <c r="F25" s="10"/>
      <c r="G25" s="25"/>
      <c r="H25" s="10"/>
      <c r="I25" s="10"/>
      <c r="J25" s="10"/>
      <c r="K25" s="10"/>
      <c r="L25" s="10"/>
      <c r="M25" s="10"/>
      <c r="N25" s="8"/>
      <c r="O25" s="8"/>
      <c r="P25" s="8"/>
    </row>
    <row r="26" spans="1:16" ht="15" customHeight="1">
      <c r="A26" s="10"/>
      <c r="B26" s="25"/>
      <c r="C26" s="10"/>
      <c r="D26" s="10"/>
      <c r="E26" s="10"/>
      <c r="F26" s="10"/>
      <c r="G26" s="25"/>
      <c r="H26" s="10"/>
      <c r="I26" s="10"/>
      <c r="J26" s="10"/>
      <c r="K26" s="10"/>
      <c r="L26" s="10"/>
      <c r="M26" s="22"/>
      <c r="N26" s="265" t="s">
        <v>51</v>
      </c>
      <c r="O26" s="265"/>
      <c r="P26" s="265"/>
    </row>
    <row r="27" spans="1:16" ht="15" customHeight="1">
      <c r="A27" s="10"/>
      <c r="B27" s="25"/>
      <c r="C27" s="10"/>
      <c r="D27" s="10"/>
      <c r="E27" s="10"/>
      <c r="F27" s="10"/>
      <c r="G27" s="25"/>
      <c r="H27" s="10"/>
      <c r="I27" s="10"/>
      <c r="J27" s="10"/>
      <c r="K27" s="10"/>
      <c r="L27" s="25"/>
      <c r="M27" s="26"/>
      <c r="N27" s="12"/>
      <c r="O27" s="116" t="s">
        <v>88</v>
      </c>
      <c r="P27" s="117" t="s">
        <v>89</v>
      </c>
    </row>
    <row r="28" spans="1:16" ht="7.5" customHeight="1">
      <c r="A28" s="10"/>
      <c r="B28" s="25"/>
      <c r="C28" s="10"/>
      <c r="D28" s="10"/>
      <c r="E28" s="10"/>
      <c r="F28" s="10"/>
      <c r="G28" s="25"/>
      <c r="H28" s="10"/>
      <c r="I28" s="8"/>
      <c r="J28" s="8"/>
      <c r="K28" s="8"/>
      <c r="L28" s="29"/>
      <c r="M28" s="8"/>
      <c r="N28" s="8"/>
      <c r="O28" s="8"/>
      <c r="P28" s="8"/>
    </row>
    <row r="29" spans="1:16" ht="15" customHeight="1">
      <c r="A29" s="10"/>
      <c r="B29" s="25"/>
      <c r="C29" s="10"/>
      <c r="D29" s="10"/>
      <c r="E29" s="10"/>
      <c r="F29" s="10"/>
      <c r="G29" s="25"/>
      <c r="H29" s="22"/>
      <c r="I29" s="265" t="s">
        <v>52</v>
      </c>
      <c r="J29" s="265"/>
      <c r="K29" s="265"/>
      <c r="L29" s="31"/>
      <c r="M29" s="32"/>
      <c r="N29" s="265" t="s">
        <v>53</v>
      </c>
      <c r="O29" s="265"/>
      <c r="P29" s="265"/>
    </row>
    <row r="30" spans="1:16" ht="15" customHeight="1">
      <c r="A30" s="10"/>
      <c r="B30" s="25"/>
      <c r="C30" s="10"/>
      <c r="D30" s="10"/>
      <c r="E30" s="10"/>
      <c r="F30" s="10"/>
      <c r="G30" s="10"/>
      <c r="H30" s="26"/>
      <c r="I30" s="12"/>
      <c r="J30" s="116" t="s">
        <v>88</v>
      </c>
      <c r="K30" s="117" t="s">
        <v>89</v>
      </c>
      <c r="L30" s="33"/>
      <c r="M30" s="34"/>
      <c r="N30" s="12"/>
      <c r="O30" s="116" t="s">
        <v>88</v>
      </c>
      <c r="P30" s="117" t="s">
        <v>89</v>
      </c>
    </row>
    <row r="31" spans="1:16" ht="7.5" customHeight="1">
      <c r="A31" s="10"/>
      <c r="B31" s="25"/>
      <c r="C31" s="10"/>
      <c r="D31" s="10"/>
      <c r="E31" s="10"/>
      <c r="F31" s="10"/>
      <c r="G31" s="10"/>
      <c r="H31" s="10"/>
      <c r="I31" s="10"/>
      <c r="J31" s="10"/>
      <c r="K31" s="10"/>
      <c r="L31" s="25"/>
      <c r="M31" s="10"/>
      <c r="N31" s="8"/>
      <c r="O31" s="8"/>
      <c r="P31" s="8"/>
    </row>
    <row r="32" spans="1:16" ht="15" customHeight="1">
      <c r="A32" s="10"/>
      <c r="B32" s="25"/>
      <c r="C32" s="10"/>
      <c r="D32" s="10"/>
      <c r="E32" s="10"/>
      <c r="F32" s="10"/>
      <c r="G32" s="10"/>
      <c r="H32" s="10"/>
      <c r="I32" s="10"/>
      <c r="J32" s="10"/>
      <c r="K32" s="10"/>
      <c r="L32" s="25"/>
      <c r="M32" s="22"/>
      <c r="N32" s="265" t="s">
        <v>54</v>
      </c>
      <c r="O32" s="265"/>
      <c r="P32" s="265"/>
    </row>
    <row r="33" spans="1:16" ht="15" customHeight="1">
      <c r="A33" s="10"/>
      <c r="B33" s="2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6"/>
      <c r="N33" s="12"/>
      <c r="O33" s="116" t="s">
        <v>88</v>
      </c>
      <c r="P33" s="117" t="s">
        <v>89</v>
      </c>
    </row>
    <row r="34" spans="1:16" ht="7.5" customHeight="1">
      <c r="A34" s="10"/>
      <c r="B34" s="25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8"/>
      <c r="O34" s="8"/>
      <c r="P34" s="8"/>
    </row>
    <row r="35" spans="1:16" ht="15" customHeight="1">
      <c r="A35" s="10"/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2"/>
      <c r="N35" s="265" t="s">
        <v>55</v>
      </c>
      <c r="O35" s="265"/>
      <c r="P35" s="265"/>
    </row>
    <row r="36" spans="1:16" ht="15" customHeight="1">
      <c r="A36" s="10"/>
      <c r="B36" s="25"/>
      <c r="C36" s="10"/>
      <c r="D36" s="10"/>
      <c r="E36" s="10"/>
      <c r="F36" s="10"/>
      <c r="G36" s="10"/>
      <c r="H36" s="10"/>
      <c r="I36" s="10"/>
      <c r="J36" s="10"/>
      <c r="K36" s="10"/>
      <c r="L36" s="25"/>
      <c r="M36" s="26"/>
      <c r="N36" s="12"/>
      <c r="O36" s="116" t="s">
        <v>88</v>
      </c>
      <c r="P36" s="117" t="s">
        <v>89</v>
      </c>
    </row>
    <row r="37" spans="1:16" ht="7.5" customHeight="1">
      <c r="A37" s="10"/>
      <c r="B37" s="25"/>
      <c r="C37" s="10"/>
      <c r="D37" s="10"/>
      <c r="E37" s="10"/>
      <c r="F37" s="10"/>
      <c r="G37" s="10"/>
      <c r="H37" s="10"/>
      <c r="I37" s="8"/>
      <c r="J37" s="8"/>
      <c r="K37" s="8"/>
      <c r="L37" s="29"/>
      <c r="M37" s="8"/>
      <c r="N37" s="8"/>
      <c r="O37" s="8"/>
      <c r="P37" s="8"/>
    </row>
    <row r="38" spans="1:16" ht="15" customHeight="1">
      <c r="A38" s="10"/>
      <c r="B38" s="25"/>
      <c r="C38" s="10"/>
      <c r="D38" s="10"/>
      <c r="E38" s="10"/>
      <c r="F38" s="10"/>
      <c r="G38" s="10"/>
      <c r="H38" s="22"/>
      <c r="I38" s="265" t="s">
        <v>56</v>
      </c>
      <c r="J38" s="265"/>
      <c r="K38" s="265"/>
      <c r="L38" s="31"/>
      <c r="M38" s="32"/>
      <c r="N38" s="265" t="s">
        <v>57</v>
      </c>
      <c r="O38" s="265"/>
      <c r="P38" s="265"/>
    </row>
    <row r="39" spans="1:16" ht="15" customHeight="1">
      <c r="A39" s="10"/>
      <c r="B39" s="25"/>
      <c r="C39" s="10"/>
      <c r="D39" s="10"/>
      <c r="E39" s="10"/>
      <c r="F39" s="10"/>
      <c r="G39" s="25"/>
      <c r="H39" s="26"/>
      <c r="I39" s="12"/>
      <c r="J39" s="116" t="s">
        <v>88</v>
      </c>
      <c r="K39" s="117" t="s">
        <v>89</v>
      </c>
      <c r="L39" s="33"/>
      <c r="M39" s="34"/>
      <c r="N39" s="12"/>
      <c r="O39" s="116" t="s">
        <v>88</v>
      </c>
      <c r="P39" s="117" t="s">
        <v>89</v>
      </c>
    </row>
    <row r="40" spans="1:16" ht="7.5" customHeight="1">
      <c r="A40" s="10"/>
      <c r="B40" s="25"/>
      <c r="C40" s="10"/>
      <c r="D40" s="10"/>
      <c r="E40" s="10"/>
      <c r="F40" s="10"/>
      <c r="G40" s="25"/>
      <c r="H40" s="10"/>
      <c r="I40" s="10"/>
      <c r="J40" s="10"/>
      <c r="K40" s="10"/>
      <c r="L40" s="25"/>
      <c r="M40" s="10"/>
      <c r="N40" s="8"/>
      <c r="O40" s="8"/>
      <c r="P40" s="8"/>
    </row>
    <row r="41" spans="1:16" ht="15" customHeight="1">
      <c r="A41" s="10"/>
      <c r="B41" s="25"/>
      <c r="C41" s="10"/>
      <c r="D41" s="10"/>
      <c r="E41" s="10"/>
      <c r="F41" s="10"/>
      <c r="G41" s="25"/>
      <c r="H41" s="10"/>
      <c r="I41" s="10"/>
      <c r="J41" s="10"/>
      <c r="K41" s="10"/>
      <c r="L41" s="25"/>
      <c r="M41" s="22"/>
      <c r="N41" s="265" t="s">
        <v>58</v>
      </c>
      <c r="O41" s="265"/>
      <c r="P41" s="265"/>
    </row>
    <row r="42" spans="1:16" ht="15" customHeight="1">
      <c r="A42" s="10"/>
      <c r="B42" s="25"/>
      <c r="C42" s="10"/>
      <c r="D42" s="10"/>
      <c r="E42" s="10"/>
      <c r="F42" s="10"/>
      <c r="G42" s="25"/>
      <c r="H42" s="10"/>
      <c r="I42" s="10"/>
      <c r="J42" s="10"/>
      <c r="K42" s="10"/>
      <c r="L42" s="10"/>
      <c r="M42" s="26"/>
      <c r="N42" s="12"/>
      <c r="O42" s="116" t="s">
        <v>88</v>
      </c>
      <c r="P42" s="117" t="s">
        <v>89</v>
      </c>
    </row>
    <row r="43" spans="1:16" ht="7.5" customHeight="1">
      <c r="A43" s="10"/>
      <c r="B43" s="25"/>
      <c r="C43" s="10"/>
      <c r="D43" s="10"/>
      <c r="E43" s="10"/>
      <c r="F43" s="10"/>
      <c r="G43" s="25"/>
      <c r="H43" s="10"/>
      <c r="I43" s="10"/>
      <c r="J43" s="10"/>
      <c r="K43" s="10"/>
      <c r="L43" s="10"/>
      <c r="M43" s="10"/>
      <c r="N43" s="8"/>
      <c r="O43" s="8"/>
      <c r="P43" s="8"/>
    </row>
    <row r="44" spans="1:16" ht="15" customHeight="1">
      <c r="A44" s="10"/>
      <c r="B44" s="25"/>
      <c r="C44" s="10"/>
      <c r="D44" s="10"/>
      <c r="E44" s="10"/>
      <c r="F44" s="10"/>
      <c r="G44" s="25"/>
      <c r="H44" s="10"/>
      <c r="I44" s="10"/>
      <c r="J44" s="10"/>
      <c r="K44" s="10"/>
      <c r="L44" s="10"/>
      <c r="M44" s="22"/>
      <c r="N44" s="265" t="s">
        <v>59</v>
      </c>
      <c r="O44" s="265"/>
      <c r="P44" s="265"/>
    </row>
    <row r="45" spans="1:16" ht="15" customHeight="1">
      <c r="A45" s="10"/>
      <c r="B45" s="25"/>
      <c r="C45" s="10"/>
      <c r="D45" s="10"/>
      <c r="E45" s="10"/>
      <c r="F45" s="10"/>
      <c r="G45" s="25"/>
      <c r="H45" s="10"/>
      <c r="I45" s="10"/>
      <c r="J45" s="10"/>
      <c r="K45" s="10"/>
      <c r="L45" s="25"/>
      <c r="M45" s="26"/>
      <c r="N45" s="12"/>
      <c r="O45" s="116" t="s">
        <v>88</v>
      </c>
      <c r="P45" s="117" t="s">
        <v>89</v>
      </c>
    </row>
    <row r="46" spans="1:16" ht="7.5" customHeight="1">
      <c r="A46" s="8"/>
      <c r="B46" s="29"/>
      <c r="C46" s="8"/>
      <c r="D46" s="8"/>
      <c r="E46" s="8"/>
      <c r="F46" s="8"/>
      <c r="G46" s="29"/>
      <c r="H46" s="8"/>
      <c r="I46" s="8"/>
      <c r="J46" s="8"/>
      <c r="K46" s="8"/>
      <c r="L46" s="29"/>
      <c r="M46" s="8"/>
      <c r="N46" s="8"/>
      <c r="O46" s="8"/>
      <c r="P46" s="8"/>
    </row>
    <row r="47" spans="1:16" ht="15" customHeight="1">
      <c r="A47" s="70" t="s">
        <v>60</v>
      </c>
      <c r="B47" s="31"/>
      <c r="C47" s="32"/>
      <c r="D47" s="265" t="s">
        <v>61</v>
      </c>
      <c r="E47" s="265"/>
      <c r="F47" s="265"/>
      <c r="G47" s="31"/>
      <c r="H47" s="32"/>
      <c r="I47" s="265" t="s">
        <v>62</v>
      </c>
      <c r="J47" s="265"/>
      <c r="K47" s="265"/>
      <c r="L47" s="31"/>
      <c r="M47" s="32"/>
      <c r="N47" s="265" t="s">
        <v>63</v>
      </c>
      <c r="O47" s="265"/>
      <c r="P47" s="265"/>
    </row>
    <row r="48" spans="1:16" ht="15" customHeight="1">
      <c r="A48" s="12"/>
      <c r="B48" s="46"/>
      <c r="C48" s="47"/>
      <c r="D48" s="12"/>
      <c r="E48" s="116" t="s">
        <v>88</v>
      </c>
      <c r="F48" s="117" t="s">
        <v>89</v>
      </c>
      <c r="G48" s="33"/>
      <c r="H48" s="34"/>
      <c r="I48" s="12"/>
      <c r="J48" s="116" t="s">
        <v>88</v>
      </c>
      <c r="K48" s="117" t="s">
        <v>89</v>
      </c>
      <c r="L48" s="33"/>
      <c r="M48" s="34"/>
      <c r="N48" s="12"/>
      <c r="O48" s="116" t="s">
        <v>88</v>
      </c>
      <c r="P48" s="117" t="s">
        <v>89</v>
      </c>
    </row>
    <row r="49" spans="1:16" ht="7.5" customHeight="1">
      <c r="A49" s="10"/>
      <c r="B49" s="25"/>
      <c r="C49" s="10"/>
      <c r="D49" s="10"/>
      <c r="E49" s="10"/>
      <c r="F49" s="10"/>
      <c r="G49" s="25"/>
      <c r="H49" s="10"/>
      <c r="I49" s="10"/>
      <c r="J49" s="10"/>
      <c r="K49" s="10"/>
      <c r="L49" s="25"/>
      <c r="M49" s="10"/>
      <c r="N49" s="8"/>
      <c r="O49" s="8"/>
      <c r="P49" s="8"/>
    </row>
    <row r="50" spans="1:16" ht="15" customHeight="1">
      <c r="A50" s="10"/>
      <c r="B50" s="25"/>
      <c r="C50" s="10"/>
      <c r="D50" s="10"/>
      <c r="E50" s="10"/>
      <c r="F50" s="10"/>
      <c r="G50" s="25"/>
      <c r="H50" s="10"/>
      <c r="I50" s="10"/>
      <c r="J50" s="10"/>
      <c r="K50" s="10"/>
      <c r="L50" s="25"/>
      <c r="M50" s="22"/>
      <c r="N50" s="265" t="s">
        <v>64</v>
      </c>
      <c r="O50" s="265"/>
      <c r="P50" s="265"/>
    </row>
    <row r="51" spans="1:16" ht="15" customHeight="1">
      <c r="A51" s="10"/>
      <c r="B51" s="25"/>
      <c r="C51" s="10"/>
      <c r="D51" s="10"/>
      <c r="E51" s="10"/>
      <c r="F51" s="10"/>
      <c r="G51" s="25"/>
      <c r="H51" s="10"/>
      <c r="I51" s="10"/>
      <c r="J51" s="10"/>
      <c r="K51" s="10"/>
      <c r="L51" s="10"/>
      <c r="M51" s="26"/>
      <c r="N51" s="12"/>
      <c r="O51" s="116" t="s">
        <v>88</v>
      </c>
      <c r="P51" s="117" t="s">
        <v>89</v>
      </c>
    </row>
    <row r="52" spans="1:16" ht="7.5" customHeight="1">
      <c r="A52" s="10"/>
      <c r="B52" s="25"/>
      <c r="C52" s="10"/>
      <c r="D52" s="10"/>
      <c r="E52" s="10"/>
      <c r="F52" s="10"/>
      <c r="G52" s="25"/>
      <c r="H52" s="10"/>
      <c r="I52" s="10"/>
      <c r="J52" s="10"/>
      <c r="K52" s="10"/>
      <c r="L52" s="10"/>
      <c r="M52" s="10"/>
      <c r="N52" s="8"/>
      <c r="O52" s="8"/>
      <c r="P52" s="8"/>
    </row>
    <row r="53" spans="1:16" ht="15" customHeight="1">
      <c r="A53" s="10"/>
      <c r="B53" s="25"/>
      <c r="C53" s="10"/>
      <c r="D53" s="10"/>
      <c r="E53" s="10"/>
      <c r="F53" s="10"/>
      <c r="G53" s="25"/>
      <c r="H53" s="10"/>
      <c r="I53" s="10"/>
      <c r="J53" s="10"/>
      <c r="K53" s="10"/>
      <c r="L53" s="10"/>
      <c r="M53" s="22"/>
      <c r="N53" s="265" t="s">
        <v>65</v>
      </c>
      <c r="O53" s="265"/>
      <c r="P53" s="265"/>
    </row>
    <row r="54" spans="1:16" ht="15" customHeight="1">
      <c r="A54" s="10"/>
      <c r="B54" s="25"/>
      <c r="C54" s="10"/>
      <c r="D54" s="10"/>
      <c r="E54" s="10"/>
      <c r="F54" s="10"/>
      <c r="G54" s="25"/>
      <c r="H54" s="10"/>
      <c r="I54" s="10"/>
      <c r="J54" s="10"/>
      <c r="K54" s="10"/>
      <c r="L54" s="25"/>
      <c r="M54" s="26"/>
      <c r="N54" s="12"/>
      <c r="O54" s="116" t="s">
        <v>88</v>
      </c>
      <c r="P54" s="117" t="s">
        <v>89</v>
      </c>
    </row>
    <row r="55" spans="1:16" ht="7.5" customHeight="1">
      <c r="A55" s="10"/>
      <c r="B55" s="25"/>
      <c r="C55" s="10"/>
      <c r="D55" s="10"/>
      <c r="E55" s="10"/>
      <c r="F55" s="10"/>
      <c r="G55" s="25"/>
      <c r="H55" s="10"/>
      <c r="I55" s="8"/>
      <c r="J55" s="8"/>
      <c r="K55" s="8"/>
      <c r="L55" s="29"/>
      <c r="M55" s="8"/>
      <c r="N55" s="8"/>
      <c r="O55" s="8"/>
      <c r="P55" s="8"/>
    </row>
    <row r="56" spans="1:16" ht="15" customHeight="1">
      <c r="A56" s="10"/>
      <c r="B56" s="25"/>
      <c r="C56" s="10"/>
      <c r="D56" s="10"/>
      <c r="E56" s="10"/>
      <c r="F56" s="10"/>
      <c r="G56" s="25"/>
      <c r="H56" s="22"/>
      <c r="I56" s="265" t="s">
        <v>66</v>
      </c>
      <c r="J56" s="265"/>
      <c r="K56" s="265"/>
      <c r="L56" s="31"/>
      <c r="M56" s="32"/>
      <c r="N56" s="265" t="s">
        <v>67</v>
      </c>
      <c r="O56" s="265"/>
      <c r="P56" s="265"/>
    </row>
    <row r="57" spans="1:16" ht="15" customHeight="1">
      <c r="A57" s="10"/>
      <c r="B57" s="25"/>
      <c r="C57" s="10"/>
      <c r="D57" s="10"/>
      <c r="E57" s="10"/>
      <c r="F57" s="10"/>
      <c r="G57" s="10"/>
      <c r="H57" s="26"/>
      <c r="I57" s="12"/>
      <c r="J57" s="116" t="s">
        <v>88</v>
      </c>
      <c r="K57" s="117" t="s">
        <v>89</v>
      </c>
      <c r="L57" s="33"/>
      <c r="M57" s="34"/>
      <c r="N57" s="12"/>
      <c r="O57" s="116" t="s">
        <v>88</v>
      </c>
      <c r="P57" s="117" t="s">
        <v>89</v>
      </c>
    </row>
    <row r="58" spans="1:16" ht="7.5" customHeight="1">
      <c r="A58" s="10"/>
      <c r="B58" s="25"/>
      <c r="C58" s="10"/>
      <c r="D58" s="10"/>
      <c r="E58" s="10"/>
      <c r="F58" s="10"/>
      <c r="G58" s="10"/>
      <c r="H58" s="10"/>
      <c r="I58" s="10"/>
      <c r="J58" s="10"/>
      <c r="K58" s="10"/>
      <c r="L58" s="25"/>
      <c r="M58" s="10"/>
      <c r="N58" s="8"/>
      <c r="O58" s="8"/>
      <c r="P58" s="8"/>
    </row>
    <row r="59" spans="1:16" ht="15" customHeight="1">
      <c r="A59" s="10"/>
      <c r="B59" s="25"/>
      <c r="C59" s="10"/>
      <c r="D59" s="10"/>
      <c r="E59" s="10"/>
      <c r="F59" s="10"/>
      <c r="G59" s="10"/>
      <c r="H59" s="10"/>
      <c r="I59" s="10"/>
      <c r="J59" s="10"/>
      <c r="K59" s="10"/>
      <c r="L59" s="25"/>
      <c r="M59" s="22"/>
      <c r="N59" s="265" t="s">
        <v>68</v>
      </c>
      <c r="O59" s="265"/>
      <c r="P59" s="265"/>
    </row>
    <row r="60" spans="1:16" ht="15" customHeight="1">
      <c r="A60" s="10"/>
      <c r="B60" s="2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26"/>
      <c r="N60" s="12"/>
      <c r="O60" s="116" t="s">
        <v>88</v>
      </c>
      <c r="P60" s="117" t="s">
        <v>89</v>
      </c>
    </row>
    <row r="61" spans="1:16" ht="7.5" customHeight="1">
      <c r="A61" s="10"/>
      <c r="B61" s="2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8"/>
      <c r="O61" s="8"/>
      <c r="P61" s="8"/>
    </row>
    <row r="62" spans="1:16" ht="15" customHeight="1">
      <c r="A62" s="10"/>
      <c r="B62" s="2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22"/>
      <c r="N62" s="265" t="s">
        <v>69</v>
      </c>
      <c r="O62" s="265"/>
      <c r="P62" s="265"/>
    </row>
    <row r="63" spans="1:16" ht="15" customHeight="1">
      <c r="A63" s="10"/>
      <c r="B63" s="25"/>
      <c r="C63" s="10"/>
      <c r="D63" s="10"/>
      <c r="E63" s="10"/>
      <c r="F63" s="10"/>
      <c r="G63" s="10"/>
      <c r="H63" s="10"/>
      <c r="I63" s="10"/>
      <c r="J63" s="10"/>
      <c r="K63" s="10"/>
      <c r="L63" s="25"/>
      <c r="M63" s="26"/>
      <c r="N63" s="12"/>
      <c r="O63" s="116" t="s">
        <v>88</v>
      </c>
      <c r="P63" s="117" t="s">
        <v>89</v>
      </c>
    </row>
    <row r="64" spans="1:16" ht="7.5" customHeight="1">
      <c r="A64" s="10"/>
      <c r="B64" s="25"/>
      <c r="C64" s="10"/>
      <c r="D64" s="10"/>
      <c r="E64" s="10"/>
      <c r="F64" s="10"/>
      <c r="G64" s="10"/>
      <c r="H64" s="10"/>
      <c r="I64" s="8"/>
      <c r="J64" s="8"/>
      <c r="K64" s="8"/>
      <c r="L64" s="29"/>
      <c r="M64" s="8"/>
      <c r="N64" s="8"/>
      <c r="O64" s="8"/>
      <c r="P64" s="8"/>
    </row>
    <row r="65" spans="1:16" ht="15" customHeight="1">
      <c r="A65" s="10"/>
      <c r="B65" s="25"/>
      <c r="C65" s="10"/>
      <c r="D65" s="10"/>
      <c r="E65" s="10"/>
      <c r="F65" s="10"/>
      <c r="G65" s="10"/>
      <c r="H65" s="22"/>
      <c r="I65" s="265" t="s">
        <v>70</v>
      </c>
      <c r="J65" s="265"/>
      <c r="K65" s="265"/>
      <c r="L65" s="31"/>
      <c r="M65" s="32"/>
      <c r="N65" s="265" t="s">
        <v>71</v>
      </c>
      <c r="O65" s="265"/>
      <c r="P65" s="265"/>
    </row>
    <row r="66" spans="1:16" ht="15" customHeight="1">
      <c r="A66" s="10"/>
      <c r="B66" s="25"/>
      <c r="C66" s="10"/>
      <c r="D66" s="10"/>
      <c r="E66" s="10"/>
      <c r="F66" s="10"/>
      <c r="G66" s="25"/>
      <c r="H66" s="26"/>
      <c r="I66" s="12"/>
      <c r="J66" s="116" t="s">
        <v>88</v>
      </c>
      <c r="K66" s="117" t="s">
        <v>89</v>
      </c>
      <c r="L66" s="33"/>
      <c r="M66" s="34"/>
      <c r="N66" s="12"/>
      <c r="O66" s="116" t="s">
        <v>88</v>
      </c>
      <c r="P66" s="117" t="s">
        <v>89</v>
      </c>
    </row>
    <row r="67" spans="1:16" ht="7.5" customHeight="1">
      <c r="A67" s="10"/>
      <c r="B67" s="25"/>
      <c r="C67" s="10"/>
      <c r="D67" s="10"/>
      <c r="E67" s="10"/>
      <c r="F67" s="10"/>
      <c r="G67" s="25"/>
      <c r="H67" s="10"/>
      <c r="I67" s="10"/>
      <c r="J67" s="10"/>
      <c r="K67" s="10"/>
      <c r="L67" s="25"/>
      <c r="M67" s="10"/>
      <c r="N67" s="8"/>
      <c r="O67" s="8"/>
      <c r="P67" s="8"/>
    </row>
    <row r="68" spans="1:16" ht="15" customHeight="1">
      <c r="A68" s="10"/>
      <c r="B68" s="25"/>
      <c r="C68" s="10"/>
      <c r="D68" s="10"/>
      <c r="E68" s="10"/>
      <c r="F68" s="10"/>
      <c r="G68" s="25"/>
      <c r="H68" s="10"/>
      <c r="I68" s="10"/>
      <c r="J68" s="10"/>
      <c r="K68" s="10"/>
      <c r="L68" s="25"/>
      <c r="M68" s="22"/>
      <c r="N68" s="265" t="s">
        <v>72</v>
      </c>
      <c r="O68" s="265"/>
      <c r="P68" s="265"/>
    </row>
    <row r="69" spans="1:16" ht="15" customHeight="1">
      <c r="A69" s="10"/>
      <c r="B69" s="25"/>
      <c r="C69" s="10"/>
      <c r="D69" s="10"/>
      <c r="E69" s="10"/>
      <c r="F69" s="10"/>
      <c r="G69" s="25"/>
      <c r="H69" s="10"/>
      <c r="I69" s="10"/>
      <c r="J69" s="10"/>
      <c r="K69" s="10"/>
      <c r="L69" s="10"/>
      <c r="M69" s="26"/>
      <c r="N69" s="12"/>
      <c r="O69" s="116" t="s">
        <v>88</v>
      </c>
      <c r="P69" s="117" t="s">
        <v>89</v>
      </c>
    </row>
    <row r="70" spans="1:16" ht="7.5" customHeight="1">
      <c r="A70" s="10"/>
      <c r="B70" s="25"/>
      <c r="C70" s="10"/>
      <c r="D70" s="10"/>
      <c r="E70" s="10"/>
      <c r="F70" s="10"/>
      <c r="G70" s="25"/>
      <c r="H70" s="10"/>
      <c r="I70" s="10"/>
      <c r="J70" s="10"/>
      <c r="K70" s="10"/>
      <c r="L70" s="10"/>
      <c r="M70" s="10"/>
      <c r="N70" s="8"/>
      <c r="O70" s="8"/>
      <c r="P70" s="8"/>
    </row>
    <row r="71" spans="1:16" ht="15" customHeight="1">
      <c r="A71" s="10"/>
      <c r="B71" s="25"/>
      <c r="C71" s="10"/>
      <c r="D71" s="10"/>
      <c r="E71" s="10"/>
      <c r="F71" s="10"/>
      <c r="G71" s="25"/>
      <c r="H71" s="10"/>
      <c r="I71" s="10"/>
      <c r="J71" s="10"/>
      <c r="K71" s="10"/>
      <c r="L71" s="10"/>
      <c r="M71" s="22"/>
      <c r="N71" s="265" t="s">
        <v>73</v>
      </c>
      <c r="O71" s="265"/>
      <c r="P71" s="265"/>
    </row>
    <row r="72" spans="1:16" ht="15" customHeight="1">
      <c r="A72" s="10"/>
      <c r="B72" s="25"/>
      <c r="C72" s="10"/>
      <c r="D72" s="10"/>
      <c r="E72" s="10"/>
      <c r="F72" s="10"/>
      <c r="G72" s="25"/>
      <c r="H72" s="10"/>
      <c r="I72" s="10"/>
      <c r="J72" s="10"/>
      <c r="K72" s="10"/>
      <c r="L72" s="25"/>
      <c r="M72" s="26"/>
      <c r="N72" s="12"/>
      <c r="O72" s="116" t="s">
        <v>88</v>
      </c>
      <c r="P72" s="117" t="s">
        <v>89</v>
      </c>
    </row>
    <row r="73" spans="1:16" ht="7.5" customHeight="1">
      <c r="A73" s="10"/>
      <c r="B73" s="25"/>
      <c r="C73" s="10"/>
      <c r="D73" s="8"/>
      <c r="E73" s="8"/>
      <c r="F73" s="8"/>
      <c r="G73" s="29"/>
      <c r="H73" s="8"/>
      <c r="I73" s="8"/>
      <c r="J73" s="8"/>
      <c r="K73" s="8"/>
      <c r="L73" s="29"/>
      <c r="M73" s="8"/>
      <c r="N73" s="8"/>
      <c r="O73" s="8"/>
      <c r="P73" s="8"/>
    </row>
    <row r="74" spans="1:16" ht="15" customHeight="1">
      <c r="A74" s="10"/>
      <c r="B74" s="25"/>
      <c r="C74" s="22"/>
      <c r="D74" s="265" t="s">
        <v>74</v>
      </c>
      <c r="E74" s="265"/>
      <c r="F74" s="265"/>
      <c r="G74" s="31"/>
      <c r="H74" s="32"/>
      <c r="I74" s="265" t="s">
        <v>75</v>
      </c>
      <c r="J74" s="265"/>
      <c r="K74" s="265"/>
      <c r="L74" s="31"/>
      <c r="M74" s="32"/>
      <c r="N74" s="265" t="s">
        <v>76</v>
      </c>
      <c r="O74" s="265"/>
      <c r="P74" s="265"/>
    </row>
    <row r="75" spans="1:16" ht="15" customHeight="1">
      <c r="A75" s="10"/>
      <c r="B75" s="10"/>
      <c r="C75" s="26"/>
      <c r="D75" s="12"/>
      <c r="E75" s="116" t="s">
        <v>88</v>
      </c>
      <c r="F75" s="117" t="s">
        <v>89</v>
      </c>
      <c r="G75" s="33"/>
      <c r="H75" s="34"/>
      <c r="I75" s="12"/>
      <c r="J75" s="116" t="s">
        <v>88</v>
      </c>
      <c r="K75" s="117" t="s">
        <v>89</v>
      </c>
      <c r="L75" s="33"/>
      <c r="M75" s="34"/>
      <c r="N75" s="12"/>
      <c r="O75" s="116" t="s">
        <v>88</v>
      </c>
      <c r="P75" s="117" t="s">
        <v>89</v>
      </c>
    </row>
    <row r="76" spans="1:16" ht="7.5" customHeight="1">
      <c r="A76" s="10"/>
      <c r="B76" s="10"/>
      <c r="C76" s="10"/>
      <c r="D76" s="10"/>
      <c r="E76" s="10"/>
      <c r="F76" s="10"/>
      <c r="G76" s="25"/>
      <c r="H76" s="10"/>
      <c r="I76" s="10"/>
      <c r="J76" s="10"/>
      <c r="K76" s="10"/>
      <c r="L76" s="25"/>
      <c r="M76" s="10"/>
      <c r="N76" s="8"/>
      <c r="O76" s="8"/>
      <c r="P76" s="8"/>
    </row>
    <row r="77" spans="1:16" ht="15" customHeight="1">
      <c r="A77" s="10"/>
      <c r="B77" s="10"/>
      <c r="C77" s="10"/>
      <c r="D77" s="10"/>
      <c r="E77" s="10"/>
      <c r="F77" s="10"/>
      <c r="G77" s="25"/>
      <c r="H77" s="10"/>
      <c r="I77" s="10"/>
      <c r="J77" s="10"/>
      <c r="K77" s="10"/>
      <c r="L77" s="25"/>
      <c r="M77" s="22"/>
      <c r="N77" s="265" t="s">
        <v>77</v>
      </c>
      <c r="O77" s="265"/>
      <c r="P77" s="265"/>
    </row>
    <row r="78" spans="1:16" ht="15" customHeight="1">
      <c r="A78" s="10"/>
      <c r="B78" s="10"/>
      <c r="C78" s="10"/>
      <c r="D78" s="10"/>
      <c r="E78" s="10"/>
      <c r="F78" s="10"/>
      <c r="G78" s="25"/>
      <c r="H78" s="10"/>
      <c r="I78" s="10"/>
      <c r="J78" s="10"/>
      <c r="K78" s="10"/>
      <c r="L78" s="10"/>
      <c r="M78" s="26"/>
      <c r="N78" s="12"/>
      <c r="O78" s="116" t="s">
        <v>88</v>
      </c>
      <c r="P78" s="117" t="s">
        <v>89</v>
      </c>
    </row>
    <row r="79" spans="1:16" ht="7.5" customHeight="1">
      <c r="A79" s="10"/>
      <c r="B79" s="10"/>
      <c r="C79" s="10"/>
      <c r="D79" s="10"/>
      <c r="E79" s="10"/>
      <c r="F79" s="10"/>
      <c r="G79" s="25"/>
      <c r="H79" s="10"/>
      <c r="I79" s="10"/>
      <c r="J79" s="10"/>
      <c r="K79" s="10"/>
      <c r="L79" s="10"/>
      <c r="M79" s="10"/>
      <c r="N79" s="8"/>
      <c r="O79" s="8"/>
      <c r="P79" s="8"/>
    </row>
    <row r="80" spans="1:16" ht="15" customHeight="1">
      <c r="A80" s="10"/>
      <c r="B80" s="10"/>
      <c r="C80" s="10"/>
      <c r="D80" s="10"/>
      <c r="E80" s="10"/>
      <c r="F80" s="10"/>
      <c r="G80" s="25"/>
      <c r="H80" s="10"/>
      <c r="I80" s="10"/>
      <c r="J80" s="10"/>
      <c r="K80" s="10"/>
      <c r="L80" s="10"/>
      <c r="M80" s="22"/>
      <c r="N80" s="265" t="s">
        <v>78</v>
      </c>
      <c r="O80" s="265"/>
      <c r="P80" s="265"/>
    </row>
    <row r="81" spans="1:16" ht="15" customHeight="1">
      <c r="A81" s="10"/>
      <c r="B81" s="10"/>
      <c r="C81" s="10"/>
      <c r="D81" s="10"/>
      <c r="E81" s="10"/>
      <c r="F81" s="10"/>
      <c r="G81" s="25"/>
      <c r="H81" s="10"/>
      <c r="I81" s="10"/>
      <c r="J81" s="10"/>
      <c r="K81" s="10"/>
      <c r="L81" s="25"/>
      <c r="M81" s="26"/>
      <c r="N81" s="12"/>
      <c r="O81" s="116" t="s">
        <v>88</v>
      </c>
      <c r="P81" s="117" t="s">
        <v>89</v>
      </c>
    </row>
    <row r="82" spans="1:16" ht="7.5" customHeight="1">
      <c r="A82" s="10"/>
      <c r="B82" s="10"/>
      <c r="C82" s="10"/>
      <c r="D82" s="10"/>
      <c r="E82" s="10"/>
      <c r="F82" s="10"/>
      <c r="G82" s="25"/>
      <c r="H82" s="10"/>
      <c r="I82" s="8"/>
      <c r="J82" s="8"/>
      <c r="K82" s="8"/>
      <c r="L82" s="29"/>
      <c r="M82" s="8"/>
      <c r="N82" s="8"/>
      <c r="O82" s="8"/>
      <c r="P82" s="8"/>
    </row>
    <row r="83" spans="1:16" ht="15" customHeight="1">
      <c r="A83" s="10"/>
      <c r="B83" s="10"/>
      <c r="C83" s="10"/>
      <c r="D83" s="10"/>
      <c r="E83" s="10"/>
      <c r="F83" s="10"/>
      <c r="G83" s="25"/>
      <c r="H83" s="22"/>
      <c r="I83" s="265" t="s">
        <v>79</v>
      </c>
      <c r="J83" s="265"/>
      <c r="K83" s="265"/>
      <c r="L83" s="31"/>
      <c r="M83" s="32"/>
      <c r="N83" s="265" t="s">
        <v>80</v>
      </c>
      <c r="O83" s="265"/>
      <c r="P83" s="265"/>
    </row>
    <row r="84" spans="1:16" ht="15" customHeight="1">
      <c r="A84" s="10"/>
      <c r="B84" s="10"/>
      <c r="C84" s="10"/>
      <c r="D84" s="10"/>
      <c r="E84" s="10"/>
      <c r="F84" s="10"/>
      <c r="G84" s="10"/>
      <c r="H84" s="26"/>
      <c r="I84" s="12"/>
      <c r="J84" s="116" t="s">
        <v>88</v>
      </c>
      <c r="K84" s="117" t="s">
        <v>89</v>
      </c>
      <c r="L84" s="33"/>
      <c r="M84" s="34"/>
      <c r="N84" s="12"/>
      <c r="O84" s="116" t="s">
        <v>88</v>
      </c>
      <c r="P84" s="117" t="s">
        <v>89</v>
      </c>
    </row>
    <row r="85" spans="1:16" ht="7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25"/>
      <c r="M85" s="10"/>
      <c r="N85" s="8"/>
      <c r="O85" s="8"/>
      <c r="P85" s="8"/>
    </row>
    <row r="86" spans="1:1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25"/>
      <c r="M86" s="22"/>
      <c r="N86" s="265" t="s">
        <v>81</v>
      </c>
      <c r="O86" s="265"/>
      <c r="P86" s="265"/>
    </row>
    <row r="87" spans="1:16" ht="15" customHeight="1">
      <c r="A87" s="57"/>
      <c r="B87" s="57"/>
      <c r="C87" s="57"/>
      <c r="D87" s="57"/>
      <c r="E87" s="57"/>
      <c r="F87" s="57"/>
      <c r="G87" s="57"/>
      <c r="H87" s="57"/>
      <c r="I87" s="10"/>
      <c r="J87" s="10"/>
      <c r="K87" s="10"/>
      <c r="L87" s="10"/>
      <c r="M87" s="26"/>
      <c r="N87" s="12"/>
      <c r="O87" s="116" t="s">
        <v>88</v>
      </c>
      <c r="P87" s="117" t="s">
        <v>89</v>
      </c>
    </row>
    <row r="88" spans="1:16" ht="30" customHeight="1">
      <c r="A88" s="213" t="s">
        <v>367</v>
      </c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</row>
  </sheetData>
  <mergeCells count="51">
    <mergeCell ref="A1:C2"/>
    <mergeCell ref="E2:N2"/>
    <mergeCell ref="F3:N3"/>
    <mergeCell ref="D5:F5"/>
    <mergeCell ref="I5:K5"/>
    <mergeCell ref="N5:P5"/>
    <mergeCell ref="D1:O1"/>
    <mergeCell ref="N23:P23"/>
    <mergeCell ref="A6:B6"/>
    <mergeCell ref="D6:F6"/>
    <mergeCell ref="I6:K6"/>
    <mergeCell ref="N6:P6"/>
    <mergeCell ref="N8:P8"/>
    <mergeCell ref="I11:K11"/>
    <mergeCell ref="N11:P11"/>
    <mergeCell ref="N14:P14"/>
    <mergeCell ref="N17:P17"/>
    <mergeCell ref="D20:F20"/>
    <mergeCell ref="I20:K20"/>
    <mergeCell ref="N20:P20"/>
    <mergeCell ref="N50:P50"/>
    <mergeCell ref="N26:P26"/>
    <mergeCell ref="I29:K29"/>
    <mergeCell ref="N29:P29"/>
    <mergeCell ref="N32:P32"/>
    <mergeCell ref="N35:P35"/>
    <mergeCell ref="I38:K38"/>
    <mergeCell ref="N38:P38"/>
    <mergeCell ref="N41:P41"/>
    <mergeCell ref="N44:P44"/>
    <mergeCell ref="D47:F47"/>
    <mergeCell ref="I47:K47"/>
    <mergeCell ref="N47:P47"/>
    <mergeCell ref="N77:P77"/>
    <mergeCell ref="N53:P53"/>
    <mergeCell ref="I56:K56"/>
    <mergeCell ref="N56:P56"/>
    <mergeCell ref="N59:P59"/>
    <mergeCell ref="N62:P62"/>
    <mergeCell ref="I65:K65"/>
    <mergeCell ref="N65:P65"/>
    <mergeCell ref="N68:P68"/>
    <mergeCell ref="N71:P71"/>
    <mergeCell ref="D74:F74"/>
    <mergeCell ref="I74:K74"/>
    <mergeCell ref="N74:P74"/>
    <mergeCell ref="N80:P80"/>
    <mergeCell ref="I83:K83"/>
    <mergeCell ref="N83:P83"/>
    <mergeCell ref="N86:P86"/>
    <mergeCell ref="A88:P88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4"/>
  <sheetViews>
    <sheetView showGridLines="0" workbookViewId="0">
      <selection activeCell="G75" sqref="G74:G75"/>
    </sheetView>
  </sheetViews>
  <sheetFormatPr defaultRowHeight="15.75" customHeight="1"/>
  <cols>
    <col min="1" max="3" width="5.625" style="1" customWidth="1"/>
    <col min="4" max="4" width="30.625" style="1" customWidth="1"/>
    <col min="5" max="6" width="3" style="1" customWidth="1"/>
    <col min="7" max="9" width="5.625" style="1" customWidth="1"/>
    <col min="10" max="10" width="30.625" style="1" customWidth="1"/>
    <col min="11" max="12" width="3" style="1" customWidth="1"/>
    <col min="13" max="15" width="5.625" style="1" customWidth="1"/>
    <col min="16" max="16" width="30.625" style="1" customWidth="1"/>
    <col min="17" max="1024" width="9.75" style="1" customWidth="1"/>
    <col min="1025" max="16384" width="9" style="1"/>
  </cols>
  <sheetData>
    <row r="1" spans="1:16" ht="22.5" customHeight="1">
      <c r="A1" s="219"/>
      <c r="B1" s="219"/>
      <c r="C1" s="71"/>
      <c r="D1" s="71"/>
      <c r="E1" s="220" t="s">
        <v>0</v>
      </c>
      <c r="F1" s="220"/>
      <c r="G1" s="220"/>
      <c r="H1" s="220"/>
      <c r="I1" s="220"/>
      <c r="J1" s="220"/>
      <c r="K1" s="220"/>
      <c r="L1" s="220"/>
      <c r="M1" s="71"/>
      <c r="N1" s="71"/>
      <c r="O1" s="71"/>
      <c r="P1" s="71"/>
    </row>
    <row r="2" spans="1:16" ht="45" customHeight="1">
      <c r="A2" s="219"/>
      <c r="B2" s="219"/>
      <c r="C2" s="72"/>
      <c r="D2" s="72"/>
      <c r="E2" s="72"/>
      <c r="F2" s="72"/>
      <c r="G2" s="267" t="s">
        <v>82</v>
      </c>
      <c r="H2" s="267"/>
      <c r="I2" s="267"/>
      <c r="J2" s="267"/>
      <c r="K2" s="72"/>
      <c r="L2" s="72"/>
      <c r="M2" s="72"/>
      <c r="N2" s="72"/>
      <c r="O2" s="72"/>
      <c r="P2" s="72"/>
    </row>
    <row r="3" spans="1:16" ht="15" customHeight="1">
      <c r="A3" s="8"/>
      <c r="B3" s="8"/>
      <c r="C3" s="8"/>
      <c r="D3" s="58"/>
      <c r="E3" s="8"/>
      <c r="F3" s="8"/>
      <c r="G3" s="8"/>
      <c r="H3" s="8"/>
      <c r="I3" s="8"/>
      <c r="J3" s="8"/>
      <c r="K3" s="10"/>
      <c r="L3" s="10"/>
      <c r="M3" s="10"/>
      <c r="N3" s="10"/>
      <c r="O3" s="10"/>
      <c r="P3" s="10"/>
    </row>
    <row r="4" spans="1:16" ht="14.25">
      <c r="A4" s="8"/>
      <c r="B4" s="8"/>
      <c r="C4" s="8"/>
      <c r="D4" s="58"/>
      <c r="E4" s="8"/>
      <c r="F4" s="8"/>
      <c r="G4" s="248" t="s">
        <v>2</v>
      </c>
      <c r="H4" s="248"/>
      <c r="I4" s="266"/>
      <c r="J4" s="266"/>
      <c r="K4" s="10"/>
      <c r="L4" s="10"/>
      <c r="M4" s="10"/>
      <c r="N4" s="10"/>
      <c r="O4" s="10"/>
      <c r="P4" s="10"/>
    </row>
    <row r="5" spans="1:16" ht="14.25">
      <c r="A5" s="8"/>
      <c r="B5" s="8"/>
      <c r="C5" s="8"/>
      <c r="D5" s="58"/>
      <c r="E5" s="8"/>
      <c r="F5" s="8"/>
      <c r="G5" s="248" t="s">
        <v>83</v>
      </c>
      <c r="H5" s="248"/>
      <c r="I5" s="248"/>
      <c r="J5" s="248"/>
      <c r="K5" s="10"/>
      <c r="L5" s="10"/>
      <c r="M5" s="10"/>
      <c r="N5" s="10"/>
      <c r="O5" s="10"/>
      <c r="P5" s="10"/>
    </row>
    <row r="6" spans="1:16" ht="14.25" customHeight="1">
      <c r="A6" s="10"/>
      <c r="B6" s="10"/>
      <c r="C6" s="10"/>
      <c r="D6" s="59"/>
      <c r="E6" s="19"/>
      <c r="F6" s="19"/>
      <c r="G6" s="249" t="s">
        <v>38</v>
      </c>
      <c r="H6" s="250"/>
      <c r="I6" s="249" t="s">
        <v>84</v>
      </c>
      <c r="J6" s="250"/>
      <c r="K6" s="10"/>
      <c r="L6" s="10"/>
      <c r="M6" s="10"/>
      <c r="N6" s="10"/>
      <c r="O6" s="10"/>
      <c r="P6" s="10"/>
    </row>
    <row r="7" spans="1:16" ht="14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14.25">
      <c r="A8" s="248" t="s">
        <v>85</v>
      </c>
      <c r="B8" s="248"/>
      <c r="C8" s="248"/>
      <c r="D8" s="248"/>
      <c r="E8" s="60"/>
      <c r="F8" s="61"/>
      <c r="G8" s="248" t="s">
        <v>86</v>
      </c>
      <c r="H8" s="248"/>
      <c r="I8" s="248"/>
      <c r="J8" s="248"/>
      <c r="K8" s="60"/>
      <c r="L8" s="61"/>
      <c r="M8" s="248" t="s">
        <v>87</v>
      </c>
      <c r="N8" s="248"/>
      <c r="O8" s="248"/>
      <c r="P8" s="248"/>
    </row>
    <row r="9" spans="1:16" ht="14.25">
      <c r="A9" s="10"/>
      <c r="B9" s="10"/>
      <c r="C9" s="10"/>
      <c r="D9" s="10"/>
      <c r="E9" s="60"/>
      <c r="F9" s="61"/>
      <c r="G9" s="10"/>
      <c r="H9" s="10"/>
      <c r="I9" s="10"/>
      <c r="J9" s="10"/>
      <c r="K9" s="60"/>
      <c r="L9" s="61"/>
      <c r="M9" s="10"/>
      <c r="N9" s="10"/>
      <c r="O9" s="10"/>
      <c r="P9" s="10"/>
    </row>
    <row r="10" spans="1:16" ht="14.25">
      <c r="A10" s="265" t="s">
        <v>42</v>
      </c>
      <c r="B10" s="265"/>
      <c r="C10" s="265"/>
      <c r="D10" s="265"/>
      <c r="E10" s="60"/>
      <c r="F10" s="61"/>
      <c r="G10" s="265" t="s">
        <v>55</v>
      </c>
      <c r="H10" s="265"/>
      <c r="I10" s="265"/>
      <c r="J10" s="265"/>
      <c r="K10" s="60"/>
      <c r="L10" s="61"/>
      <c r="M10" s="265" t="s">
        <v>69</v>
      </c>
      <c r="N10" s="265"/>
      <c r="O10" s="265"/>
      <c r="P10" s="265"/>
    </row>
    <row r="11" spans="1:16" ht="14.25">
      <c r="A11" s="118"/>
      <c r="B11" s="116" t="s">
        <v>88</v>
      </c>
      <c r="C11" s="117" t="s">
        <v>89</v>
      </c>
      <c r="D11" s="119"/>
      <c r="E11" s="64"/>
      <c r="F11" s="65"/>
      <c r="G11" s="118"/>
      <c r="H11" s="116" t="s">
        <v>88</v>
      </c>
      <c r="I11" s="117" t="s">
        <v>89</v>
      </c>
      <c r="J11" s="119"/>
      <c r="K11" s="64"/>
      <c r="L11" s="65"/>
      <c r="M11" s="118"/>
      <c r="N11" s="116" t="s">
        <v>88</v>
      </c>
      <c r="O11" s="117" t="s">
        <v>89</v>
      </c>
      <c r="P11" s="119"/>
    </row>
    <row r="12" spans="1:16" ht="14.25">
      <c r="A12" s="118"/>
      <c r="B12" s="116" t="s">
        <v>88</v>
      </c>
      <c r="C12" s="117" t="s">
        <v>89</v>
      </c>
      <c r="D12" s="106"/>
      <c r="E12" s="64"/>
      <c r="F12" s="65"/>
      <c r="G12" s="118"/>
      <c r="H12" s="116" t="s">
        <v>88</v>
      </c>
      <c r="I12" s="117" t="s">
        <v>89</v>
      </c>
      <c r="J12" s="106"/>
      <c r="K12" s="64"/>
      <c r="L12" s="65"/>
      <c r="M12" s="118"/>
      <c r="N12" s="116" t="s">
        <v>88</v>
      </c>
      <c r="O12" s="117" t="s">
        <v>89</v>
      </c>
      <c r="P12" s="106"/>
    </row>
    <row r="13" spans="1:16" ht="14.25">
      <c r="A13" s="118"/>
      <c r="B13" s="116" t="s">
        <v>88</v>
      </c>
      <c r="C13" s="117" t="s">
        <v>89</v>
      </c>
      <c r="D13" s="106"/>
      <c r="E13" s="64"/>
      <c r="F13" s="65"/>
      <c r="G13" s="118"/>
      <c r="H13" s="116" t="s">
        <v>88</v>
      </c>
      <c r="I13" s="117" t="s">
        <v>89</v>
      </c>
      <c r="J13" s="106"/>
      <c r="K13" s="64"/>
      <c r="L13" s="65"/>
      <c r="M13" s="118"/>
      <c r="N13" s="116" t="s">
        <v>88</v>
      </c>
      <c r="O13" s="117" t="s">
        <v>89</v>
      </c>
      <c r="P13" s="106"/>
    </row>
    <row r="14" spans="1:16" ht="7.5" customHeight="1">
      <c r="A14" s="66"/>
      <c r="B14" s="66"/>
      <c r="C14" s="66"/>
      <c r="D14" s="66"/>
      <c r="E14" s="60"/>
      <c r="F14" s="61"/>
      <c r="G14" s="66"/>
      <c r="H14" s="66"/>
      <c r="I14" s="66"/>
      <c r="J14" s="66"/>
      <c r="K14" s="60"/>
      <c r="L14" s="61"/>
      <c r="M14" s="66"/>
      <c r="N14" s="66"/>
      <c r="O14" s="66"/>
      <c r="P14" s="66"/>
    </row>
    <row r="15" spans="1:16" ht="14.25">
      <c r="A15" s="265" t="s">
        <v>44</v>
      </c>
      <c r="B15" s="265"/>
      <c r="C15" s="265"/>
      <c r="D15" s="265"/>
      <c r="E15" s="60"/>
      <c r="F15" s="61"/>
      <c r="G15" s="265" t="s">
        <v>57</v>
      </c>
      <c r="H15" s="265"/>
      <c r="I15" s="265"/>
      <c r="J15" s="265"/>
      <c r="K15" s="60"/>
      <c r="L15" s="61"/>
      <c r="M15" s="265" t="s">
        <v>71</v>
      </c>
      <c r="N15" s="265"/>
      <c r="O15" s="265"/>
      <c r="P15" s="265"/>
    </row>
    <row r="16" spans="1:16" ht="14.25">
      <c r="A16" s="118"/>
      <c r="B16" s="116" t="s">
        <v>88</v>
      </c>
      <c r="C16" s="117" t="s">
        <v>89</v>
      </c>
      <c r="D16" s="119"/>
      <c r="E16" s="64"/>
      <c r="F16" s="65"/>
      <c r="G16" s="118"/>
      <c r="H16" s="116" t="s">
        <v>88</v>
      </c>
      <c r="I16" s="117" t="s">
        <v>89</v>
      </c>
      <c r="J16" s="119"/>
      <c r="K16" s="64"/>
      <c r="L16" s="65"/>
      <c r="M16" s="118"/>
      <c r="N16" s="116" t="s">
        <v>88</v>
      </c>
      <c r="O16" s="117" t="s">
        <v>89</v>
      </c>
      <c r="P16" s="119"/>
    </row>
    <row r="17" spans="1:16" ht="14.25">
      <c r="A17" s="118"/>
      <c r="B17" s="116" t="s">
        <v>88</v>
      </c>
      <c r="C17" s="117" t="s">
        <v>89</v>
      </c>
      <c r="D17" s="106"/>
      <c r="E17" s="64"/>
      <c r="F17" s="65"/>
      <c r="G17" s="118"/>
      <c r="H17" s="116" t="s">
        <v>88</v>
      </c>
      <c r="I17" s="117" t="s">
        <v>89</v>
      </c>
      <c r="J17" s="106"/>
      <c r="K17" s="64"/>
      <c r="L17" s="65"/>
      <c r="M17" s="118"/>
      <c r="N17" s="116" t="s">
        <v>88</v>
      </c>
      <c r="O17" s="117" t="s">
        <v>89</v>
      </c>
      <c r="P17" s="106"/>
    </row>
    <row r="18" spans="1:16" ht="14.25">
      <c r="A18" s="118"/>
      <c r="B18" s="116" t="s">
        <v>88</v>
      </c>
      <c r="C18" s="117" t="s">
        <v>89</v>
      </c>
      <c r="D18" s="106"/>
      <c r="E18" s="64"/>
      <c r="F18" s="65"/>
      <c r="G18" s="118"/>
      <c r="H18" s="116" t="s">
        <v>88</v>
      </c>
      <c r="I18" s="117" t="s">
        <v>89</v>
      </c>
      <c r="J18" s="106"/>
      <c r="K18" s="64"/>
      <c r="L18" s="65"/>
      <c r="M18" s="118"/>
      <c r="N18" s="116" t="s">
        <v>88</v>
      </c>
      <c r="O18" s="117" t="s">
        <v>89</v>
      </c>
      <c r="P18" s="106"/>
    </row>
    <row r="19" spans="1:16" ht="7.5" customHeight="1">
      <c r="A19" s="66"/>
      <c r="B19" s="66"/>
      <c r="C19" s="66"/>
      <c r="D19" s="66"/>
      <c r="E19" s="60"/>
      <c r="F19" s="61"/>
      <c r="G19" s="66"/>
      <c r="H19" s="66"/>
      <c r="I19" s="66"/>
      <c r="J19" s="66"/>
      <c r="K19" s="60"/>
      <c r="L19" s="61"/>
      <c r="M19" s="66"/>
      <c r="N19" s="66"/>
      <c r="O19" s="66"/>
      <c r="P19" s="66"/>
    </row>
    <row r="20" spans="1:16" ht="14.25">
      <c r="A20" s="265" t="s">
        <v>45</v>
      </c>
      <c r="B20" s="265"/>
      <c r="C20" s="265"/>
      <c r="D20" s="265"/>
      <c r="E20" s="60"/>
      <c r="F20" s="61"/>
      <c r="G20" s="265" t="s">
        <v>58</v>
      </c>
      <c r="H20" s="265"/>
      <c r="I20" s="265"/>
      <c r="J20" s="265"/>
      <c r="K20" s="60"/>
      <c r="L20" s="61"/>
      <c r="M20" s="265" t="s">
        <v>72</v>
      </c>
      <c r="N20" s="265"/>
      <c r="O20" s="265"/>
      <c r="P20" s="265"/>
    </row>
    <row r="21" spans="1:16" ht="14.25">
      <c r="A21" s="118"/>
      <c r="B21" s="116" t="s">
        <v>88</v>
      </c>
      <c r="C21" s="117" t="s">
        <v>89</v>
      </c>
      <c r="D21" s="119"/>
      <c r="E21" s="64"/>
      <c r="F21" s="65"/>
      <c r="G21" s="118"/>
      <c r="H21" s="116" t="s">
        <v>88</v>
      </c>
      <c r="I21" s="117" t="s">
        <v>89</v>
      </c>
      <c r="J21" s="119"/>
      <c r="K21" s="64"/>
      <c r="L21" s="65"/>
      <c r="M21" s="118"/>
      <c r="N21" s="116" t="s">
        <v>88</v>
      </c>
      <c r="O21" s="117" t="s">
        <v>89</v>
      </c>
      <c r="P21" s="119"/>
    </row>
    <row r="22" spans="1:16" ht="14.25">
      <c r="A22" s="118"/>
      <c r="B22" s="116" t="s">
        <v>88</v>
      </c>
      <c r="C22" s="117" t="s">
        <v>89</v>
      </c>
      <c r="D22" s="106"/>
      <c r="E22" s="64"/>
      <c r="F22" s="65"/>
      <c r="G22" s="118"/>
      <c r="H22" s="116" t="s">
        <v>88</v>
      </c>
      <c r="I22" s="117" t="s">
        <v>89</v>
      </c>
      <c r="J22" s="106"/>
      <c r="K22" s="64"/>
      <c r="L22" s="65"/>
      <c r="M22" s="118"/>
      <c r="N22" s="116" t="s">
        <v>88</v>
      </c>
      <c r="O22" s="117" t="s">
        <v>89</v>
      </c>
      <c r="P22" s="106"/>
    </row>
    <row r="23" spans="1:16" ht="14.25">
      <c r="A23" s="118"/>
      <c r="B23" s="116" t="s">
        <v>88</v>
      </c>
      <c r="C23" s="117" t="s">
        <v>89</v>
      </c>
      <c r="D23" s="106"/>
      <c r="E23" s="64"/>
      <c r="F23" s="65"/>
      <c r="G23" s="118"/>
      <c r="H23" s="116" t="s">
        <v>88</v>
      </c>
      <c r="I23" s="117" t="s">
        <v>89</v>
      </c>
      <c r="J23" s="106"/>
      <c r="K23" s="64"/>
      <c r="L23" s="65"/>
      <c r="M23" s="118"/>
      <c r="N23" s="116" t="s">
        <v>88</v>
      </c>
      <c r="O23" s="117" t="s">
        <v>89</v>
      </c>
      <c r="P23" s="106"/>
    </row>
    <row r="24" spans="1:16" ht="22.5" customHeight="1">
      <c r="A24" s="58"/>
      <c r="B24" s="58"/>
      <c r="C24" s="58"/>
      <c r="D24" s="58"/>
      <c r="E24" s="64"/>
      <c r="F24" s="65"/>
      <c r="G24" s="58"/>
      <c r="H24" s="58"/>
      <c r="I24" s="58"/>
      <c r="J24" s="58"/>
      <c r="K24" s="64"/>
      <c r="L24" s="65"/>
      <c r="M24" s="58"/>
      <c r="N24" s="58"/>
      <c r="O24" s="58"/>
      <c r="P24" s="58"/>
    </row>
    <row r="25" spans="1:16" ht="14.25">
      <c r="A25" s="265" t="s">
        <v>46</v>
      </c>
      <c r="B25" s="265"/>
      <c r="C25" s="265"/>
      <c r="D25" s="265"/>
      <c r="E25" s="60"/>
      <c r="F25" s="61"/>
      <c r="G25" s="265" t="s">
        <v>59</v>
      </c>
      <c r="H25" s="265"/>
      <c r="I25" s="265"/>
      <c r="J25" s="265"/>
      <c r="K25" s="60"/>
      <c r="L25" s="61"/>
      <c r="M25" s="265" t="s">
        <v>73</v>
      </c>
      <c r="N25" s="265"/>
      <c r="O25" s="265"/>
      <c r="P25" s="265"/>
    </row>
    <row r="26" spans="1:16" ht="14.25">
      <c r="A26" s="120"/>
      <c r="B26" s="121" t="s">
        <v>88</v>
      </c>
      <c r="C26" s="122" t="s">
        <v>89</v>
      </c>
      <c r="D26" s="119"/>
      <c r="E26" s="64"/>
      <c r="F26" s="65"/>
      <c r="G26" s="120"/>
      <c r="H26" s="121" t="s">
        <v>88</v>
      </c>
      <c r="I26" s="122" t="s">
        <v>89</v>
      </c>
      <c r="J26" s="119"/>
      <c r="K26" s="64"/>
      <c r="L26" s="65"/>
      <c r="M26" s="120"/>
      <c r="N26" s="121" t="s">
        <v>88</v>
      </c>
      <c r="O26" s="122" t="s">
        <v>89</v>
      </c>
      <c r="P26" s="119"/>
    </row>
    <row r="27" spans="1:16" ht="14.25">
      <c r="A27" s="118"/>
      <c r="B27" s="116" t="s">
        <v>88</v>
      </c>
      <c r="C27" s="117" t="s">
        <v>89</v>
      </c>
      <c r="D27" s="106"/>
      <c r="E27" s="64"/>
      <c r="F27" s="65"/>
      <c r="G27" s="118"/>
      <c r="H27" s="116" t="s">
        <v>88</v>
      </c>
      <c r="I27" s="117" t="s">
        <v>89</v>
      </c>
      <c r="J27" s="106"/>
      <c r="K27" s="64"/>
      <c r="L27" s="65"/>
      <c r="M27" s="118"/>
      <c r="N27" s="116" t="s">
        <v>88</v>
      </c>
      <c r="O27" s="117" t="s">
        <v>89</v>
      </c>
      <c r="P27" s="106"/>
    </row>
    <row r="28" spans="1:16" ht="14.25">
      <c r="A28" s="118"/>
      <c r="B28" s="116" t="s">
        <v>88</v>
      </c>
      <c r="C28" s="117" t="s">
        <v>89</v>
      </c>
      <c r="D28" s="106"/>
      <c r="E28" s="64"/>
      <c r="F28" s="65"/>
      <c r="G28" s="118"/>
      <c r="H28" s="116" t="s">
        <v>88</v>
      </c>
      <c r="I28" s="117" t="s">
        <v>89</v>
      </c>
      <c r="J28" s="106"/>
      <c r="K28" s="64"/>
      <c r="L28" s="65"/>
      <c r="M28" s="118"/>
      <c r="N28" s="116" t="s">
        <v>88</v>
      </c>
      <c r="O28" s="117" t="s">
        <v>89</v>
      </c>
      <c r="P28" s="106"/>
    </row>
    <row r="29" spans="1:16" ht="7.5" customHeight="1">
      <c r="A29" s="66"/>
      <c r="B29" s="66"/>
      <c r="C29" s="66"/>
      <c r="D29" s="66"/>
      <c r="E29" s="60"/>
      <c r="F29" s="61"/>
      <c r="G29" s="66"/>
      <c r="H29" s="66"/>
      <c r="I29" s="66"/>
      <c r="J29" s="66"/>
      <c r="K29" s="60"/>
      <c r="L29" s="61"/>
      <c r="M29" s="66"/>
      <c r="N29" s="66"/>
      <c r="O29" s="66"/>
      <c r="P29" s="66"/>
    </row>
    <row r="30" spans="1:16" ht="14.25">
      <c r="A30" s="265" t="s">
        <v>49</v>
      </c>
      <c r="B30" s="265"/>
      <c r="C30" s="265"/>
      <c r="D30" s="265"/>
      <c r="E30" s="60"/>
      <c r="F30" s="61"/>
      <c r="G30" s="265" t="s">
        <v>63</v>
      </c>
      <c r="H30" s="265"/>
      <c r="I30" s="265"/>
      <c r="J30" s="265"/>
      <c r="K30" s="60"/>
      <c r="L30" s="61"/>
      <c r="M30" s="265" t="s">
        <v>76</v>
      </c>
      <c r="N30" s="265"/>
      <c r="O30" s="265"/>
      <c r="P30" s="265"/>
    </row>
    <row r="31" spans="1:16" ht="14.25">
      <c r="A31" s="118"/>
      <c r="B31" s="116" t="s">
        <v>88</v>
      </c>
      <c r="C31" s="117" t="s">
        <v>89</v>
      </c>
      <c r="D31" s="119"/>
      <c r="E31" s="64"/>
      <c r="F31" s="65"/>
      <c r="G31" s="118"/>
      <c r="H31" s="116" t="s">
        <v>88</v>
      </c>
      <c r="I31" s="117" t="s">
        <v>89</v>
      </c>
      <c r="J31" s="119"/>
      <c r="K31" s="64"/>
      <c r="L31" s="65"/>
      <c r="M31" s="118"/>
      <c r="N31" s="116" t="s">
        <v>88</v>
      </c>
      <c r="O31" s="117" t="s">
        <v>89</v>
      </c>
      <c r="P31" s="119"/>
    </row>
    <row r="32" spans="1:16" ht="14.25">
      <c r="A32" s="118"/>
      <c r="B32" s="116" t="s">
        <v>88</v>
      </c>
      <c r="C32" s="117" t="s">
        <v>89</v>
      </c>
      <c r="D32" s="106"/>
      <c r="E32" s="64"/>
      <c r="F32" s="65"/>
      <c r="G32" s="118"/>
      <c r="H32" s="116" t="s">
        <v>88</v>
      </c>
      <c r="I32" s="117" t="s">
        <v>89</v>
      </c>
      <c r="J32" s="106"/>
      <c r="K32" s="64"/>
      <c r="L32" s="65"/>
      <c r="M32" s="118"/>
      <c r="N32" s="116" t="s">
        <v>88</v>
      </c>
      <c r="O32" s="117" t="s">
        <v>89</v>
      </c>
      <c r="P32" s="106"/>
    </row>
    <row r="33" spans="1:16" ht="14.25">
      <c r="A33" s="118"/>
      <c r="B33" s="116" t="s">
        <v>88</v>
      </c>
      <c r="C33" s="117" t="s">
        <v>89</v>
      </c>
      <c r="D33" s="106"/>
      <c r="E33" s="64"/>
      <c r="F33" s="65"/>
      <c r="G33" s="118"/>
      <c r="H33" s="116" t="s">
        <v>88</v>
      </c>
      <c r="I33" s="117" t="s">
        <v>89</v>
      </c>
      <c r="J33" s="106"/>
      <c r="K33" s="64"/>
      <c r="L33" s="65"/>
      <c r="M33" s="118"/>
      <c r="N33" s="116" t="s">
        <v>88</v>
      </c>
      <c r="O33" s="117" t="s">
        <v>89</v>
      </c>
      <c r="P33" s="106"/>
    </row>
    <row r="34" spans="1:16" ht="7.5" customHeight="1">
      <c r="A34" s="66"/>
      <c r="B34" s="66"/>
      <c r="C34" s="66"/>
      <c r="D34" s="66"/>
      <c r="E34" s="60"/>
      <c r="F34" s="61"/>
      <c r="G34" s="66"/>
      <c r="H34" s="66"/>
      <c r="I34" s="66"/>
      <c r="J34" s="66"/>
      <c r="K34" s="60"/>
      <c r="L34" s="61"/>
      <c r="M34" s="66"/>
      <c r="N34" s="66"/>
      <c r="O34" s="66"/>
      <c r="P34" s="66"/>
    </row>
    <row r="35" spans="1:16" ht="14.25">
      <c r="A35" s="265" t="s">
        <v>50</v>
      </c>
      <c r="B35" s="265"/>
      <c r="C35" s="265"/>
      <c r="D35" s="265"/>
      <c r="E35" s="60"/>
      <c r="F35" s="61"/>
      <c r="G35" s="265" t="s">
        <v>64</v>
      </c>
      <c r="H35" s="265"/>
      <c r="I35" s="265"/>
      <c r="J35" s="265"/>
      <c r="K35" s="60"/>
      <c r="L35" s="61"/>
      <c r="M35" s="265" t="s">
        <v>77</v>
      </c>
      <c r="N35" s="265"/>
      <c r="O35" s="265"/>
      <c r="P35" s="265"/>
    </row>
    <row r="36" spans="1:16" ht="14.25">
      <c r="A36" s="118"/>
      <c r="B36" s="116" t="s">
        <v>88</v>
      </c>
      <c r="C36" s="117" t="s">
        <v>89</v>
      </c>
      <c r="D36" s="119"/>
      <c r="E36" s="64"/>
      <c r="F36" s="65"/>
      <c r="G36" s="118"/>
      <c r="H36" s="116" t="s">
        <v>88</v>
      </c>
      <c r="I36" s="117" t="s">
        <v>89</v>
      </c>
      <c r="J36" s="119"/>
      <c r="K36" s="64"/>
      <c r="L36" s="65"/>
      <c r="M36" s="118"/>
      <c r="N36" s="116" t="s">
        <v>88</v>
      </c>
      <c r="O36" s="117" t="s">
        <v>89</v>
      </c>
      <c r="P36" s="119"/>
    </row>
    <row r="37" spans="1:16" ht="14.25">
      <c r="A37" s="118"/>
      <c r="B37" s="116" t="s">
        <v>88</v>
      </c>
      <c r="C37" s="117" t="s">
        <v>89</v>
      </c>
      <c r="D37" s="106"/>
      <c r="E37" s="64"/>
      <c r="F37" s="65"/>
      <c r="G37" s="118"/>
      <c r="H37" s="116" t="s">
        <v>88</v>
      </c>
      <c r="I37" s="117" t="s">
        <v>89</v>
      </c>
      <c r="J37" s="106"/>
      <c r="K37" s="64"/>
      <c r="L37" s="65"/>
      <c r="M37" s="118"/>
      <c r="N37" s="116" t="s">
        <v>88</v>
      </c>
      <c r="O37" s="117" t="s">
        <v>89</v>
      </c>
      <c r="P37" s="106"/>
    </row>
    <row r="38" spans="1:16" ht="14.25">
      <c r="A38" s="118"/>
      <c r="B38" s="116" t="s">
        <v>88</v>
      </c>
      <c r="C38" s="117" t="s">
        <v>89</v>
      </c>
      <c r="D38" s="106"/>
      <c r="E38" s="64"/>
      <c r="F38" s="65"/>
      <c r="G38" s="118"/>
      <c r="H38" s="116" t="s">
        <v>88</v>
      </c>
      <c r="I38" s="117" t="s">
        <v>89</v>
      </c>
      <c r="J38" s="106"/>
      <c r="K38" s="64"/>
      <c r="L38" s="65"/>
      <c r="M38" s="118"/>
      <c r="N38" s="116" t="s">
        <v>88</v>
      </c>
      <c r="O38" s="117" t="s">
        <v>89</v>
      </c>
      <c r="P38" s="106"/>
    </row>
    <row r="39" spans="1:16" ht="22.5" customHeight="1">
      <c r="A39" s="58"/>
      <c r="B39" s="58"/>
      <c r="C39" s="58"/>
      <c r="D39" s="58"/>
      <c r="E39" s="64"/>
      <c r="F39" s="65"/>
      <c r="G39" s="58"/>
      <c r="H39" s="58"/>
      <c r="I39" s="58"/>
      <c r="J39" s="58"/>
      <c r="K39" s="64"/>
      <c r="L39" s="65"/>
      <c r="M39" s="58"/>
      <c r="N39" s="58"/>
      <c r="O39" s="58"/>
      <c r="P39" s="58"/>
    </row>
    <row r="40" spans="1:16" ht="14.25">
      <c r="A40" s="265" t="s">
        <v>51</v>
      </c>
      <c r="B40" s="265"/>
      <c r="C40" s="265"/>
      <c r="D40" s="265"/>
      <c r="E40" s="60"/>
      <c r="F40" s="61"/>
      <c r="G40" s="265" t="s">
        <v>65</v>
      </c>
      <c r="H40" s="265"/>
      <c r="I40" s="265"/>
      <c r="J40" s="265"/>
      <c r="K40" s="60"/>
      <c r="L40" s="61"/>
      <c r="M40" s="265" t="s">
        <v>78</v>
      </c>
      <c r="N40" s="265"/>
      <c r="O40" s="265"/>
      <c r="P40" s="265"/>
    </row>
    <row r="41" spans="1:16" ht="14.25">
      <c r="A41" s="120"/>
      <c r="B41" s="121" t="s">
        <v>88</v>
      </c>
      <c r="C41" s="122" t="s">
        <v>89</v>
      </c>
      <c r="D41" s="119"/>
      <c r="E41" s="64"/>
      <c r="F41" s="65"/>
      <c r="G41" s="120"/>
      <c r="H41" s="121" t="s">
        <v>88</v>
      </c>
      <c r="I41" s="122" t="s">
        <v>89</v>
      </c>
      <c r="J41" s="119"/>
      <c r="K41" s="64"/>
      <c r="L41" s="65"/>
      <c r="M41" s="120"/>
      <c r="N41" s="121" t="s">
        <v>88</v>
      </c>
      <c r="O41" s="122" t="s">
        <v>89</v>
      </c>
      <c r="P41" s="119"/>
    </row>
    <row r="42" spans="1:16" ht="14.25">
      <c r="A42" s="118"/>
      <c r="B42" s="116" t="s">
        <v>88</v>
      </c>
      <c r="C42" s="117" t="s">
        <v>89</v>
      </c>
      <c r="D42" s="106"/>
      <c r="E42" s="64"/>
      <c r="F42" s="65"/>
      <c r="G42" s="118"/>
      <c r="H42" s="116" t="s">
        <v>88</v>
      </c>
      <c r="I42" s="117" t="s">
        <v>89</v>
      </c>
      <c r="J42" s="106"/>
      <c r="K42" s="64"/>
      <c r="L42" s="65"/>
      <c r="M42" s="118"/>
      <c r="N42" s="116" t="s">
        <v>88</v>
      </c>
      <c r="O42" s="117" t="s">
        <v>89</v>
      </c>
      <c r="P42" s="106"/>
    </row>
    <row r="43" spans="1:16" ht="14.25">
      <c r="A43" s="118"/>
      <c r="B43" s="116" t="s">
        <v>88</v>
      </c>
      <c r="C43" s="117" t="s">
        <v>89</v>
      </c>
      <c r="D43" s="106"/>
      <c r="E43" s="64"/>
      <c r="F43" s="65"/>
      <c r="G43" s="118"/>
      <c r="H43" s="116" t="s">
        <v>88</v>
      </c>
      <c r="I43" s="117" t="s">
        <v>89</v>
      </c>
      <c r="J43" s="106"/>
      <c r="K43" s="64"/>
      <c r="L43" s="65"/>
      <c r="M43" s="118"/>
      <c r="N43" s="116" t="s">
        <v>88</v>
      </c>
      <c r="O43" s="117" t="s">
        <v>89</v>
      </c>
      <c r="P43" s="106"/>
    </row>
    <row r="44" spans="1:16" ht="7.5" customHeight="1">
      <c r="A44" s="66"/>
      <c r="B44" s="66"/>
      <c r="C44" s="66"/>
      <c r="D44" s="66"/>
      <c r="E44" s="60"/>
      <c r="F44" s="61"/>
      <c r="G44" s="66"/>
      <c r="H44" s="66"/>
      <c r="I44" s="66"/>
      <c r="J44" s="66"/>
      <c r="K44" s="60"/>
      <c r="L44" s="61"/>
      <c r="M44" s="66"/>
      <c r="N44" s="66"/>
      <c r="O44" s="66"/>
      <c r="P44" s="66"/>
    </row>
    <row r="45" spans="1:16" ht="14.25">
      <c r="A45" s="265" t="s">
        <v>53</v>
      </c>
      <c r="B45" s="265"/>
      <c r="C45" s="265"/>
      <c r="D45" s="265"/>
      <c r="E45" s="60"/>
      <c r="F45" s="61"/>
      <c r="G45" s="265" t="s">
        <v>67</v>
      </c>
      <c r="H45" s="265"/>
      <c r="I45" s="265"/>
      <c r="J45" s="265"/>
      <c r="K45" s="60"/>
      <c r="L45" s="61"/>
      <c r="M45" s="265" t="s">
        <v>80</v>
      </c>
      <c r="N45" s="265"/>
      <c r="O45" s="265"/>
      <c r="P45" s="265"/>
    </row>
    <row r="46" spans="1:16" ht="14.25">
      <c r="A46" s="118"/>
      <c r="B46" s="116" t="s">
        <v>88</v>
      </c>
      <c r="C46" s="117" t="s">
        <v>89</v>
      </c>
      <c r="D46" s="119"/>
      <c r="E46" s="64"/>
      <c r="F46" s="65"/>
      <c r="G46" s="118"/>
      <c r="H46" s="116" t="s">
        <v>88</v>
      </c>
      <c r="I46" s="117" t="s">
        <v>89</v>
      </c>
      <c r="J46" s="119"/>
      <c r="K46" s="64"/>
      <c r="L46" s="65"/>
      <c r="M46" s="118"/>
      <c r="N46" s="116" t="s">
        <v>88</v>
      </c>
      <c r="O46" s="117" t="s">
        <v>89</v>
      </c>
      <c r="P46" s="119"/>
    </row>
    <row r="47" spans="1:16" ht="14.25">
      <c r="A47" s="118"/>
      <c r="B47" s="116" t="s">
        <v>88</v>
      </c>
      <c r="C47" s="117" t="s">
        <v>89</v>
      </c>
      <c r="D47" s="106"/>
      <c r="E47" s="64"/>
      <c r="F47" s="65"/>
      <c r="G47" s="118"/>
      <c r="H47" s="116" t="s">
        <v>88</v>
      </c>
      <c r="I47" s="117" t="s">
        <v>89</v>
      </c>
      <c r="J47" s="106"/>
      <c r="K47" s="64"/>
      <c r="L47" s="65"/>
      <c r="M47" s="118"/>
      <c r="N47" s="116" t="s">
        <v>88</v>
      </c>
      <c r="O47" s="117" t="s">
        <v>89</v>
      </c>
      <c r="P47" s="106"/>
    </row>
    <row r="48" spans="1:16" ht="14.25">
      <c r="A48" s="118"/>
      <c r="B48" s="116" t="s">
        <v>88</v>
      </c>
      <c r="C48" s="117" t="s">
        <v>89</v>
      </c>
      <c r="D48" s="106"/>
      <c r="E48" s="64"/>
      <c r="F48" s="65"/>
      <c r="G48" s="118"/>
      <c r="H48" s="116" t="s">
        <v>88</v>
      </c>
      <c r="I48" s="117" t="s">
        <v>89</v>
      </c>
      <c r="J48" s="106"/>
      <c r="K48" s="64"/>
      <c r="L48" s="65"/>
      <c r="M48" s="118"/>
      <c r="N48" s="116" t="s">
        <v>88</v>
      </c>
      <c r="O48" s="117" t="s">
        <v>89</v>
      </c>
      <c r="P48" s="106"/>
    </row>
    <row r="49" spans="1:16" ht="7.5" customHeight="1">
      <c r="A49" s="66"/>
      <c r="B49" s="66"/>
      <c r="C49" s="66"/>
      <c r="D49" s="66"/>
      <c r="E49" s="60"/>
      <c r="F49" s="61"/>
      <c r="G49" s="66"/>
      <c r="H49" s="66"/>
      <c r="I49" s="66"/>
      <c r="J49" s="66"/>
      <c r="K49" s="60"/>
      <c r="L49" s="61"/>
      <c r="M49" s="66"/>
      <c r="N49" s="66"/>
      <c r="O49" s="66"/>
      <c r="P49" s="66"/>
    </row>
    <row r="50" spans="1:16" ht="14.25">
      <c r="A50" s="265" t="s">
        <v>54</v>
      </c>
      <c r="B50" s="265"/>
      <c r="C50" s="265"/>
      <c r="D50" s="265"/>
      <c r="E50" s="60"/>
      <c r="F50" s="61"/>
      <c r="G50" s="265" t="s">
        <v>68</v>
      </c>
      <c r="H50" s="265"/>
      <c r="I50" s="265"/>
      <c r="J50" s="265"/>
      <c r="K50" s="60"/>
      <c r="L50" s="61"/>
      <c r="M50" s="265" t="s">
        <v>81</v>
      </c>
      <c r="N50" s="265"/>
      <c r="O50" s="265"/>
      <c r="P50" s="265"/>
    </row>
    <row r="51" spans="1:16" ht="14.25">
      <c r="A51" s="118"/>
      <c r="B51" s="116" t="s">
        <v>88</v>
      </c>
      <c r="C51" s="117" t="s">
        <v>89</v>
      </c>
      <c r="D51" s="119"/>
      <c r="E51" s="64"/>
      <c r="F51" s="65"/>
      <c r="G51" s="120"/>
      <c r="H51" s="121" t="s">
        <v>88</v>
      </c>
      <c r="I51" s="122" t="s">
        <v>89</v>
      </c>
      <c r="J51" s="119"/>
      <c r="K51" s="64"/>
      <c r="L51" s="65"/>
      <c r="M51" s="120"/>
      <c r="N51" s="121" t="s">
        <v>88</v>
      </c>
      <c r="O51" s="122" t="s">
        <v>89</v>
      </c>
      <c r="P51" s="119"/>
    </row>
    <row r="52" spans="1:16" ht="14.25">
      <c r="A52" s="118"/>
      <c r="B52" s="116" t="s">
        <v>88</v>
      </c>
      <c r="C52" s="117" t="s">
        <v>89</v>
      </c>
      <c r="D52" s="106"/>
      <c r="E52" s="64"/>
      <c r="F52" s="65"/>
      <c r="G52" s="118"/>
      <c r="H52" s="116" t="s">
        <v>88</v>
      </c>
      <c r="I52" s="117" t="s">
        <v>89</v>
      </c>
      <c r="J52" s="106"/>
      <c r="K52" s="64"/>
      <c r="L52" s="65"/>
      <c r="M52" s="118"/>
      <c r="N52" s="116" t="s">
        <v>88</v>
      </c>
      <c r="O52" s="117" t="s">
        <v>89</v>
      </c>
      <c r="P52" s="106"/>
    </row>
    <row r="53" spans="1:16" ht="14.25">
      <c r="A53" s="118"/>
      <c r="B53" s="116" t="s">
        <v>88</v>
      </c>
      <c r="C53" s="117" t="s">
        <v>89</v>
      </c>
      <c r="D53" s="106"/>
      <c r="E53" s="64"/>
      <c r="F53" s="65"/>
      <c r="G53" s="118"/>
      <c r="H53" s="116" t="s">
        <v>88</v>
      </c>
      <c r="I53" s="117" t="s">
        <v>89</v>
      </c>
      <c r="J53" s="106"/>
      <c r="K53" s="64"/>
      <c r="L53" s="65"/>
      <c r="M53" s="118"/>
      <c r="N53" s="116" t="s">
        <v>88</v>
      </c>
      <c r="O53" s="117" t="s">
        <v>89</v>
      </c>
      <c r="P53" s="106"/>
    </row>
    <row r="54" spans="1:16" ht="30" customHeight="1">
      <c r="A54" s="213" t="s">
        <v>367</v>
      </c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</row>
  </sheetData>
  <mergeCells count="39">
    <mergeCell ref="G5:J5"/>
    <mergeCell ref="E1:L1"/>
    <mergeCell ref="A1:B2"/>
    <mergeCell ref="G2:J2"/>
    <mergeCell ref="G4:H4"/>
    <mergeCell ref="I4:J4"/>
    <mergeCell ref="A8:D8"/>
    <mergeCell ref="G8:J8"/>
    <mergeCell ref="M8:P8"/>
    <mergeCell ref="A10:D10"/>
    <mergeCell ref="G10:J10"/>
    <mergeCell ref="M10:P10"/>
    <mergeCell ref="A15:D15"/>
    <mergeCell ref="G15:J15"/>
    <mergeCell ref="M15:P15"/>
    <mergeCell ref="A20:D20"/>
    <mergeCell ref="G20:J20"/>
    <mergeCell ref="M20:P20"/>
    <mergeCell ref="G25:J25"/>
    <mergeCell ref="M25:P25"/>
    <mergeCell ref="A30:D30"/>
    <mergeCell ref="G30:J30"/>
    <mergeCell ref="M30:P30"/>
    <mergeCell ref="A54:P54"/>
    <mergeCell ref="I6:J6"/>
    <mergeCell ref="G6:H6"/>
    <mergeCell ref="A45:D45"/>
    <mergeCell ref="G45:J45"/>
    <mergeCell ref="M45:P45"/>
    <mergeCell ref="A50:D50"/>
    <mergeCell ref="G50:J50"/>
    <mergeCell ref="M50:P50"/>
    <mergeCell ref="A35:D35"/>
    <mergeCell ref="G35:J35"/>
    <mergeCell ref="M35:P35"/>
    <mergeCell ref="A40:D40"/>
    <mergeCell ref="G40:J40"/>
    <mergeCell ref="M40:P40"/>
    <mergeCell ref="A25:D2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GridLines="0" topLeftCell="C1" workbookViewId="0">
      <selection activeCell="H14" sqref="H14"/>
    </sheetView>
  </sheetViews>
  <sheetFormatPr defaultRowHeight="15.75" customHeight="1"/>
  <cols>
    <col min="1" max="1" width="12.625" style="1" customWidth="1"/>
    <col min="2" max="2" width="2" style="1" customWidth="1"/>
    <col min="3" max="3" width="12.625" style="1" customWidth="1"/>
    <col min="4" max="4" width="2" style="1" customWidth="1"/>
    <col min="5" max="5" width="12.625" style="1" customWidth="1"/>
    <col min="6" max="6" width="2" style="1" customWidth="1"/>
    <col min="7" max="7" width="12.625" style="1" customWidth="1"/>
    <col min="8" max="8" width="2" style="1" customWidth="1"/>
    <col min="9" max="9" width="12.625" style="1" customWidth="1"/>
    <col min="10" max="10" width="2" style="1" customWidth="1"/>
    <col min="11" max="11" width="12.625" style="1" customWidth="1"/>
    <col min="12" max="12" width="2" style="1" customWidth="1"/>
    <col min="13" max="13" width="12.625" style="1" customWidth="1"/>
    <col min="14" max="14" width="2" style="1" customWidth="1"/>
    <col min="15" max="15" width="12.625" style="1" customWidth="1"/>
    <col min="16" max="1024" width="9.75" style="1" customWidth="1"/>
    <col min="1025" max="16384" width="9" style="1"/>
  </cols>
  <sheetData>
    <row r="1" spans="1:15" ht="22.5" customHeight="1">
      <c r="A1" s="219"/>
      <c r="B1" s="220" t="s">
        <v>0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"/>
    </row>
    <row r="2" spans="1:15" ht="45" customHeight="1">
      <c r="A2" s="219"/>
      <c r="B2" s="267" t="s">
        <v>90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3"/>
    </row>
    <row r="3" spans="1:15" ht="15" customHeight="1">
      <c r="A3" s="73"/>
      <c r="B3" s="73"/>
      <c r="C3" s="73"/>
      <c r="D3" s="73"/>
      <c r="E3" s="74" t="s">
        <v>2</v>
      </c>
      <c r="F3" s="217"/>
      <c r="G3" s="217"/>
      <c r="H3" s="217"/>
      <c r="I3" s="217"/>
      <c r="J3" s="217"/>
      <c r="K3" s="217"/>
      <c r="L3" s="217"/>
      <c r="M3" s="73"/>
      <c r="N3" s="73"/>
      <c r="O3" s="73"/>
    </row>
    <row r="4" spans="1:15" ht="15" customHeight="1">
      <c r="A4" s="73"/>
      <c r="B4" s="73"/>
      <c r="C4" s="73"/>
      <c r="D4" s="73"/>
      <c r="E4" s="75"/>
      <c r="F4" s="75"/>
      <c r="G4" s="76"/>
      <c r="H4" s="76"/>
      <c r="I4" s="76"/>
      <c r="J4" s="76"/>
      <c r="K4" s="76"/>
      <c r="L4" s="76"/>
      <c r="M4" s="73"/>
      <c r="N4" s="73"/>
      <c r="O4" s="73"/>
    </row>
    <row r="5" spans="1:15" ht="14.25">
      <c r="A5" s="77" t="s">
        <v>91</v>
      </c>
      <c r="B5" s="270" t="s">
        <v>92</v>
      </c>
      <c r="C5" s="271"/>
      <c r="D5" s="272" t="s">
        <v>93</v>
      </c>
      <c r="E5" s="271"/>
      <c r="F5" s="272" t="s">
        <v>88</v>
      </c>
      <c r="G5" s="271"/>
      <c r="H5" s="272"/>
      <c r="I5" s="271"/>
      <c r="J5" s="272" t="s">
        <v>94</v>
      </c>
      <c r="K5" s="271"/>
      <c r="L5" s="272" t="s">
        <v>95</v>
      </c>
      <c r="M5" s="271"/>
      <c r="N5" s="268" t="s">
        <v>96</v>
      </c>
      <c r="O5" s="269"/>
    </row>
    <row r="6" spans="1:15" ht="14.25">
      <c r="A6" s="123" t="s">
        <v>97</v>
      </c>
      <c r="B6" s="124"/>
      <c r="C6" s="125" t="s">
        <v>98</v>
      </c>
      <c r="D6" s="124"/>
      <c r="E6" s="125" t="s">
        <v>99</v>
      </c>
      <c r="F6" s="124"/>
      <c r="G6" s="125" t="s">
        <v>100</v>
      </c>
      <c r="H6" s="126"/>
      <c r="I6" s="127" t="s">
        <v>101</v>
      </c>
      <c r="J6" s="124"/>
      <c r="K6" s="125" t="s">
        <v>102</v>
      </c>
      <c r="L6" s="124"/>
      <c r="M6" s="125" t="s">
        <v>103</v>
      </c>
      <c r="N6" s="124"/>
      <c r="O6" s="128" t="s">
        <v>104</v>
      </c>
    </row>
    <row r="7" spans="1:15" ht="14.25">
      <c r="A7" s="129" t="s">
        <v>105</v>
      </c>
      <c r="B7" s="130"/>
      <c r="C7" s="131" t="s">
        <v>106</v>
      </c>
      <c r="D7" s="130"/>
      <c r="E7" s="131" t="s">
        <v>107</v>
      </c>
      <c r="F7" s="130"/>
      <c r="G7" s="131" t="s">
        <v>108</v>
      </c>
      <c r="H7" s="132"/>
      <c r="I7" s="133" t="s">
        <v>109</v>
      </c>
      <c r="J7" s="130"/>
      <c r="K7" s="131" t="s">
        <v>110</v>
      </c>
      <c r="L7" s="130"/>
      <c r="M7" s="131" t="s">
        <v>111</v>
      </c>
      <c r="N7" s="130"/>
      <c r="O7" s="134" t="s">
        <v>112</v>
      </c>
    </row>
    <row r="8" spans="1:15" ht="14.25">
      <c r="A8" s="135" t="s">
        <v>113</v>
      </c>
      <c r="B8" s="136"/>
      <c r="C8" s="137" t="s">
        <v>114</v>
      </c>
      <c r="D8" s="136"/>
      <c r="E8" s="137" t="s">
        <v>115</v>
      </c>
      <c r="F8" s="136"/>
      <c r="G8" s="137" t="s">
        <v>116</v>
      </c>
      <c r="H8" s="138"/>
      <c r="I8" s="139" t="s">
        <v>117</v>
      </c>
      <c r="J8" s="136"/>
      <c r="K8" s="137" t="s">
        <v>118</v>
      </c>
      <c r="L8" s="136"/>
      <c r="M8" s="137" t="s">
        <v>119</v>
      </c>
      <c r="N8" s="136"/>
      <c r="O8" s="140" t="s">
        <v>120</v>
      </c>
    </row>
    <row r="9" spans="1:15" ht="14.25">
      <c r="A9" s="129" t="s">
        <v>121</v>
      </c>
      <c r="B9" s="130"/>
      <c r="C9" s="131" t="s">
        <v>122</v>
      </c>
      <c r="D9" s="130"/>
      <c r="E9" s="131" t="s">
        <v>123</v>
      </c>
      <c r="F9" s="130"/>
      <c r="G9" s="131" t="s">
        <v>124</v>
      </c>
      <c r="H9" s="132"/>
      <c r="I9" s="133" t="s">
        <v>125</v>
      </c>
      <c r="J9" s="130"/>
      <c r="K9" s="131" t="s">
        <v>126</v>
      </c>
      <c r="L9" s="130"/>
      <c r="M9" s="131" t="s">
        <v>127</v>
      </c>
      <c r="N9" s="130"/>
      <c r="O9" s="134" t="s">
        <v>128</v>
      </c>
    </row>
    <row r="10" spans="1:15" ht="14.25">
      <c r="A10" s="135" t="s">
        <v>129</v>
      </c>
      <c r="B10" s="136"/>
      <c r="C10" s="137" t="s">
        <v>130</v>
      </c>
      <c r="D10" s="136"/>
      <c r="E10" s="137" t="s">
        <v>131</v>
      </c>
      <c r="F10" s="136"/>
      <c r="G10" s="137" t="s">
        <v>132</v>
      </c>
      <c r="H10" s="138"/>
      <c r="I10" s="139" t="s">
        <v>133</v>
      </c>
      <c r="J10" s="136"/>
      <c r="K10" s="137" t="s">
        <v>134</v>
      </c>
      <c r="L10" s="136"/>
      <c r="M10" s="137" t="s">
        <v>135</v>
      </c>
      <c r="N10" s="136"/>
      <c r="O10" s="140" t="s">
        <v>136</v>
      </c>
    </row>
    <row r="11" spans="1:15" ht="14.25">
      <c r="A11" s="129" t="s">
        <v>137</v>
      </c>
      <c r="B11" s="130"/>
      <c r="C11" s="131" t="s">
        <v>138</v>
      </c>
      <c r="D11" s="130"/>
      <c r="E11" s="131" t="s">
        <v>139</v>
      </c>
      <c r="F11" s="130"/>
      <c r="G11" s="131" t="s">
        <v>140</v>
      </c>
      <c r="H11" s="132"/>
      <c r="I11" s="133" t="s">
        <v>141</v>
      </c>
      <c r="J11" s="130"/>
      <c r="K11" s="131" t="s">
        <v>142</v>
      </c>
      <c r="L11" s="130"/>
      <c r="M11" s="131" t="s">
        <v>143</v>
      </c>
      <c r="N11" s="130"/>
      <c r="O11" s="134" t="s">
        <v>144</v>
      </c>
    </row>
    <row r="12" spans="1:15" ht="14.25">
      <c r="A12" s="135" t="s">
        <v>145</v>
      </c>
      <c r="B12" s="136"/>
      <c r="C12" s="137" t="s">
        <v>146</v>
      </c>
      <c r="D12" s="136"/>
      <c r="E12" s="137" t="s">
        <v>147</v>
      </c>
      <c r="F12" s="136"/>
      <c r="G12" s="137" t="s">
        <v>148</v>
      </c>
      <c r="H12" s="138"/>
      <c r="I12" s="139" t="s">
        <v>149</v>
      </c>
      <c r="J12" s="136"/>
      <c r="K12" s="137" t="s">
        <v>150</v>
      </c>
      <c r="L12" s="136"/>
      <c r="M12" s="137" t="s">
        <v>151</v>
      </c>
      <c r="N12" s="136"/>
      <c r="O12" s="140" t="s">
        <v>152</v>
      </c>
    </row>
    <row r="13" spans="1:15" ht="14.25">
      <c r="A13" s="129" t="s">
        <v>153</v>
      </c>
      <c r="B13" s="130"/>
      <c r="C13" s="131" t="s">
        <v>154</v>
      </c>
      <c r="D13" s="130"/>
      <c r="E13" s="131" t="s">
        <v>155</v>
      </c>
      <c r="F13" s="130"/>
      <c r="G13" s="131" t="s">
        <v>156</v>
      </c>
      <c r="H13" s="132"/>
      <c r="I13" s="133" t="s">
        <v>157</v>
      </c>
      <c r="J13" s="130"/>
      <c r="K13" s="131" t="s">
        <v>158</v>
      </c>
      <c r="L13" s="130"/>
      <c r="M13" s="131" t="s">
        <v>159</v>
      </c>
      <c r="N13" s="130"/>
      <c r="O13" s="134" t="s">
        <v>160</v>
      </c>
    </row>
    <row r="14" spans="1:15" ht="14.25">
      <c r="A14" s="135" t="s">
        <v>161</v>
      </c>
      <c r="B14" s="136"/>
      <c r="C14" s="137" t="s">
        <v>162</v>
      </c>
      <c r="D14" s="136"/>
      <c r="E14" s="137" t="s">
        <v>163</v>
      </c>
      <c r="F14" s="136"/>
      <c r="G14" s="137" t="s">
        <v>164</v>
      </c>
      <c r="H14" s="138"/>
      <c r="I14" s="139" t="s">
        <v>165</v>
      </c>
      <c r="J14" s="136"/>
      <c r="K14" s="137" t="s">
        <v>166</v>
      </c>
      <c r="L14" s="136"/>
      <c r="M14" s="137" t="s">
        <v>167</v>
      </c>
      <c r="N14" s="136"/>
      <c r="O14" s="140" t="s">
        <v>168</v>
      </c>
    </row>
    <row r="15" spans="1:15" ht="14.25">
      <c r="A15" s="129" t="s">
        <v>169</v>
      </c>
      <c r="B15" s="130"/>
      <c r="C15" s="131" t="s">
        <v>170</v>
      </c>
      <c r="D15" s="130"/>
      <c r="E15" s="131" t="s">
        <v>171</v>
      </c>
      <c r="F15" s="130"/>
      <c r="G15" s="131" t="s">
        <v>172</v>
      </c>
      <c r="H15" s="132"/>
      <c r="I15" s="133" t="s">
        <v>173</v>
      </c>
      <c r="J15" s="130"/>
      <c r="K15" s="131" t="s">
        <v>174</v>
      </c>
      <c r="L15" s="130"/>
      <c r="M15" s="131" t="s">
        <v>175</v>
      </c>
      <c r="N15" s="130"/>
      <c r="O15" s="134" t="s">
        <v>176</v>
      </c>
    </row>
    <row r="16" spans="1:15" ht="14.25">
      <c r="A16" s="135" t="s">
        <v>177</v>
      </c>
      <c r="B16" s="136"/>
      <c r="C16" s="137" t="s">
        <v>178</v>
      </c>
      <c r="D16" s="136"/>
      <c r="E16" s="137" t="s">
        <v>179</v>
      </c>
      <c r="F16" s="136"/>
      <c r="G16" s="137" t="s">
        <v>180</v>
      </c>
      <c r="H16" s="138"/>
      <c r="I16" s="139" t="s">
        <v>181</v>
      </c>
      <c r="J16" s="136"/>
      <c r="K16" s="137" t="s">
        <v>182</v>
      </c>
      <c r="L16" s="136"/>
      <c r="M16" s="137" t="s">
        <v>183</v>
      </c>
      <c r="N16" s="136"/>
      <c r="O16" s="140" t="s">
        <v>184</v>
      </c>
    </row>
    <row r="17" spans="1:15" ht="14.25">
      <c r="A17" s="129" t="s">
        <v>185</v>
      </c>
      <c r="B17" s="130"/>
      <c r="C17" s="131" t="s">
        <v>186</v>
      </c>
      <c r="D17" s="130"/>
      <c r="E17" s="131" t="s">
        <v>187</v>
      </c>
      <c r="F17" s="130"/>
      <c r="G17" s="131" t="s">
        <v>188</v>
      </c>
      <c r="H17" s="132"/>
      <c r="I17" s="133" t="s">
        <v>189</v>
      </c>
      <c r="J17" s="130"/>
      <c r="K17" s="131" t="s">
        <v>190</v>
      </c>
      <c r="L17" s="130"/>
      <c r="M17" s="131" t="s">
        <v>191</v>
      </c>
      <c r="N17" s="130"/>
      <c r="O17" s="134" t="s">
        <v>192</v>
      </c>
    </row>
    <row r="18" spans="1:15" ht="14.25">
      <c r="A18" s="135" t="s">
        <v>193</v>
      </c>
      <c r="B18" s="136"/>
      <c r="C18" s="137" t="s">
        <v>194</v>
      </c>
      <c r="D18" s="136"/>
      <c r="E18" s="137" t="s">
        <v>195</v>
      </c>
      <c r="F18" s="136"/>
      <c r="G18" s="137" t="s">
        <v>196</v>
      </c>
      <c r="H18" s="138"/>
      <c r="I18" s="139" t="s">
        <v>197</v>
      </c>
      <c r="J18" s="136"/>
      <c r="K18" s="137" t="s">
        <v>198</v>
      </c>
      <c r="L18" s="136"/>
      <c r="M18" s="137" t="s">
        <v>199</v>
      </c>
      <c r="N18" s="136"/>
      <c r="O18" s="140" t="s">
        <v>200</v>
      </c>
    </row>
    <row r="19" spans="1:15" ht="14.25">
      <c r="A19" s="129" t="s">
        <v>201</v>
      </c>
      <c r="B19" s="130"/>
      <c r="C19" s="131" t="s">
        <v>202</v>
      </c>
      <c r="D19" s="130"/>
      <c r="E19" s="131" t="s">
        <v>203</v>
      </c>
      <c r="F19" s="130"/>
      <c r="G19" s="131" t="s">
        <v>204</v>
      </c>
      <c r="H19" s="132"/>
      <c r="I19" s="133" t="s">
        <v>205</v>
      </c>
      <c r="J19" s="130"/>
      <c r="K19" s="131" t="s">
        <v>206</v>
      </c>
      <c r="L19" s="130"/>
      <c r="M19" s="131" t="s">
        <v>207</v>
      </c>
      <c r="N19" s="130"/>
      <c r="O19" s="134" t="s">
        <v>208</v>
      </c>
    </row>
    <row r="20" spans="1:15" ht="14.25">
      <c r="A20" s="135" t="s">
        <v>209</v>
      </c>
      <c r="B20" s="136"/>
      <c r="C20" s="137" t="s">
        <v>210</v>
      </c>
      <c r="D20" s="136"/>
      <c r="E20" s="137" t="s">
        <v>211</v>
      </c>
      <c r="F20" s="136"/>
      <c r="G20" s="137" t="s">
        <v>212</v>
      </c>
      <c r="H20" s="138"/>
      <c r="I20" s="139" t="s">
        <v>213</v>
      </c>
      <c r="J20" s="136"/>
      <c r="K20" s="137" t="s">
        <v>214</v>
      </c>
      <c r="L20" s="136"/>
      <c r="M20" s="137" t="s">
        <v>215</v>
      </c>
      <c r="N20" s="136"/>
      <c r="O20" s="140" t="s">
        <v>216</v>
      </c>
    </row>
    <row r="21" spans="1:15" ht="14.25">
      <c r="A21" s="129" t="s">
        <v>217</v>
      </c>
      <c r="B21" s="130"/>
      <c r="C21" s="131" t="s">
        <v>218</v>
      </c>
      <c r="D21" s="130"/>
      <c r="E21" s="131" t="s">
        <v>219</v>
      </c>
      <c r="F21" s="130"/>
      <c r="G21" s="131" t="s">
        <v>220</v>
      </c>
      <c r="H21" s="132"/>
      <c r="I21" s="133" t="s">
        <v>221</v>
      </c>
      <c r="J21" s="130"/>
      <c r="K21" s="131" t="s">
        <v>222</v>
      </c>
      <c r="L21" s="130"/>
      <c r="M21" s="131" t="s">
        <v>223</v>
      </c>
      <c r="N21" s="130"/>
      <c r="O21" s="134" t="s">
        <v>224</v>
      </c>
    </row>
    <row r="22" spans="1:15" ht="14.25">
      <c r="A22" s="135" t="s">
        <v>225</v>
      </c>
      <c r="B22" s="136"/>
      <c r="C22" s="137" t="s">
        <v>226</v>
      </c>
      <c r="D22" s="136"/>
      <c r="E22" s="137" t="s">
        <v>227</v>
      </c>
      <c r="F22" s="136"/>
      <c r="G22" s="137" t="s">
        <v>228</v>
      </c>
      <c r="H22" s="138"/>
      <c r="I22" s="139" t="s">
        <v>229</v>
      </c>
      <c r="J22" s="136"/>
      <c r="K22" s="137" t="s">
        <v>230</v>
      </c>
      <c r="L22" s="136"/>
      <c r="M22" s="137" t="s">
        <v>231</v>
      </c>
      <c r="N22" s="136"/>
      <c r="O22" s="140" t="s">
        <v>232</v>
      </c>
    </row>
    <row r="23" spans="1:15" ht="14.25">
      <c r="A23" s="129" t="s">
        <v>233</v>
      </c>
      <c r="B23" s="130"/>
      <c r="C23" s="131" t="s">
        <v>234</v>
      </c>
      <c r="D23" s="130"/>
      <c r="E23" s="131" t="s">
        <v>235</v>
      </c>
      <c r="F23" s="130"/>
      <c r="G23" s="131" t="s">
        <v>236</v>
      </c>
      <c r="H23" s="132"/>
      <c r="I23" s="133" t="s">
        <v>237</v>
      </c>
      <c r="J23" s="130"/>
      <c r="K23" s="131" t="s">
        <v>238</v>
      </c>
      <c r="L23" s="130"/>
      <c r="M23" s="131" t="s">
        <v>239</v>
      </c>
      <c r="N23" s="130"/>
      <c r="O23" s="134" t="s">
        <v>240</v>
      </c>
    </row>
    <row r="24" spans="1:15" ht="14.25">
      <c r="A24" s="135" t="s">
        <v>241</v>
      </c>
      <c r="B24" s="136"/>
      <c r="C24" s="137" t="s">
        <v>242</v>
      </c>
      <c r="D24" s="136"/>
      <c r="E24" s="137" t="s">
        <v>243</v>
      </c>
      <c r="F24" s="136"/>
      <c r="G24" s="137" t="s">
        <v>244</v>
      </c>
      <c r="H24" s="138"/>
      <c r="I24" s="139" t="s">
        <v>245</v>
      </c>
      <c r="J24" s="136"/>
      <c r="K24" s="137" t="s">
        <v>246</v>
      </c>
      <c r="L24" s="136"/>
      <c r="M24" s="137" t="s">
        <v>247</v>
      </c>
      <c r="N24" s="136"/>
      <c r="O24" s="140" t="s">
        <v>248</v>
      </c>
    </row>
    <row r="25" spans="1:15" ht="14.25">
      <c r="A25" s="129" t="s">
        <v>249</v>
      </c>
      <c r="B25" s="130"/>
      <c r="C25" s="131" t="s">
        <v>250</v>
      </c>
      <c r="D25" s="130"/>
      <c r="E25" s="131" t="s">
        <v>251</v>
      </c>
      <c r="F25" s="130"/>
      <c r="G25" s="131" t="s">
        <v>252</v>
      </c>
      <c r="H25" s="132"/>
      <c r="I25" s="133" t="s">
        <v>253</v>
      </c>
      <c r="J25" s="130"/>
      <c r="K25" s="131" t="s">
        <v>254</v>
      </c>
      <c r="L25" s="130"/>
      <c r="M25" s="131" t="s">
        <v>255</v>
      </c>
      <c r="N25" s="130"/>
      <c r="O25" s="134" t="s">
        <v>256</v>
      </c>
    </row>
    <row r="26" spans="1:15" ht="14.25">
      <c r="A26" s="135" t="s">
        <v>257</v>
      </c>
      <c r="B26" s="136"/>
      <c r="C26" s="137" t="s">
        <v>258</v>
      </c>
      <c r="D26" s="136"/>
      <c r="E26" s="137" t="s">
        <v>259</v>
      </c>
      <c r="F26" s="136"/>
      <c r="G26" s="137" t="s">
        <v>260</v>
      </c>
      <c r="H26" s="138"/>
      <c r="I26" s="139" t="s">
        <v>261</v>
      </c>
      <c r="J26" s="136"/>
      <c r="K26" s="137" t="s">
        <v>262</v>
      </c>
      <c r="L26" s="136"/>
      <c r="M26" s="137" t="s">
        <v>263</v>
      </c>
      <c r="N26" s="136"/>
      <c r="O26" s="140" t="s">
        <v>264</v>
      </c>
    </row>
    <row r="27" spans="1:15" ht="14.25">
      <c r="A27" s="129" t="s">
        <v>265</v>
      </c>
      <c r="B27" s="130"/>
      <c r="C27" s="131" t="s">
        <v>266</v>
      </c>
      <c r="D27" s="130"/>
      <c r="E27" s="131" t="s">
        <v>267</v>
      </c>
      <c r="F27" s="130"/>
      <c r="G27" s="131" t="s">
        <v>268</v>
      </c>
      <c r="H27" s="132"/>
      <c r="I27" s="133" t="s">
        <v>269</v>
      </c>
      <c r="J27" s="130"/>
      <c r="K27" s="131" t="s">
        <v>270</v>
      </c>
      <c r="L27" s="130"/>
      <c r="M27" s="131" t="s">
        <v>271</v>
      </c>
      <c r="N27" s="130"/>
      <c r="O27" s="134" t="s">
        <v>272</v>
      </c>
    </row>
    <row r="28" spans="1:15" ht="14.25">
      <c r="A28" s="135" t="s">
        <v>273</v>
      </c>
      <c r="B28" s="136"/>
      <c r="C28" s="137" t="s">
        <v>274</v>
      </c>
      <c r="D28" s="136"/>
      <c r="E28" s="137" t="s">
        <v>275</v>
      </c>
      <c r="F28" s="136"/>
      <c r="G28" s="137" t="s">
        <v>276</v>
      </c>
      <c r="H28" s="138"/>
      <c r="I28" s="139" t="s">
        <v>277</v>
      </c>
      <c r="J28" s="136"/>
      <c r="K28" s="137" t="s">
        <v>278</v>
      </c>
      <c r="L28" s="136"/>
      <c r="M28" s="137" t="s">
        <v>279</v>
      </c>
      <c r="N28" s="136"/>
      <c r="O28" s="140" t="s">
        <v>280</v>
      </c>
    </row>
    <row r="29" spans="1:15" ht="14.25">
      <c r="A29" s="129" t="s">
        <v>281</v>
      </c>
      <c r="B29" s="130"/>
      <c r="C29" s="131" t="s">
        <v>282</v>
      </c>
      <c r="D29" s="130"/>
      <c r="E29" s="131" t="s">
        <v>283</v>
      </c>
      <c r="F29" s="130"/>
      <c r="G29" s="131" t="s">
        <v>284</v>
      </c>
      <c r="H29" s="132"/>
      <c r="I29" s="133" t="s">
        <v>285</v>
      </c>
      <c r="J29" s="130"/>
      <c r="K29" s="131" t="s">
        <v>286</v>
      </c>
      <c r="L29" s="130"/>
      <c r="M29" s="131" t="s">
        <v>287</v>
      </c>
      <c r="N29" s="130"/>
      <c r="O29" s="134" t="s">
        <v>288</v>
      </c>
    </row>
    <row r="30" spans="1:15" ht="14.25">
      <c r="A30" s="135" t="s">
        <v>289</v>
      </c>
      <c r="B30" s="136"/>
      <c r="C30" s="137" t="s">
        <v>290</v>
      </c>
      <c r="D30" s="136"/>
      <c r="E30" s="137" t="s">
        <v>291</v>
      </c>
      <c r="F30" s="136"/>
      <c r="G30" s="137" t="s">
        <v>292</v>
      </c>
      <c r="H30" s="138"/>
      <c r="I30" s="139" t="s">
        <v>293</v>
      </c>
      <c r="J30" s="136"/>
      <c r="K30" s="137" t="s">
        <v>294</v>
      </c>
      <c r="L30" s="136"/>
      <c r="M30" s="137" t="s">
        <v>295</v>
      </c>
      <c r="N30" s="136"/>
      <c r="O30" s="140" t="s">
        <v>296</v>
      </c>
    </row>
    <row r="31" spans="1:15" ht="14.25">
      <c r="A31" s="129" t="s">
        <v>297</v>
      </c>
      <c r="B31" s="130"/>
      <c r="C31" s="131" t="s">
        <v>298</v>
      </c>
      <c r="D31" s="130"/>
      <c r="E31" s="131" t="s">
        <v>299</v>
      </c>
      <c r="F31" s="130"/>
      <c r="G31" s="131" t="s">
        <v>300</v>
      </c>
      <c r="H31" s="132"/>
      <c r="I31" s="133" t="s">
        <v>301</v>
      </c>
      <c r="J31" s="130"/>
      <c r="K31" s="131" t="s">
        <v>302</v>
      </c>
      <c r="L31" s="130"/>
      <c r="M31" s="131" t="s">
        <v>303</v>
      </c>
      <c r="N31" s="130"/>
      <c r="O31" s="134" t="s">
        <v>304</v>
      </c>
    </row>
    <row r="32" spans="1:15" ht="14.25">
      <c r="A32" s="135" t="s">
        <v>305</v>
      </c>
      <c r="B32" s="136"/>
      <c r="C32" s="137" t="s">
        <v>306</v>
      </c>
      <c r="D32" s="136"/>
      <c r="E32" s="137" t="s">
        <v>307</v>
      </c>
      <c r="F32" s="136"/>
      <c r="G32" s="137" t="s">
        <v>308</v>
      </c>
      <c r="H32" s="138"/>
      <c r="I32" s="139" t="s">
        <v>189</v>
      </c>
      <c r="J32" s="136"/>
      <c r="K32" s="137" t="s">
        <v>309</v>
      </c>
      <c r="L32" s="136"/>
      <c r="M32" s="137" t="s">
        <v>310</v>
      </c>
      <c r="N32" s="136"/>
      <c r="O32" s="140" t="s">
        <v>311</v>
      </c>
    </row>
    <row r="33" spans="1:15" ht="14.25">
      <c r="A33" s="129" t="s">
        <v>312</v>
      </c>
      <c r="B33" s="130"/>
      <c r="C33" s="131" t="s">
        <v>313</v>
      </c>
      <c r="D33" s="130"/>
      <c r="E33" s="131" t="s">
        <v>314</v>
      </c>
      <c r="F33" s="130"/>
      <c r="G33" s="131" t="s">
        <v>315</v>
      </c>
      <c r="H33" s="132"/>
      <c r="I33" s="133" t="s">
        <v>316</v>
      </c>
      <c r="J33" s="130"/>
      <c r="K33" s="131" t="s">
        <v>317</v>
      </c>
      <c r="L33" s="130"/>
      <c r="M33" s="131" t="s">
        <v>318</v>
      </c>
      <c r="N33" s="130"/>
      <c r="O33" s="134" t="s">
        <v>319</v>
      </c>
    </row>
    <row r="34" spans="1:15" ht="14.25">
      <c r="A34" s="135" t="s">
        <v>320</v>
      </c>
      <c r="B34" s="136"/>
      <c r="C34" s="137" t="s">
        <v>321</v>
      </c>
      <c r="D34" s="136"/>
      <c r="E34" s="137" t="s">
        <v>322</v>
      </c>
      <c r="F34" s="136"/>
      <c r="G34" s="137" t="s">
        <v>323</v>
      </c>
      <c r="H34" s="138"/>
      <c r="I34" s="139" t="s">
        <v>324</v>
      </c>
      <c r="J34" s="136"/>
      <c r="K34" s="137" t="s">
        <v>325</v>
      </c>
      <c r="L34" s="136"/>
      <c r="M34" s="137" t="s">
        <v>326</v>
      </c>
      <c r="N34" s="136"/>
      <c r="O34" s="140" t="s">
        <v>327</v>
      </c>
    </row>
    <row r="35" spans="1:15" ht="14.25">
      <c r="A35" s="141" t="s">
        <v>328</v>
      </c>
      <c r="B35" s="142"/>
      <c r="C35" s="143" t="s">
        <v>329</v>
      </c>
      <c r="D35" s="142"/>
      <c r="E35" s="143" t="s">
        <v>330</v>
      </c>
      <c r="F35" s="142"/>
      <c r="G35" s="143" t="s">
        <v>331</v>
      </c>
      <c r="H35" s="144"/>
      <c r="I35" s="145" t="s">
        <v>332</v>
      </c>
      <c r="J35" s="142"/>
      <c r="K35" s="143" t="s">
        <v>333</v>
      </c>
      <c r="L35" s="142"/>
      <c r="M35" s="143" t="s">
        <v>334</v>
      </c>
      <c r="N35" s="142"/>
      <c r="O35" s="146" t="s">
        <v>335</v>
      </c>
    </row>
    <row r="36" spans="1:15" ht="30" customHeight="1">
      <c r="A36" s="213" t="s">
        <v>367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</row>
  </sheetData>
  <mergeCells count="12">
    <mergeCell ref="N5:O5"/>
    <mergeCell ref="A36:O36"/>
    <mergeCell ref="A1:A2"/>
    <mergeCell ref="B1:N1"/>
    <mergeCell ref="B2:N2"/>
    <mergeCell ref="F3:L3"/>
    <mergeCell ref="B5:C5"/>
    <mergeCell ref="D5:E5"/>
    <mergeCell ref="F5:G5"/>
    <mergeCell ref="H5:I5"/>
    <mergeCell ref="J5:K5"/>
    <mergeCell ref="L5:M5"/>
  </mergeCells>
  <conditionalFormatting sqref="C6:C35 E6:E35 G6:G35 I6:I35 K6:K35 M6:M35 O6:O35">
    <cfRule type="expression" dxfId="3" priority="2" stopIfTrue="1">
      <formula>AND(NOT(ISBLANK(B6)),ISEVEN(ROW()))</formula>
    </cfRule>
    <cfRule type="expression" dxfId="2" priority="5" stopIfTrue="1">
      <formula>AND(NOT(ISBLANK(B6)),ISODD(ROW()))</formula>
    </cfRule>
  </conditionalFormatting>
  <conditionalFormatting sqref="B6:B35 D6:D35 F6:F35 H6:H35 J6:J35 L6:L35 N6:N35">
    <cfRule type="expression" dxfId="1" priority="1" stopIfTrue="1">
      <formula>AND(NOT(ISBLANK(B6)),ISEVEN(ROW()))</formula>
    </cfRule>
    <cfRule type="expression" dxfId="0" priority="3" stopIfTrue="1">
      <formula>AND(NOT(ISBLANK(B6)),ISODD(ROW()))</formula>
    </cfRule>
  </conditionalFormatting>
  <printOptions horizontalCentered="1" gridLines="1"/>
  <pageMargins left="0.7" right="0.7" top="1.1437499999999998" bottom="1.1437499999999998" header="0.75" footer="0.75"/>
  <pageSetup paperSize="0" fitToWidth="0" fitToHeight="0" pageOrder="overThenDown" orientation="landscape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8"/>
  <sheetViews>
    <sheetView showGridLines="0" workbookViewId="0">
      <pane xSplit="2" ySplit="6" topLeftCell="I20" activePane="bottomRight" state="frozen"/>
      <selection pane="topRight" activeCell="C1" sqref="C1"/>
      <selection pane="bottomLeft" activeCell="A7" sqref="A7"/>
      <selection pane="bottomRight" activeCell="H34" sqref="H34"/>
    </sheetView>
  </sheetViews>
  <sheetFormatPr defaultRowHeight="15.75" customHeight="1"/>
  <cols>
    <col min="1" max="1" width="5" style="1" customWidth="1"/>
    <col min="2" max="2" width="9.625" style="1" customWidth="1"/>
    <col min="3" max="13" width="12.625" style="1" customWidth="1"/>
    <col min="14" max="1024" width="9.75" style="1" customWidth="1"/>
    <col min="1025" max="16384" width="9" style="1"/>
  </cols>
  <sheetData>
    <row r="1" spans="1:13" ht="22.5" customHeight="1">
      <c r="A1" s="219"/>
      <c r="B1" s="219"/>
      <c r="C1" s="220" t="s">
        <v>0</v>
      </c>
      <c r="D1" s="220"/>
      <c r="E1" s="220"/>
      <c r="F1" s="220"/>
      <c r="G1" s="220"/>
      <c r="H1" s="220"/>
      <c r="I1" s="220"/>
      <c r="J1" s="220"/>
      <c r="K1" s="220"/>
      <c r="L1" s="220"/>
      <c r="M1" s="2"/>
    </row>
    <row r="2" spans="1:13" ht="45" customHeight="1">
      <c r="A2" s="219"/>
      <c r="B2" s="219"/>
      <c r="C2" s="221" t="s">
        <v>336</v>
      </c>
      <c r="D2" s="221"/>
      <c r="E2" s="221"/>
      <c r="F2" s="221"/>
      <c r="G2" s="221"/>
      <c r="H2" s="221"/>
      <c r="I2" s="221"/>
      <c r="J2" s="221"/>
      <c r="K2" s="221"/>
      <c r="L2" s="221"/>
      <c r="M2" s="3"/>
    </row>
    <row r="3" spans="1:13" ht="15.75" customHeight="1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7.5" customHeight="1" thickBot="1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102" customFormat="1" ht="14.25" customHeight="1">
      <c r="A5" s="86" t="s">
        <v>11</v>
      </c>
      <c r="B5" s="87" t="s">
        <v>337</v>
      </c>
      <c r="C5" s="273" t="s">
        <v>338</v>
      </c>
      <c r="D5" s="273"/>
      <c r="E5" s="273"/>
      <c r="F5" s="273"/>
      <c r="G5" s="273"/>
      <c r="H5" s="273"/>
      <c r="I5" s="273" t="s">
        <v>339</v>
      </c>
      <c r="J5" s="273"/>
      <c r="K5" s="273" t="s">
        <v>340</v>
      </c>
      <c r="L5" s="273"/>
      <c r="M5" s="88" t="s">
        <v>29</v>
      </c>
    </row>
    <row r="6" spans="1:13" s="94" customFormat="1" ht="24.75" thickBot="1">
      <c r="A6" s="97"/>
      <c r="B6" s="98" t="s">
        <v>341</v>
      </c>
      <c r="C6" s="99" t="s">
        <v>342</v>
      </c>
      <c r="D6" s="100" t="s">
        <v>343</v>
      </c>
      <c r="E6" s="100" t="s">
        <v>344</v>
      </c>
      <c r="F6" s="100" t="s">
        <v>345</v>
      </c>
      <c r="G6" s="100" t="s">
        <v>346</v>
      </c>
      <c r="H6" s="98" t="s">
        <v>347</v>
      </c>
      <c r="I6" s="99" t="s">
        <v>348</v>
      </c>
      <c r="J6" s="98" t="s">
        <v>349</v>
      </c>
      <c r="K6" s="99" t="s">
        <v>348</v>
      </c>
      <c r="L6" s="98" t="s">
        <v>349</v>
      </c>
      <c r="M6" s="101" t="s">
        <v>350</v>
      </c>
    </row>
    <row r="7" spans="1:13" ht="14.25">
      <c r="A7" s="147">
        <v>-25</v>
      </c>
      <c r="B7" s="148">
        <v>5.5000000000000003E-4</v>
      </c>
      <c r="C7" s="149">
        <v>2.7499999999999998E-3</v>
      </c>
      <c r="D7" s="150">
        <v>3.3000000000000002E-2</v>
      </c>
      <c r="E7" s="151" t="s">
        <v>94</v>
      </c>
      <c r="F7" s="150">
        <v>8.25E-4</v>
      </c>
      <c r="G7" s="150">
        <v>8.2500000000000004E-2</v>
      </c>
      <c r="H7" s="152">
        <v>0.82499999999999996</v>
      </c>
      <c r="I7" s="149">
        <v>6.6000000000000003E-2</v>
      </c>
      <c r="J7" s="152">
        <v>3.3000000000000002E-2</v>
      </c>
      <c r="K7" s="149">
        <v>5.5E-2</v>
      </c>
      <c r="L7" s="152">
        <v>2.75E-2</v>
      </c>
      <c r="M7" s="153">
        <v>180000</v>
      </c>
    </row>
    <row r="8" spans="1:13" ht="14.25">
      <c r="A8" s="154">
        <v>-24</v>
      </c>
      <c r="B8" s="155">
        <v>7.5000000000000002E-4</v>
      </c>
      <c r="C8" s="156">
        <v>3.7499999999999999E-3</v>
      </c>
      <c r="D8" s="157">
        <v>4.4999999999999998E-2</v>
      </c>
      <c r="E8" s="158" t="s">
        <v>94</v>
      </c>
      <c r="F8" s="157">
        <v>1.1249999999999999E-3</v>
      </c>
      <c r="G8" s="157">
        <v>0.1125</v>
      </c>
      <c r="H8" s="159">
        <v>1.125</v>
      </c>
      <c r="I8" s="156">
        <v>0.09</v>
      </c>
      <c r="J8" s="159">
        <v>4.4999999999999998E-2</v>
      </c>
      <c r="K8" s="156">
        <v>7.4999999999999997E-2</v>
      </c>
      <c r="L8" s="159">
        <v>3.7499999999999999E-2</v>
      </c>
      <c r="M8" s="160">
        <v>135000</v>
      </c>
    </row>
    <row r="9" spans="1:13" ht="14.25">
      <c r="A9" s="161">
        <v>-23</v>
      </c>
      <c r="B9" s="162">
        <v>1E-3</v>
      </c>
      <c r="C9" s="163">
        <v>5.0000000000000001E-3</v>
      </c>
      <c r="D9" s="164">
        <v>0.06</v>
      </c>
      <c r="E9" s="165" t="s">
        <v>94</v>
      </c>
      <c r="F9" s="164">
        <v>1.5E-3</v>
      </c>
      <c r="G9" s="164">
        <v>0.15</v>
      </c>
      <c r="H9" s="166">
        <v>1.5</v>
      </c>
      <c r="I9" s="163">
        <v>0.12</v>
      </c>
      <c r="J9" s="166">
        <v>0.06</v>
      </c>
      <c r="K9" s="163">
        <v>0.1</v>
      </c>
      <c r="L9" s="166">
        <v>0.05</v>
      </c>
      <c r="M9" s="167">
        <v>100000</v>
      </c>
    </row>
    <row r="10" spans="1:13" ht="14.25">
      <c r="A10" s="154">
        <v>-22</v>
      </c>
      <c r="B10" s="155">
        <v>1.2999999999999999E-3</v>
      </c>
      <c r="C10" s="156">
        <v>6.4999999999999997E-3</v>
      </c>
      <c r="D10" s="157">
        <v>7.8E-2</v>
      </c>
      <c r="E10" s="158" t="s">
        <v>94</v>
      </c>
      <c r="F10" s="157">
        <v>1.9499999999999999E-3</v>
      </c>
      <c r="G10" s="157">
        <v>0.19500000000000001</v>
      </c>
      <c r="H10" s="159">
        <v>1.95</v>
      </c>
      <c r="I10" s="156">
        <v>0.156</v>
      </c>
      <c r="J10" s="159">
        <v>7.8E-2</v>
      </c>
      <c r="K10" s="156">
        <v>0.13</v>
      </c>
      <c r="L10" s="159">
        <v>6.5000000000000002E-2</v>
      </c>
      <c r="M10" s="160">
        <v>75000</v>
      </c>
    </row>
    <row r="11" spans="1:13" ht="14.25">
      <c r="A11" s="161">
        <v>-21</v>
      </c>
      <c r="B11" s="162">
        <v>1.8E-3</v>
      </c>
      <c r="C11" s="163">
        <v>8.9999999999999993E-3</v>
      </c>
      <c r="D11" s="164">
        <v>0.108</v>
      </c>
      <c r="E11" s="165" t="s">
        <v>94</v>
      </c>
      <c r="F11" s="164">
        <v>2.7000000000000001E-3</v>
      </c>
      <c r="G11" s="164">
        <v>0.27</v>
      </c>
      <c r="H11" s="166">
        <v>2.7</v>
      </c>
      <c r="I11" s="163">
        <v>0.216</v>
      </c>
      <c r="J11" s="166">
        <v>0.108</v>
      </c>
      <c r="K11" s="163">
        <v>0.18</v>
      </c>
      <c r="L11" s="166">
        <v>0.09</v>
      </c>
      <c r="M11" s="167">
        <v>55000</v>
      </c>
    </row>
    <row r="12" spans="1:13" ht="14.25">
      <c r="A12" s="154">
        <v>-20</v>
      </c>
      <c r="B12" s="155">
        <v>2.5000000000000001E-3</v>
      </c>
      <c r="C12" s="156">
        <v>1.2500000000000001E-2</v>
      </c>
      <c r="D12" s="157">
        <v>0.15</v>
      </c>
      <c r="E12" s="158" t="s">
        <v>94</v>
      </c>
      <c r="F12" s="157">
        <v>3.7499999999999999E-3</v>
      </c>
      <c r="G12" s="157">
        <v>0.375</v>
      </c>
      <c r="H12" s="159">
        <v>3.75</v>
      </c>
      <c r="I12" s="156">
        <v>0.3</v>
      </c>
      <c r="J12" s="159">
        <v>0.15</v>
      </c>
      <c r="K12" s="156">
        <v>0.25</v>
      </c>
      <c r="L12" s="159">
        <v>0.125</v>
      </c>
      <c r="M12" s="160">
        <v>40000</v>
      </c>
    </row>
    <row r="13" spans="1:13" ht="14.25">
      <c r="A13" s="161">
        <v>-19</v>
      </c>
      <c r="B13" s="162">
        <v>3.3E-3</v>
      </c>
      <c r="C13" s="163">
        <v>1.6500000000000001E-2</v>
      </c>
      <c r="D13" s="164">
        <v>0.19800000000000001</v>
      </c>
      <c r="E13" s="165" t="s">
        <v>94</v>
      </c>
      <c r="F13" s="164">
        <v>4.9500000000000004E-3</v>
      </c>
      <c r="G13" s="164">
        <v>0.495</v>
      </c>
      <c r="H13" s="166">
        <v>4.95</v>
      </c>
      <c r="I13" s="163">
        <v>0.39600000000000002</v>
      </c>
      <c r="J13" s="166">
        <v>0.19800000000000001</v>
      </c>
      <c r="K13" s="163">
        <v>0.33</v>
      </c>
      <c r="L13" s="166">
        <v>0.16500000000000001</v>
      </c>
      <c r="M13" s="167">
        <v>30000</v>
      </c>
    </row>
    <row r="14" spans="1:13" ht="14.25">
      <c r="A14" s="154">
        <v>-18</v>
      </c>
      <c r="B14" s="155">
        <v>4.4999999999999997E-3</v>
      </c>
      <c r="C14" s="156">
        <v>2.2499999999999999E-2</v>
      </c>
      <c r="D14" s="157">
        <v>0.27</v>
      </c>
      <c r="E14" s="158" t="s">
        <v>94</v>
      </c>
      <c r="F14" s="157">
        <v>6.7499999999999999E-3</v>
      </c>
      <c r="G14" s="157">
        <v>0.67500000000000004</v>
      </c>
      <c r="H14" s="159">
        <v>6.75</v>
      </c>
      <c r="I14" s="156">
        <v>0.54</v>
      </c>
      <c r="J14" s="159">
        <v>0.27</v>
      </c>
      <c r="K14" s="156">
        <v>0.45</v>
      </c>
      <c r="L14" s="159">
        <v>0.22500000000000001</v>
      </c>
      <c r="M14" s="160">
        <v>22000</v>
      </c>
    </row>
    <row r="15" spans="1:13" ht="14.25">
      <c r="A15" s="161">
        <v>-17</v>
      </c>
      <c r="B15" s="162">
        <v>6.3E-3</v>
      </c>
      <c r="C15" s="163">
        <v>3.15E-2</v>
      </c>
      <c r="D15" s="164">
        <v>0.378</v>
      </c>
      <c r="E15" s="165" t="s">
        <v>94</v>
      </c>
      <c r="F15" s="164">
        <v>9.4500000000000001E-3</v>
      </c>
      <c r="G15" s="164">
        <v>0.94499999999999995</v>
      </c>
      <c r="H15" s="166">
        <v>9.4499999999999993</v>
      </c>
      <c r="I15" s="163">
        <v>0.75600000000000001</v>
      </c>
      <c r="J15" s="166">
        <v>0.378</v>
      </c>
      <c r="K15" s="163">
        <v>0.63</v>
      </c>
      <c r="L15" s="166">
        <v>0.315</v>
      </c>
      <c r="M15" s="167">
        <v>16000</v>
      </c>
    </row>
    <row r="16" spans="1:13" ht="14.25">
      <c r="A16" s="154">
        <v>-16</v>
      </c>
      <c r="B16" s="155">
        <v>8.5000000000000006E-3</v>
      </c>
      <c r="C16" s="156">
        <v>4.2500000000000003E-2</v>
      </c>
      <c r="D16" s="157">
        <v>0.51</v>
      </c>
      <c r="E16" s="168" t="s">
        <v>94</v>
      </c>
      <c r="F16" s="157">
        <v>1.2749999999999999E-2</v>
      </c>
      <c r="G16" s="157">
        <v>1.2749999999999999</v>
      </c>
      <c r="H16" s="159">
        <v>12.75</v>
      </c>
      <c r="I16" s="156">
        <v>1.02</v>
      </c>
      <c r="J16" s="159">
        <v>0.51</v>
      </c>
      <c r="K16" s="156">
        <v>0.85</v>
      </c>
      <c r="L16" s="159">
        <v>0.42499999999999999</v>
      </c>
      <c r="M16" s="160">
        <v>12000</v>
      </c>
    </row>
    <row r="17" spans="1:13" ht="14.25">
      <c r="A17" s="161">
        <v>-15</v>
      </c>
      <c r="B17" s="162">
        <v>1.0999999999999999E-2</v>
      </c>
      <c r="C17" s="163">
        <v>5.5E-2</v>
      </c>
      <c r="D17" s="164">
        <v>0.66</v>
      </c>
      <c r="E17" s="169" t="s">
        <v>94</v>
      </c>
      <c r="F17" s="164">
        <v>1.6500000000000001E-2</v>
      </c>
      <c r="G17" s="164">
        <v>1.65</v>
      </c>
      <c r="H17" s="166">
        <v>16.5</v>
      </c>
      <c r="I17" s="163">
        <v>1.32</v>
      </c>
      <c r="J17" s="166">
        <v>0.66</v>
      </c>
      <c r="K17" s="163">
        <v>1.1000000000000001</v>
      </c>
      <c r="L17" s="166">
        <v>0.55000000000000004</v>
      </c>
      <c r="M17" s="167">
        <v>9000</v>
      </c>
    </row>
    <row r="18" spans="1:13" ht="14.25">
      <c r="A18" s="154">
        <v>-14</v>
      </c>
      <c r="B18" s="155">
        <v>1.4999999999999999E-2</v>
      </c>
      <c r="C18" s="156">
        <v>7.4999999999999997E-2</v>
      </c>
      <c r="D18" s="157">
        <v>0.9</v>
      </c>
      <c r="E18" s="170" t="s">
        <v>94</v>
      </c>
      <c r="F18" s="157">
        <v>2.2499999999999999E-2</v>
      </c>
      <c r="G18" s="157">
        <v>2.25</v>
      </c>
      <c r="H18" s="159">
        <v>22.5</v>
      </c>
      <c r="I18" s="156">
        <v>1.8</v>
      </c>
      <c r="J18" s="159">
        <v>0.9</v>
      </c>
      <c r="K18" s="156">
        <v>1.5</v>
      </c>
      <c r="L18" s="159">
        <v>0.75</v>
      </c>
      <c r="M18" s="160">
        <v>6500</v>
      </c>
    </row>
    <row r="19" spans="1:13" ht="14.25">
      <c r="A19" s="161">
        <v>-13</v>
      </c>
      <c r="B19" s="162">
        <v>0.02</v>
      </c>
      <c r="C19" s="163">
        <v>0.1</v>
      </c>
      <c r="D19" s="164">
        <v>1.2</v>
      </c>
      <c r="E19" s="171" t="s">
        <v>94</v>
      </c>
      <c r="F19" s="164">
        <v>0.03</v>
      </c>
      <c r="G19" s="164">
        <v>3</v>
      </c>
      <c r="H19" s="166">
        <v>30</v>
      </c>
      <c r="I19" s="163">
        <v>2.4</v>
      </c>
      <c r="J19" s="166">
        <v>1.2</v>
      </c>
      <c r="K19" s="163">
        <v>2</v>
      </c>
      <c r="L19" s="166">
        <v>1</v>
      </c>
      <c r="M19" s="167">
        <v>5000</v>
      </c>
    </row>
    <row r="20" spans="1:13" ht="14.25">
      <c r="A20" s="154">
        <v>-12</v>
      </c>
      <c r="B20" s="155">
        <v>0.03</v>
      </c>
      <c r="C20" s="156">
        <v>0.15</v>
      </c>
      <c r="D20" s="157">
        <v>1.8</v>
      </c>
      <c r="E20" s="170" t="s">
        <v>94</v>
      </c>
      <c r="F20" s="157">
        <v>4.4999999999999998E-2</v>
      </c>
      <c r="G20" s="157">
        <v>4.5</v>
      </c>
      <c r="H20" s="159">
        <v>45</v>
      </c>
      <c r="I20" s="156">
        <v>3.6</v>
      </c>
      <c r="J20" s="159">
        <v>1.8</v>
      </c>
      <c r="K20" s="156">
        <v>3</v>
      </c>
      <c r="L20" s="159">
        <v>1.5</v>
      </c>
      <c r="M20" s="160">
        <v>3500</v>
      </c>
    </row>
    <row r="21" spans="1:13" ht="14.25">
      <c r="A21" s="161">
        <v>-11</v>
      </c>
      <c r="B21" s="162">
        <v>0.04</v>
      </c>
      <c r="C21" s="163">
        <v>0.2</v>
      </c>
      <c r="D21" s="164">
        <v>2.4</v>
      </c>
      <c r="E21" s="171" t="s">
        <v>94</v>
      </c>
      <c r="F21" s="164">
        <v>0.06</v>
      </c>
      <c r="G21" s="164">
        <v>6</v>
      </c>
      <c r="H21" s="166">
        <v>60</v>
      </c>
      <c r="I21" s="163">
        <v>4.8</v>
      </c>
      <c r="J21" s="166">
        <v>2.4</v>
      </c>
      <c r="K21" s="163">
        <v>4</v>
      </c>
      <c r="L21" s="166">
        <v>2</v>
      </c>
      <c r="M21" s="167">
        <v>2500</v>
      </c>
    </row>
    <row r="22" spans="1:13" ht="14.25">
      <c r="A22" s="154">
        <v>-10</v>
      </c>
      <c r="B22" s="155">
        <v>0.05</v>
      </c>
      <c r="C22" s="156">
        <v>0.25</v>
      </c>
      <c r="D22" s="157">
        <v>3</v>
      </c>
      <c r="E22" s="172" t="s">
        <v>94</v>
      </c>
      <c r="F22" s="157">
        <v>7.4999999999999997E-2</v>
      </c>
      <c r="G22" s="157">
        <v>7.5</v>
      </c>
      <c r="H22" s="159">
        <v>75</v>
      </c>
      <c r="I22" s="156">
        <v>6</v>
      </c>
      <c r="J22" s="159">
        <v>3</v>
      </c>
      <c r="K22" s="156">
        <v>5</v>
      </c>
      <c r="L22" s="159">
        <v>2.5</v>
      </c>
      <c r="M22" s="160">
        <v>2000</v>
      </c>
    </row>
    <row r="23" spans="1:13" ht="14.25">
      <c r="A23" s="161">
        <v>-9</v>
      </c>
      <c r="B23" s="162">
        <v>6.7000000000000004E-2</v>
      </c>
      <c r="C23" s="163">
        <v>0.33500000000000002</v>
      </c>
      <c r="D23" s="164">
        <v>4.0199999999999996</v>
      </c>
      <c r="E23" s="173" t="s">
        <v>94</v>
      </c>
      <c r="F23" s="164">
        <v>0.10050000000000001</v>
      </c>
      <c r="G23" s="164">
        <v>10.050000000000001</v>
      </c>
      <c r="H23" s="166">
        <v>100.5</v>
      </c>
      <c r="I23" s="163">
        <v>8.0399999999999991</v>
      </c>
      <c r="J23" s="166">
        <v>4.0199999999999996</v>
      </c>
      <c r="K23" s="163">
        <v>6.7</v>
      </c>
      <c r="L23" s="166">
        <v>3.35</v>
      </c>
      <c r="M23" s="167">
        <v>1500</v>
      </c>
    </row>
    <row r="24" spans="1:13" ht="14.25">
      <c r="A24" s="154">
        <v>-8</v>
      </c>
      <c r="B24" s="155">
        <v>0.09</v>
      </c>
      <c r="C24" s="156">
        <v>0.45</v>
      </c>
      <c r="D24" s="157">
        <v>5.4</v>
      </c>
      <c r="E24" s="170" t="s">
        <v>94</v>
      </c>
      <c r="F24" s="157">
        <v>0.13500000000000001</v>
      </c>
      <c r="G24" s="157">
        <v>13.5</v>
      </c>
      <c r="H24" s="159">
        <v>135</v>
      </c>
      <c r="I24" s="156">
        <v>10.8</v>
      </c>
      <c r="J24" s="159">
        <v>5.4</v>
      </c>
      <c r="K24" s="156">
        <v>9</v>
      </c>
      <c r="L24" s="159">
        <v>4.5</v>
      </c>
      <c r="M24" s="160">
        <v>1100</v>
      </c>
    </row>
    <row r="25" spans="1:13" ht="14.25">
      <c r="A25" s="161">
        <v>-7</v>
      </c>
      <c r="B25" s="162">
        <v>0.125</v>
      </c>
      <c r="C25" s="163">
        <v>0.625</v>
      </c>
      <c r="D25" s="164">
        <v>7.5</v>
      </c>
      <c r="E25" s="171" t="s">
        <v>94</v>
      </c>
      <c r="F25" s="164">
        <v>0.1875</v>
      </c>
      <c r="G25" s="164">
        <v>18.75</v>
      </c>
      <c r="H25" s="166">
        <v>187.5</v>
      </c>
      <c r="I25" s="163">
        <v>15</v>
      </c>
      <c r="J25" s="166">
        <v>7.5</v>
      </c>
      <c r="K25" s="163">
        <v>12.5</v>
      </c>
      <c r="L25" s="166">
        <v>6.25</v>
      </c>
      <c r="M25" s="167">
        <v>800</v>
      </c>
    </row>
    <row r="26" spans="1:13" ht="14.25">
      <c r="A26" s="154">
        <v>-6</v>
      </c>
      <c r="B26" s="155">
        <v>0.16</v>
      </c>
      <c r="C26" s="156">
        <v>0.8</v>
      </c>
      <c r="D26" s="157">
        <v>9.6</v>
      </c>
      <c r="E26" s="170" t="s">
        <v>94</v>
      </c>
      <c r="F26" s="157">
        <v>0.24</v>
      </c>
      <c r="G26" s="157">
        <v>24</v>
      </c>
      <c r="H26" s="159">
        <v>240</v>
      </c>
      <c r="I26" s="156">
        <v>19.2</v>
      </c>
      <c r="J26" s="159">
        <v>9.6</v>
      </c>
      <c r="K26" s="156">
        <v>16</v>
      </c>
      <c r="L26" s="159">
        <v>8</v>
      </c>
      <c r="M26" s="160">
        <v>600</v>
      </c>
    </row>
    <row r="27" spans="1:13" ht="14.25">
      <c r="A27" s="161">
        <v>-5</v>
      </c>
      <c r="B27" s="162">
        <v>0.22</v>
      </c>
      <c r="C27" s="163">
        <v>1.1000000000000001</v>
      </c>
      <c r="D27" s="164">
        <v>13.2</v>
      </c>
      <c r="E27" s="174" t="s">
        <v>351</v>
      </c>
      <c r="F27" s="164">
        <v>0.33</v>
      </c>
      <c r="G27" s="164">
        <v>33</v>
      </c>
      <c r="H27" s="166">
        <v>330</v>
      </c>
      <c r="I27" s="163">
        <v>26.4</v>
      </c>
      <c r="J27" s="166">
        <v>13.2</v>
      </c>
      <c r="K27" s="163">
        <v>22</v>
      </c>
      <c r="L27" s="166">
        <v>11</v>
      </c>
      <c r="M27" s="167">
        <v>450</v>
      </c>
    </row>
    <row r="28" spans="1:13" ht="14.25">
      <c r="A28" s="154">
        <v>-4</v>
      </c>
      <c r="B28" s="155">
        <v>0.3</v>
      </c>
      <c r="C28" s="156">
        <v>1.5</v>
      </c>
      <c r="D28" s="157">
        <v>18</v>
      </c>
      <c r="E28" s="175" t="s">
        <v>352</v>
      </c>
      <c r="F28" s="157">
        <v>0.45</v>
      </c>
      <c r="G28" s="157">
        <v>45</v>
      </c>
      <c r="H28" s="159">
        <v>450</v>
      </c>
      <c r="I28" s="156">
        <v>36</v>
      </c>
      <c r="J28" s="159">
        <v>18</v>
      </c>
      <c r="K28" s="156">
        <v>30</v>
      </c>
      <c r="L28" s="159">
        <v>15</v>
      </c>
      <c r="M28" s="160">
        <v>330</v>
      </c>
    </row>
    <row r="29" spans="1:13" ht="14.25">
      <c r="A29" s="161">
        <v>-3</v>
      </c>
      <c r="B29" s="162">
        <v>0.4</v>
      </c>
      <c r="C29" s="163">
        <v>2</v>
      </c>
      <c r="D29" s="164">
        <v>24</v>
      </c>
      <c r="E29" s="174" t="s">
        <v>353</v>
      </c>
      <c r="F29" s="164">
        <v>0.6</v>
      </c>
      <c r="G29" s="164">
        <v>60</v>
      </c>
      <c r="H29" s="166">
        <v>600</v>
      </c>
      <c r="I29" s="163">
        <v>48</v>
      </c>
      <c r="J29" s="166">
        <v>24</v>
      </c>
      <c r="K29" s="163">
        <v>40</v>
      </c>
      <c r="L29" s="166">
        <v>20</v>
      </c>
      <c r="M29" s="167">
        <v>250</v>
      </c>
    </row>
    <row r="30" spans="1:13" ht="14.25">
      <c r="A30" s="154">
        <v>-2</v>
      </c>
      <c r="B30" s="155">
        <v>0.55000000000000004</v>
      </c>
      <c r="C30" s="156">
        <v>2.75</v>
      </c>
      <c r="D30" s="157">
        <v>33</v>
      </c>
      <c r="E30" s="175" t="s">
        <v>354</v>
      </c>
      <c r="F30" s="157">
        <v>0.82499999999999996</v>
      </c>
      <c r="G30" s="157">
        <v>82.5</v>
      </c>
      <c r="H30" s="159">
        <v>825</v>
      </c>
      <c r="I30" s="156">
        <v>66</v>
      </c>
      <c r="J30" s="159">
        <v>33</v>
      </c>
      <c r="K30" s="156">
        <v>55</v>
      </c>
      <c r="L30" s="159">
        <v>27.5</v>
      </c>
      <c r="M30" s="160">
        <v>180</v>
      </c>
    </row>
    <row r="31" spans="1:13" ht="14.25">
      <c r="A31" s="286">
        <v>-1</v>
      </c>
      <c r="B31" s="287">
        <v>0.75</v>
      </c>
      <c r="C31" s="288">
        <v>3.75</v>
      </c>
      <c r="D31" s="289">
        <v>45</v>
      </c>
      <c r="E31" s="290" t="s">
        <v>355</v>
      </c>
      <c r="F31" s="289">
        <v>1.125</v>
      </c>
      <c r="G31" s="289">
        <v>112.5</v>
      </c>
      <c r="H31" s="291">
        <v>1125</v>
      </c>
      <c r="I31" s="288">
        <v>90</v>
      </c>
      <c r="J31" s="291">
        <v>45</v>
      </c>
      <c r="K31" s="288">
        <v>75</v>
      </c>
      <c r="L31" s="291">
        <v>37.5</v>
      </c>
      <c r="M31" s="292">
        <v>135</v>
      </c>
    </row>
    <row r="32" spans="1:13" ht="15">
      <c r="A32" s="293">
        <v>0</v>
      </c>
      <c r="B32" s="294">
        <v>1</v>
      </c>
      <c r="C32" s="295">
        <v>5</v>
      </c>
      <c r="D32" s="296">
        <v>60</v>
      </c>
      <c r="E32" s="297">
        <v>5</v>
      </c>
      <c r="F32" s="296">
        <v>1.5</v>
      </c>
      <c r="G32" s="296">
        <v>150</v>
      </c>
      <c r="H32" s="294">
        <v>1500</v>
      </c>
      <c r="I32" s="295">
        <v>120</v>
      </c>
      <c r="J32" s="294">
        <v>60</v>
      </c>
      <c r="K32" s="295">
        <v>100</v>
      </c>
      <c r="L32" s="294">
        <v>50</v>
      </c>
      <c r="M32" s="298">
        <v>100</v>
      </c>
    </row>
    <row r="33" spans="1:13" ht="14.25">
      <c r="A33" s="278">
        <v>1</v>
      </c>
      <c r="B33" s="279">
        <v>1.35</v>
      </c>
      <c r="C33" s="280">
        <v>6.75</v>
      </c>
      <c r="D33" s="281">
        <v>81</v>
      </c>
      <c r="E33" s="282" t="s">
        <v>356</v>
      </c>
      <c r="F33" s="281">
        <v>2.0249999999999999</v>
      </c>
      <c r="G33" s="281">
        <v>202.5</v>
      </c>
      <c r="H33" s="283" t="s">
        <v>94</v>
      </c>
      <c r="I33" s="280">
        <v>162</v>
      </c>
      <c r="J33" s="284">
        <v>81</v>
      </c>
      <c r="K33" s="280">
        <v>135</v>
      </c>
      <c r="L33" s="284">
        <v>67.5</v>
      </c>
      <c r="M33" s="285">
        <v>75</v>
      </c>
    </row>
    <row r="34" spans="1:13" ht="14.25">
      <c r="A34" s="154">
        <v>2</v>
      </c>
      <c r="B34" s="155">
        <v>1.8</v>
      </c>
      <c r="C34" s="156">
        <v>9</v>
      </c>
      <c r="D34" s="157">
        <v>108</v>
      </c>
      <c r="E34" s="175" t="s">
        <v>357</v>
      </c>
      <c r="F34" s="157">
        <v>2.7</v>
      </c>
      <c r="G34" s="157">
        <v>270</v>
      </c>
      <c r="H34" s="177" t="s">
        <v>94</v>
      </c>
      <c r="I34" s="156">
        <v>216</v>
      </c>
      <c r="J34" s="159">
        <v>108</v>
      </c>
      <c r="K34" s="156">
        <v>180</v>
      </c>
      <c r="L34" s="159">
        <v>90</v>
      </c>
      <c r="M34" s="160">
        <v>55.000000000000007</v>
      </c>
    </row>
    <row r="35" spans="1:13" ht="14.25">
      <c r="A35" s="161">
        <v>3</v>
      </c>
      <c r="B35" s="162">
        <v>2.5</v>
      </c>
      <c r="C35" s="163">
        <v>12.5</v>
      </c>
      <c r="D35" s="164">
        <v>150</v>
      </c>
      <c r="E35" s="174" t="s">
        <v>358</v>
      </c>
      <c r="F35" s="164">
        <v>3.75</v>
      </c>
      <c r="G35" s="164">
        <v>375</v>
      </c>
      <c r="H35" s="176" t="s">
        <v>94</v>
      </c>
      <c r="I35" s="163">
        <v>300</v>
      </c>
      <c r="J35" s="166">
        <v>150</v>
      </c>
      <c r="K35" s="163">
        <v>250</v>
      </c>
      <c r="L35" s="166">
        <v>125</v>
      </c>
      <c r="M35" s="167">
        <v>40</v>
      </c>
    </row>
    <row r="36" spans="1:13" ht="14.25">
      <c r="A36" s="154">
        <v>4</v>
      </c>
      <c r="B36" s="155">
        <v>3.3</v>
      </c>
      <c r="C36" s="156">
        <v>16.5</v>
      </c>
      <c r="D36" s="157">
        <v>198</v>
      </c>
      <c r="E36" s="175" t="s">
        <v>359</v>
      </c>
      <c r="F36" s="157">
        <v>4.95</v>
      </c>
      <c r="G36" s="157">
        <v>495</v>
      </c>
      <c r="H36" s="177" t="s">
        <v>94</v>
      </c>
      <c r="I36" s="156">
        <v>396</v>
      </c>
      <c r="J36" s="159">
        <v>198</v>
      </c>
      <c r="K36" s="156">
        <v>330</v>
      </c>
      <c r="L36" s="159">
        <v>165</v>
      </c>
      <c r="M36" s="160">
        <v>30</v>
      </c>
    </row>
    <row r="37" spans="1:13" ht="14.25">
      <c r="A37" s="161">
        <v>5</v>
      </c>
      <c r="B37" s="162">
        <v>4.5</v>
      </c>
      <c r="C37" s="163">
        <v>22.5</v>
      </c>
      <c r="D37" s="164">
        <v>270</v>
      </c>
      <c r="E37" s="174" t="s">
        <v>360</v>
      </c>
      <c r="F37" s="164">
        <v>6.75</v>
      </c>
      <c r="G37" s="164">
        <v>675</v>
      </c>
      <c r="H37" s="176" t="s">
        <v>94</v>
      </c>
      <c r="I37" s="163">
        <v>540</v>
      </c>
      <c r="J37" s="166">
        <v>270</v>
      </c>
      <c r="K37" s="163">
        <v>450</v>
      </c>
      <c r="L37" s="166">
        <v>225</v>
      </c>
      <c r="M37" s="167">
        <v>22</v>
      </c>
    </row>
    <row r="38" spans="1:13" ht="14.25">
      <c r="A38" s="154">
        <v>6</v>
      </c>
      <c r="B38" s="159">
        <v>6</v>
      </c>
      <c r="C38" s="156">
        <v>30</v>
      </c>
      <c r="D38" s="178" t="s">
        <v>94</v>
      </c>
      <c r="E38" s="179" t="s">
        <v>94</v>
      </c>
      <c r="F38" s="157">
        <v>9</v>
      </c>
      <c r="G38" s="157">
        <v>900</v>
      </c>
      <c r="H38" s="177" t="s">
        <v>94</v>
      </c>
      <c r="I38" s="156">
        <v>720</v>
      </c>
      <c r="J38" s="159">
        <v>360</v>
      </c>
      <c r="K38" s="156">
        <v>600</v>
      </c>
      <c r="L38" s="159">
        <v>300</v>
      </c>
      <c r="M38" s="160">
        <v>16</v>
      </c>
    </row>
    <row r="39" spans="1:13" ht="14.25">
      <c r="A39" s="161">
        <v>7</v>
      </c>
      <c r="B39" s="166">
        <v>8</v>
      </c>
      <c r="C39" s="163">
        <v>40</v>
      </c>
      <c r="D39" s="180" t="s">
        <v>94</v>
      </c>
      <c r="E39" s="181" t="s">
        <v>94</v>
      </c>
      <c r="F39" s="164">
        <v>12</v>
      </c>
      <c r="G39" s="164">
        <v>1200</v>
      </c>
      <c r="H39" s="176" t="s">
        <v>94</v>
      </c>
      <c r="I39" s="163">
        <v>960</v>
      </c>
      <c r="J39" s="166">
        <v>480</v>
      </c>
      <c r="K39" s="163">
        <v>800</v>
      </c>
      <c r="L39" s="166">
        <v>400</v>
      </c>
      <c r="M39" s="167">
        <v>12.5</v>
      </c>
    </row>
    <row r="40" spans="1:13" ht="14.25">
      <c r="A40" s="154">
        <v>8</v>
      </c>
      <c r="B40" s="159">
        <v>11</v>
      </c>
      <c r="C40" s="156">
        <v>55</v>
      </c>
      <c r="D40" s="178" t="s">
        <v>94</v>
      </c>
      <c r="E40" s="179" t="s">
        <v>94</v>
      </c>
      <c r="F40" s="157">
        <v>16.5</v>
      </c>
      <c r="G40" s="182" t="s">
        <v>94</v>
      </c>
      <c r="H40" s="177" t="s">
        <v>94</v>
      </c>
      <c r="I40" s="156">
        <v>1320</v>
      </c>
      <c r="J40" s="159">
        <v>660</v>
      </c>
      <c r="K40" s="156">
        <v>1100</v>
      </c>
      <c r="L40" s="159">
        <v>550</v>
      </c>
      <c r="M40" s="160">
        <v>9</v>
      </c>
    </row>
    <row r="41" spans="1:13" ht="14.25">
      <c r="A41" s="161">
        <v>9</v>
      </c>
      <c r="B41" s="166">
        <v>15</v>
      </c>
      <c r="C41" s="163">
        <v>75</v>
      </c>
      <c r="D41" s="180" t="s">
        <v>94</v>
      </c>
      <c r="E41" s="181" t="s">
        <v>94</v>
      </c>
      <c r="F41" s="164">
        <v>22.5</v>
      </c>
      <c r="G41" s="183" t="s">
        <v>94</v>
      </c>
      <c r="H41" s="176" t="s">
        <v>94</v>
      </c>
      <c r="I41" s="163">
        <v>1800</v>
      </c>
      <c r="J41" s="166">
        <v>900</v>
      </c>
      <c r="K41" s="163">
        <v>1500</v>
      </c>
      <c r="L41" s="166">
        <v>750</v>
      </c>
      <c r="M41" s="167">
        <v>6.7</v>
      </c>
    </row>
    <row r="42" spans="1:13" ht="14.25">
      <c r="A42" s="154">
        <v>10</v>
      </c>
      <c r="B42" s="159">
        <v>20</v>
      </c>
      <c r="C42" s="156">
        <v>100</v>
      </c>
      <c r="D42" s="178" t="s">
        <v>94</v>
      </c>
      <c r="E42" s="179" t="s">
        <v>94</v>
      </c>
      <c r="F42" s="157">
        <v>30</v>
      </c>
      <c r="G42" s="182" t="s">
        <v>94</v>
      </c>
      <c r="H42" s="177" t="s">
        <v>94</v>
      </c>
      <c r="I42" s="156">
        <v>2400</v>
      </c>
      <c r="J42" s="159">
        <v>1200</v>
      </c>
      <c r="K42" s="156">
        <v>2000</v>
      </c>
      <c r="L42" s="159">
        <v>1000</v>
      </c>
      <c r="M42" s="160">
        <v>5</v>
      </c>
    </row>
    <row r="43" spans="1:13" ht="14.25">
      <c r="A43" s="161">
        <v>11</v>
      </c>
      <c r="B43" s="166">
        <v>25</v>
      </c>
      <c r="C43" s="163">
        <v>125</v>
      </c>
      <c r="D43" s="180" t="s">
        <v>94</v>
      </c>
      <c r="E43" s="181" t="s">
        <v>94</v>
      </c>
      <c r="F43" s="164">
        <v>37.5</v>
      </c>
      <c r="G43" s="183" t="s">
        <v>94</v>
      </c>
      <c r="H43" s="176" t="s">
        <v>94</v>
      </c>
      <c r="I43" s="163">
        <v>3000</v>
      </c>
      <c r="J43" s="166">
        <v>1500</v>
      </c>
      <c r="K43" s="163">
        <v>2500</v>
      </c>
      <c r="L43" s="166">
        <v>1250</v>
      </c>
      <c r="M43" s="167">
        <v>4</v>
      </c>
    </row>
    <row r="44" spans="1:13" ht="14.25">
      <c r="A44" s="154">
        <v>12</v>
      </c>
      <c r="B44" s="159">
        <v>35</v>
      </c>
      <c r="C44" s="156">
        <v>175</v>
      </c>
      <c r="D44" s="178" t="s">
        <v>94</v>
      </c>
      <c r="E44" s="179" t="s">
        <v>94</v>
      </c>
      <c r="F44" s="157">
        <v>52.5</v>
      </c>
      <c r="G44" s="182" t="s">
        <v>94</v>
      </c>
      <c r="H44" s="177" t="s">
        <v>94</v>
      </c>
      <c r="I44" s="156">
        <v>4200</v>
      </c>
      <c r="J44" s="159">
        <v>2100</v>
      </c>
      <c r="K44" s="156">
        <v>3500</v>
      </c>
      <c r="L44" s="159">
        <v>1750</v>
      </c>
      <c r="M44" s="160">
        <v>3</v>
      </c>
    </row>
    <row r="45" spans="1:13" ht="14.25">
      <c r="A45" s="161">
        <v>13</v>
      </c>
      <c r="B45" s="166">
        <v>50</v>
      </c>
      <c r="C45" s="163">
        <v>250</v>
      </c>
      <c r="D45" s="180" t="s">
        <v>94</v>
      </c>
      <c r="E45" s="181" t="s">
        <v>94</v>
      </c>
      <c r="F45" s="164">
        <v>75</v>
      </c>
      <c r="G45" s="183" t="s">
        <v>94</v>
      </c>
      <c r="H45" s="176" t="s">
        <v>94</v>
      </c>
      <c r="I45" s="163">
        <v>6000</v>
      </c>
      <c r="J45" s="166">
        <v>3000</v>
      </c>
      <c r="K45" s="163">
        <v>5000</v>
      </c>
      <c r="L45" s="166">
        <v>2500</v>
      </c>
      <c r="M45" s="167">
        <v>2</v>
      </c>
    </row>
    <row r="46" spans="1:13" ht="14.25">
      <c r="A46" s="154">
        <v>14</v>
      </c>
      <c r="B46" s="159">
        <v>65</v>
      </c>
      <c r="C46" s="156">
        <v>325</v>
      </c>
      <c r="D46" s="178" t="s">
        <v>94</v>
      </c>
      <c r="E46" s="179" t="s">
        <v>94</v>
      </c>
      <c r="F46" s="157">
        <v>97.5</v>
      </c>
      <c r="G46" s="182" t="s">
        <v>94</v>
      </c>
      <c r="H46" s="177" t="s">
        <v>94</v>
      </c>
      <c r="I46" s="156">
        <v>7800</v>
      </c>
      <c r="J46" s="159">
        <v>3900</v>
      </c>
      <c r="K46" s="156">
        <v>6500</v>
      </c>
      <c r="L46" s="159">
        <v>3250</v>
      </c>
      <c r="M46" s="160">
        <v>1.5</v>
      </c>
    </row>
    <row r="47" spans="1:13" ht="14.25">
      <c r="A47" s="161">
        <v>15</v>
      </c>
      <c r="B47" s="166">
        <v>90</v>
      </c>
      <c r="C47" s="163">
        <v>450</v>
      </c>
      <c r="D47" s="180" t="s">
        <v>94</v>
      </c>
      <c r="E47" s="181" t="s">
        <v>94</v>
      </c>
      <c r="F47" s="164">
        <v>135</v>
      </c>
      <c r="G47" s="183" t="s">
        <v>94</v>
      </c>
      <c r="H47" s="176" t="s">
        <v>94</v>
      </c>
      <c r="I47" s="163">
        <v>10800</v>
      </c>
      <c r="J47" s="166">
        <v>5400</v>
      </c>
      <c r="K47" s="163">
        <v>9000</v>
      </c>
      <c r="L47" s="166">
        <v>4500</v>
      </c>
      <c r="M47" s="167">
        <v>1.0999999999999999</v>
      </c>
    </row>
    <row r="48" spans="1:13" ht="14.25">
      <c r="A48" s="154">
        <v>16</v>
      </c>
      <c r="B48" s="159">
        <v>120</v>
      </c>
      <c r="C48" s="156">
        <v>600</v>
      </c>
      <c r="D48" s="178" t="s">
        <v>94</v>
      </c>
      <c r="E48" s="179" t="s">
        <v>94</v>
      </c>
      <c r="F48" s="157">
        <v>180</v>
      </c>
      <c r="G48" s="182" t="s">
        <v>94</v>
      </c>
      <c r="H48" s="177" t="s">
        <v>94</v>
      </c>
      <c r="I48" s="156">
        <v>14400</v>
      </c>
      <c r="J48" s="159">
        <v>7200</v>
      </c>
      <c r="K48" s="156">
        <v>12000</v>
      </c>
      <c r="L48" s="159">
        <v>6000</v>
      </c>
      <c r="M48" s="160">
        <v>0.85000000000000009</v>
      </c>
    </row>
    <row r="49" spans="1:13" ht="14.25">
      <c r="A49" s="161">
        <v>17</v>
      </c>
      <c r="B49" s="166">
        <v>160</v>
      </c>
      <c r="C49" s="163">
        <v>800</v>
      </c>
      <c r="D49" s="180" t="s">
        <v>94</v>
      </c>
      <c r="E49" s="181" t="s">
        <v>94</v>
      </c>
      <c r="F49" s="164">
        <v>240</v>
      </c>
      <c r="G49" s="183" t="s">
        <v>94</v>
      </c>
      <c r="H49" s="176" t="s">
        <v>94</v>
      </c>
      <c r="I49" s="163">
        <v>19200</v>
      </c>
      <c r="J49" s="166">
        <v>9600</v>
      </c>
      <c r="K49" s="163">
        <v>16000</v>
      </c>
      <c r="L49" s="166">
        <v>8000</v>
      </c>
      <c r="M49" s="167">
        <v>0.63</v>
      </c>
    </row>
    <row r="50" spans="1:13" ht="14.25">
      <c r="A50" s="154">
        <v>18</v>
      </c>
      <c r="B50" s="159">
        <v>220</v>
      </c>
      <c r="C50" s="156">
        <v>1100</v>
      </c>
      <c r="D50" s="178" t="s">
        <v>94</v>
      </c>
      <c r="E50" s="179" t="s">
        <v>94</v>
      </c>
      <c r="F50" s="157">
        <v>330</v>
      </c>
      <c r="G50" s="182" t="s">
        <v>94</v>
      </c>
      <c r="H50" s="177" t="s">
        <v>94</v>
      </c>
      <c r="I50" s="156">
        <v>26400</v>
      </c>
      <c r="J50" s="159">
        <v>13200</v>
      </c>
      <c r="K50" s="156">
        <v>22000</v>
      </c>
      <c r="L50" s="159">
        <v>11000</v>
      </c>
      <c r="M50" s="160">
        <v>0.44999999999999996</v>
      </c>
    </row>
    <row r="51" spans="1:13" ht="14.25">
      <c r="A51" s="161">
        <v>19</v>
      </c>
      <c r="B51" s="166">
        <v>300</v>
      </c>
      <c r="C51" s="163">
        <v>1500</v>
      </c>
      <c r="D51" s="180" t="s">
        <v>94</v>
      </c>
      <c r="E51" s="181" t="s">
        <v>94</v>
      </c>
      <c r="F51" s="164">
        <v>450</v>
      </c>
      <c r="G51" s="183" t="s">
        <v>94</v>
      </c>
      <c r="H51" s="176" t="s">
        <v>94</v>
      </c>
      <c r="I51" s="163">
        <v>36000</v>
      </c>
      <c r="J51" s="166">
        <v>18000</v>
      </c>
      <c r="K51" s="163">
        <v>30000</v>
      </c>
      <c r="L51" s="166">
        <v>15000</v>
      </c>
      <c r="M51" s="167">
        <v>0.33</v>
      </c>
    </row>
    <row r="52" spans="1:13" ht="14.25">
      <c r="A52" s="154">
        <v>20</v>
      </c>
      <c r="B52" s="159">
        <v>400</v>
      </c>
      <c r="C52" s="156">
        <v>2000</v>
      </c>
      <c r="D52" s="178" t="s">
        <v>94</v>
      </c>
      <c r="E52" s="179" t="s">
        <v>94</v>
      </c>
      <c r="F52" s="157">
        <v>600</v>
      </c>
      <c r="G52" s="182" t="s">
        <v>94</v>
      </c>
      <c r="H52" s="177" t="s">
        <v>94</v>
      </c>
      <c r="I52" s="156">
        <v>48000</v>
      </c>
      <c r="J52" s="159">
        <v>24000</v>
      </c>
      <c r="K52" s="156">
        <v>40000</v>
      </c>
      <c r="L52" s="159">
        <v>20000</v>
      </c>
      <c r="M52" s="160">
        <v>0.25</v>
      </c>
    </row>
    <row r="53" spans="1:13" ht="14.25">
      <c r="A53" s="161">
        <v>21</v>
      </c>
      <c r="B53" s="166">
        <v>550</v>
      </c>
      <c r="C53" s="163">
        <v>2750</v>
      </c>
      <c r="D53" s="180" t="s">
        <v>94</v>
      </c>
      <c r="E53" s="181" t="s">
        <v>94</v>
      </c>
      <c r="F53" s="164">
        <v>825</v>
      </c>
      <c r="G53" s="183" t="s">
        <v>94</v>
      </c>
      <c r="H53" s="176" t="s">
        <v>94</v>
      </c>
      <c r="I53" s="163">
        <v>66000</v>
      </c>
      <c r="J53" s="166">
        <v>33000</v>
      </c>
      <c r="K53" s="163">
        <v>55000</v>
      </c>
      <c r="L53" s="166">
        <v>27500</v>
      </c>
      <c r="M53" s="167">
        <v>0.18</v>
      </c>
    </row>
    <row r="54" spans="1:13" ht="14.25">
      <c r="A54" s="154">
        <v>22</v>
      </c>
      <c r="B54" s="159">
        <v>750</v>
      </c>
      <c r="C54" s="156">
        <v>3750</v>
      </c>
      <c r="D54" s="178" t="s">
        <v>94</v>
      </c>
      <c r="E54" s="179" t="s">
        <v>94</v>
      </c>
      <c r="F54" s="157">
        <v>1125</v>
      </c>
      <c r="G54" s="182" t="s">
        <v>94</v>
      </c>
      <c r="H54" s="177" t="s">
        <v>94</v>
      </c>
      <c r="I54" s="156">
        <v>90000</v>
      </c>
      <c r="J54" s="159">
        <v>45000</v>
      </c>
      <c r="K54" s="156">
        <v>75000</v>
      </c>
      <c r="L54" s="159">
        <v>37500</v>
      </c>
      <c r="M54" s="160">
        <v>0.13</v>
      </c>
    </row>
    <row r="55" spans="1:13" ht="14.25">
      <c r="A55" s="161">
        <v>23</v>
      </c>
      <c r="B55" s="166">
        <v>1000</v>
      </c>
      <c r="C55" s="163">
        <v>5000</v>
      </c>
      <c r="D55" s="180" t="s">
        <v>94</v>
      </c>
      <c r="E55" s="181" t="s">
        <v>94</v>
      </c>
      <c r="F55" s="164">
        <v>1500</v>
      </c>
      <c r="G55" s="183" t="s">
        <v>94</v>
      </c>
      <c r="H55" s="176" t="s">
        <v>94</v>
      </c>
      <c r="I55" s="163">
        <v>120000</v>
      </c>
      <c r="J55" s="166">
        <v>60000</v>
      </c>
      <c r="K55" s="163">
        <v>100000</v>
      </c>
      <c r="L55" s="166">
        <v>50000</v>
      </c>
      <c r="M55" s="167">
        <v>0.1</v>
      </c>
    </row>
    <row r="56" spans="1:13" ht="14.25">
      <c r="A56" s="154">
        <v>24</v>
      </c>
      <c r="B56" s="159">
        <v>1350</v>
      </c>
      <c r="C56" s="156">
        <v>6750</v>
      </c>
      <c r="D56" s="178" t="s">
        <v>94</v>
      </c>
      <c r="E56" s="179" t="s">
        <v>94</v>
      </c>
      <c r="F56" s="157">
        <v>2025</v>
      </c>
      <c r="G56" s="182" t="s">
        <v>94</v>
      </c>
      <c r="H56" s="177" t="s">
        <v>94</v>
      </c>
      <c r="I56" s="156">
        <v>162000</v>
      </c>
      <c r="J56" s="159">
        <v>81000</v>
      </c>
      <c r="K56" s="156">
        <v>135000</v>
      </c>
      <c r="L56" s="159">
        <v>67500</v>
      </c>
      <c r="M56" s="160">
        <v>7.4999999999999997E-2</v>
      </c>
    </row>
    <row r="57" spans="1:13" ht="14.25">
      <c r="A57" s="184">
        <v>25</v>
      </c>
      <c r="B57" s="185">
        <v>1800</v>
      </c>
      <c r="C57" s="186">
        <v>9000</v>
      </c>
      <c r="D57" s="187" t="s">
        <v>94</v>
      </c>
      <c r="E57" s="188" t="s">
        <v>94</v>
      </c>
      <c r="F57" s="189">
        <v>2700</v>
      </c>
      <c r="G57" s="190" t="s">
        <v>94</v>
      </c>
      <c r="H57" s="191" t="s">
        <v>94</v>
      </c>
      <c r="I57" s="186">
        <v>216000</v>
      </c>
      <c r="J57" s="185">
        <v>108000</v>
      </c>
      <c r="K57" s="186">
        <v>180000</v>
      </c>
      <c r="L57" s="185">
        <v>90000</v>
      </c>
      <c r="M57" s="192">
        <v>5.5E-2</v>
      </c>
    </row>
    <row r="58" spans="1:13" ht="30" customHeight="1">
      <c r="A58" s="213" t="s">
        <v>367</v>
      </c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</row>
  </sheetData>
  <mergeCells count="7">
    <mergeCell ref="A58:M58"/>
    <mergeCell ref="A1:B2"/>
    <mergeCell ref="C1:L1"/>
    <mergeCell ref="C2:L2"/>
    <mergeCell ref="C5:H5"/>
    <mergeCell ref="I5:J5"/>
    <mergeCell ref="K5:L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9"/>
  <sheetViews>
    <sheetView showGridLines="0"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RowHeight="15.75" customHeight="1"/>
  <cols>
    <col min="1" max="1" width="5" style="1" customWidth="1"/>
    <col min="2" max="2" width="9.625" style="1" customWidth="1"/>
    <col min="3" max="13" width="12.625" style="1" customWidth="1"/>
    <col min="14" max="1024" width="9.75" style="1" customWidth="1"/>
    <col min="1025" max="16384" width="9" style="1"/>
  </cols>
  <sheetData>
    <row r="1" spans="1:13" ht="22.5" customHeight="1">
      <c r="A1" s="219"/>
      <c r="B1" s="219"/>
      <c r="C1" s="220" t="s">
        <v>0</v>
      </c>
      <c r="D1" s="220"/>
      <c r="E1" s="220"/>
      <c r="F1" s="220"/>
      <c r="G1" s="220"/>
      <c r="H1" s="220"/>
      <c r="I1" s="220"/>
      <c r="J1" s="220"/>
      <c r="K1" s="220"/>
      <c r="L1" s="220"/>
      <c r="M1" s="2"/>
    </row>
    <row r="2" spans="1:13" ht="45" customHeight="1" thickBot="1">
      <c r="A2" s="219"/>
      <c r="B2" s="219"/>
      <c r="C2" s="221" t="s">
        <v>361</v>
      </c>
      <c r="D2" s="221"/>
      <c r="E2" s="221"/>
      <c r="F2" s="221"/>
      <c r="G2" s="221"/>
      <c r="H2" s="221"/>
      <c r="I2" s="221"/>
      <c r="J2" s="221"/>
      <c r="K2" s="221"/>
      <c r="L2" s="221"/>
      <c r="M2" s="3"/>
    </row>
    <row r="3" spans="1:13" thickTop="1" thickBot="1">
      <c r="A3" s="8"/>
      <c r="B3" s="8"/>
      <c r="C3" s="8"/>
      <c r="D3" s="8"/>
      <c r="E3" s="8"/>
      <c r="F3" s="277" t="s">
        <v>366</v>
      </c>
      <c r="G3" s="277"/>
      <c r="H3" s="277"/>
      <c r="I3" s="277"/>
      <c r="J3" s="8"/>
      <c r="K3" s="8"/>
      <c r="L3" s="8"/>
      <c r="M3" s="8"/>
    </row>
    <row r="4" spans="1:13" ht="7.5" customHeight="1" thickTop="1" thickBo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4.25">
      <c r="A5" s="86" t="s">
        <v>11</v>
      </c>
      <c r="B5" s="87" t="s">
        <v>337</v>
      </c>
      <c r="C5" s="273" t="s">
        <v>14</v>
      </c>
      <c r="D5" s="273"/>
      <c r="E5" s="273"/>
      <c r="F5" s="273"/>
      <c r="G5" s="273"/>
      <c r="H5" s="273"/>
      <c r="I5" s="273" t="s">
        <v>16</v>
      </c>
      <c r="J5" s="273"/>
      <c r="K5" s="273" t="s">
        <v>18</v>
      </c>
      <c r="L5" s="273"/>
      <c r="M5" s="88" t="s">
        <v>29</v>
      </c>
    </row>
    <row r="6" spans="1:13" s="94" customFormat="1" ht="24.75" thickBot="1">
      <c r="A6" s="89"/>
      <c r="B6" s="90" t="s">
        <v>341</v>
      </c>
      <c r="C6" s="91" t="s">
        <v>342</v>
      </c>
      <c r="D6" s="92" t="s">
        <v>343</v>
      </c>
      <c r="E6" s="92" t="s">
        <v>344</v>
      </c>
      <c r="F6" s="92" t="s">
        <v>345</v>
      </c>
      <c r="G6" s="92" t="s">
        <v>346</v>
      </c>
      <c r="H6" s="90" t="s">
        <v>347</v>
      </c>
      <c r="I6" s="91" t="s">
        <v>348</v>
      </c>
      <c r="J6" s="90" t="s">
        <v>349</v>
      </c>
      <c r="K6" s="91" t="s">
        <v>348</v>
      </c>
      <c r="L6" s="90" t="s">
        <v>349</v>
      </c>
      <c r="M6" s="93" t="s">
        <v>350</v>
      </c>
    </row>
    <row r="7" spans="1:13" thickTop="1" thickBot="1">
      <c r="A7" s="274" t="s">
        <v>362</v>
      </c>
      <c r="B7" s="275"/>
      <c r="C7" s="78">
        <v>5</v>
      </c>
      <c r="D7" s="78">
        <v>5</v>
      </c>
      <c r="E7" s="78">
        <v>5</v>
      </c>
      <c r="F7" s="78">
        <v>5</v>
      </c>
      <c r="G7" s="78">
        <v>5</v>
      </c>
      <c r="H7" s="78">
        <v>5</v>
      </c>
      <c r="I7" s="78">
        <v>5</v>
      </c>
      <c r="J7" s="78">
        <v>5</v>
      </c>
      <c r="K7" s="78">
        <v>5</v>
      </c>
      <c r="L7" s="299">
        <v>5</v>
      </c>
      <c r="M7" s="300"/>
    </row>
    <row r="8" spans="1:13" ht="14.25">
      <c r="A8" s="193">
        <v>-25</v>
      </c>
      <c r="B8" s="194">
        <v>5.5000000000000003E-4</v>
      </c>
      <c r="C8" s="195">
        <f t="shared" ref="C8:C32" si="0">ROUND($C$33*$B8,$C$7)</f>
        <v>2.7499999999999998E-3</v>
      </c>
      <c r="D8" s="196">
        <f t="shared" ref="D8:D32" si="1">ROUND($D$33*$B8,$D$7)</f>
        <v>3.3000000000000002E-2</v>
      </c>
      <c r="E8" s="197" t="str">
        <f t="shared" ref="E8:E39" si="2">TRUNC($C8)&amp;"' "&amp;ROUND(MOD($D8,12),$E$7)&amp;""""</f>
        <v>0' 0.033"</v>
      </c>
      <c r="F8" s="196">
        <f t="shared" ref="F8:F32" si="3">ROUND($F$33*$B8,$F$7)</f>
        <v>8.3000000000000001E-4</v>
      </c>
      <c r="G8" s="196">
        <f t="shared" ref="G8:G32" si="4">ROUND($G$33*$B8,$G$7)</f>
        <v>8.2500000000000004E-2</v>
      </c>
      <c r="H8" s="198">
        <f t="shared" ref="H8:H32" si="5">ROUND($H$33*$B8,$H$7)</f>
        <v>0.82499999999999996</v>
      </c>
      <c r="I8" s="195">
        <f t="shared" ref="I8:I32" si="6">ROUND($I$33*$B8,$I$7)</f>
        <v>6.6000000000000003E-2</v>
      </c>
      <c r="J8" s="198">
        <f t="shared" ref="J8:J32" si="7">ROUND($J$33*$B8,$J$7)</f>
        <v>3.3000000000000002E-2</v>
      </c>
      <c r="K8" s="195">
        <f t="shared" ref="K8:K32" si="8">ROUND($K$33*$B8,$K$7)</f>
        <v>5.5E-2</v>
      </c>
      <c r="L8" s="198">
        <f t="shared" ref="L8:L32" si="9">ROUND($L$33*$B8,$L$7)</f>
        <v>2.75E-2</v>
      </c>
      <c r="M8" s="199">
        <f>ROUND($M$33*LOOKUP(-A8,$A$8:$A$58,$B$8:$B$58),0)</f>
        <v>180000</v>
      </c>
    </row>
    <row r="9" spans="1:13" ht="14.25">
      <c r="A9" s="161">
        <v>-24</v>
      </c>
      <c r="B9" s="162">
        <v>7.5000000000000002E-4</v>
      </c>
      <c r="C9" s="163">
        <f t="shared" si="0"/>
        <v>3.7499999999999999E-3</v>
      </c>
      <c r="D9" s="164">
        <f t="shared" si="1"/>
        <v>4.4999999999999998E-2</v>
      </c>
      <c r="E9" s="174" t="str">
        <f t="shared" si="2"/>
        <v>0' 0.045"</v>
      </c>
      <c r="F9" s="164">
        <f t="shared" si="3"/>
        <v>1.1299999999999999E-3</v>
      </c>
      <c r="G9" s="164">
        <f t="shared" si="4"/>
        <v>0.1125</v>
      </c>
      <c r="H9" s="166">
        <f t="shared" si="5"/>
        <v>1.125</v>
      </c>
      <c r="I9" s="163">
        <f t="shared" si="6"/>
        <v>0.09</v>
      </c>
      <c r="J9" s="166">
        <f t="shared" si="7"/>
        <v>4.4999999999999998E-2</v>
      </c>
      <c r="K9" s="163">
        <f t="shared" si="8"/>
        <v>7.4999999999999997E-2</v>
      </c>
      <c r="L9" s="166">
        <f t="shared" si="9"/>
        <v>3.7499999999999999E-2</v>
      </c>
      <c r="M9" s="200">
        <f>ROUND($M$33*LOOKUP(-A9,$A$8:$A$58,$B$8:$B$58),0)</f>
        <v>135000</v>
      </c>
    </row>
    <row r="10" spans="1:13" ht="14.25">
      <c r="A10" s="154">
        <v>-23</v>
      </c>
      <c r="B10" s="155">
        <v>1E-3</v>
      </c>
      <c r="C10" s="156">
        <f t="shared" si="0"/>
        <v>5.0000000000000001E-3</v>
      </c>
      <c r="D10" s="157">
        <f t="shared" si="1"/>
        <v>0.06</v>
      </c>
      <c r="E10" s="175" t="str">
        <f t="shared" si="2"/>
        <v>0' 0.06"</v>
      </c>
      <c r="F10" s="157">
        <f t="shared" si="3"/>
        <v>1.5E-3</v>
      </c>
      <c r="G10" s="157">
        <f t="shared" si="4"/>
        <v>0.15</v>
      </c>
      <c r="H10" s="159">
        <f t="shared" si="5"/>
        <v>1.5</v>
      </c>
      <c r="I10" s="156">
        <f t="shared" si="6"/>
        <v>0.12</v>
      </c>
      <c r="J10" s="159">
        <f t="shared" si="7"/>
        <v>0.06</v>
      </c>
      <c r="K10" s="156">
        <f t="shared" si="8"/>
        <v>0.1</v>
      </c>
      <c r="L10" s="159">
        <f t="shared" si="9"/>
        <v>0.05</v>
      </c>
      <c r="M10" s="199">
        <f t="shared" ref="M10:M58" si="10">ROUND($M$33*LOOKUP(-A10,$A$8:$A$58,$B$8:$B$58),0)</f>
        <v>100000</v>
      </c>
    </row>
    <row r="11" spans="1:13" ht="14.25">
      <c r="A11" s="161">
        <v>-22</v>
      </c>
      <c r="B11" s="162">
        <v>1.2999999999999999E-3</v>
      </c>
      <c r="C11" s="163">
        <f t="shared" si="0"/>
        <v>6.4999999999999997E-3</v>
      </c>
      <c r="D11" s="164">
        <f t="shared" si="1"/>
        <v>7.8E-2</v>
      </c>
      <c r="E11" s="174" t="str">
        <f t="shared" si="2"/>
        <v>0' 0.078"</v>
      </c>
      <c r="F11" s="164">
        <f t="shared" si="3"/>
        <v>1.9499999999999999E-3</v>
      </c>
      <c r="G11" s="164">
        <f t="shared" si="4"/>
        <v>0.19500000000000001</v>
      </c>
      <c r="H11" s="166">
        <f t="shared" si="5"/>
        <v>1.95</v>
      </c>
      <c r="I11" s="163">
        <f t="shared" si="6"/>
        <v>0.156</v>
      </c>
      <c r="J11" s="166">
        <f t="shared" si="7"/>
        <v>7.8E-2</v>
      </c>
      <c r="K11" s="163">
        <f t="shared" si="8"/>
        <v>0.13</v>
      </c>
      <c r="L11" s="166">
        <f t="shared" si="9"/>
        <v>6.5000000000000002E-2</v>
      </c>
      <c r="M11" s="200">
        <f t="shared" si="10"/>
        <v>75000</v>
      </c>
    </row>
    <row r="12" spans="1:13" ht="14.25">
      <c r="A12" s="154">
        <v>-21</v>
      </c>
      <c r="B12" s="155">
        <v>1.8E-3</v>
      </c>
      <c r="C12" s="156">
        <f t="shared" si="0"/>
        <v>8.9999999999999993E-3</v>
      </c>
      <c r="D12" s="157">
        <f t="shared" si="1"/>
        <v>0.108</v>
      </c>
      <c r="E12" s="175" t="str">
        <f t="shared" si="2"/>
        <v>0' 0.108"</v>
      </c>
      <c r="F12" s="157">
        <f t="shared" si="3"/>
        <v>2.7000000000000001E-3</v>
      </c>
      <c r="G12" s="157">
        <f t="shared" si="4"/>
        <v>0.27</v>
      </c>
      <c r="H12" s="159">
        <f t="shared" si="5"/>
        <v>2.7</v>
      </c>
      <c r="I12" s="156">
        <f t="shared" si="6"/>
        <v>0.216</v>
      </c>
      <c r="J12" s="159">
        <f t="shared" si="7"/>
        <v>0.108</v>
      </c>
      <c r="K12" s="156">
        <f t="shared" si="8"/>
        <v>0.18</v>
      </c>
      <c r="L12" s="159">
        <f t="shared" si="9"/>
        <v>0.09</v>
      </c>
      <c r="M12" s="199">
        <f t="shared" si="10"/>
        <v>55000</v>
      </c>
    </row>
    <row r="13" spans="1:13" ht="14.25">
      <c r="A13" s="161">
        <v>-20</v>
      </c>
      <c r="B13" s="162">
        <v>2.5000000000000001E-3</v>
      </c>
      <c r="C13" s="163">
        <f t="shared" si="0"/>
        <v>1.2500000000000001E-2</v>
      </c>
      <c r="D13" s="164">
        <f t="shared" si="1"/>
        <v>0.15</v>
      </c>
      <c r="E13" s="174" t="str">
        <f t="shared" si="2"/>
        <v>0' 0.15"</v>
      </c>
      <c r="F13" s="164">
        <f t="shared" si="3"/>
        <v>3.7499999999999999E-3</v>
      </c>
      <c r="G13" s="164">
        <f t="shared" si="4"/>
        <v>0.375</v>
      </c>
      <c r="H13" s="166">
        <f t="shared" si="5"/>
        <v>3.75</v>
      </c>
      <c r="I13" s="163">
        <f t="shared" si="6"/>
        <v>0.3</v>
      </c>
      <c r="J13" s="166">
        <f t="shared" si="7"/>
        <v>0.15</v>
      </c>
      <c r="K13" s="163">
        <f t="shared" si="8"/>
        <v>0.25</v>
      </c>
      <c r="L13" s="166">
        <f t="shared" si="9"/>
        <v>0.125</v>
      </c>
      <c r="M13" s="200">
        <f t="shared" si="10"/>
        <v>40000</v>
      </c>
    </row>
    <row r="14" spans="1:13" ht="14.25">
      <c r="A14" s="154">
        <v>-19</v>
      </c>
      <c r="B14" s="155">
        <v>3.3E-3</v>
      </c>
      <c r="C14" s="156">
        <f t="shared" si="0"/>
        <v>1.6500000000000001E-2</v>
      </c>
      <c r="D14" s="157">
        <f t="shared" si="1"/>
        <v>0.19800000000000001</v>
      </c>
      <c r="E14" s="175" t="str">
        <f t="shared" si="2"/>
        <v>0' 0.198"</v>
      </c>
      <c r="F14" s="157">
        <f t="shared" si="3"/>
        <v>4.9500000000000004E-3</v>
      </c>
      <c r="G14" s="157">
        <f t="shared" si="4"/>
        <v>0.495</v>
      </c>
      <c r="H14" s="159">
        <f t="shared" si="5"/>
        <v>4.95</v>
      </c>
      <c r="I14" s="156">
        <f t="shared" si="6"/>
        <v>0.39600000000000002</v>
      </c>
      <c r="J14" s="159">
        <f t="shared" si="7"/>
        <v>0.19800000000000001</v>
      </c>
      <c r="K14" s="156">
        <f t="shared" si="8"/>
        <v>0.33</v>
      </c>
      <c r="L14" s="159">
        <f t="shared" si="9"/>
        <v>0.16500000000000001</v>
      </c>
      <c r="M14" s="199">
        <f t="shared" si="10"/>
        <v>30000</v>
      </c>
    </row>
    <row r="15" spans="1:13" ht="14.25">
      <c r="A15" s="161">
        <v>-18</v>
      </c>
      <c r="B15" s="162">
        <v>4.4999999999999997E-3</v>
      </c>
      <c r="C15" s="163">
        <f t="shared" si="0"/>
        <v>2.2499999999999999E-2</v>
      </c>
      <c r="D15" s="164">
        <f t="shared" si="1"/>
        <v>0.27</v>
      </c>
      <c r="E15" s="174" t="str">
        <f t="shared" si="2"/>
        <v>0' 0.27"</v>
      </c>
      <c r="F15" s="164">
        <f t="shared" si="3"/>
        <v>6.7499999999999999E-3</v>
      </c>
      <c r="G15" s="164">
        <f t="shared" si="4"/>
        <v>0.67500000000000004</v>
      </c>
      <c r="H15" s="166">
        <f t="shared" si="5"/>
        <v>6.75</v>
      </c>
      <c r="I15" s="163">
        <f t="shared" si="6"/>
        <v>0.54</v>
      </c>
      <c r="J15" s="166">
        <f t="shared" si="7"/>
        <v>0.27</v>
      </c>
      <c r="K15" s="163">
        <f t="shared" si="8"/>
        <v>0.45</v>
      </c>
      <c r="L15" s="166">
        <f t="shared" si="9"/>
        <v>0.22500000000000001</v>
      </c>
      <c r="M15" s="200">
        <f t="shared" si="10"/>
        <v>22000</v>
      </c>
    </row>
    <row r="16" spans="1:13" ht="14.25">
      <c r="A16" s="154">
        <v>-17</v>
      </c>
      <c r="B16" s="155">
        <v>6.3E-3</v>
      </c>
      <c r="C16" s="156">
        <f t="shared" si="0"/>
        <v>3.15E-2</v>
      </c>
      <c r="D16" s="157">
        <f t="shared" si="1"/>
        <v>0.378</v>
      </c>
      <c r="E16" s="175" t="str">
        <f t="shared" si="2"/>
        <v>0' 0.378"</v>
      </c>
      <c r="F16" s="157">
        <f t="shared" si="3"/>
        <v>9.4500000000000001E-3</v>
      </c>
      <c r="G16" s="157">
        <f t="shared" si="4"/>
        <v>0.94499999999999995</v>
      </c>
      <c r="H16" s="159">
        <f t="shared" si="5"/>
        <v>9.4499999999999993</v>
      </c>
      <c r="I16" s="156">
        <f t="shared" si="6"/>
        <v>0.75600000000000001</v>
      </c>
      <c r="J16" s="159">
        <f t="shared" si="7"/>
        <v>0.378</v>
      </c>
      <c r="K16" s="156">
        <f t="shared" si="8"/>
        <v>0.63</v>
      </c>
      <c r="L16" s="159">
        <f t="shared" si="9"/>
        <v>0.315</v>
      </c>
      <c r="M16" s="199">
        <f t="shared" si="10"/>
        <v>16000</v>
      </c>
    </row>
    <row r="17" spans="1:13" ht="14.25">
      <c r="A17" s="161">
        <v>-16</v>
      </c>
      <c r="B17" s="162">
        <v>8.5000000000000006E-3</v>
      </c>
      <c r="C17" s="163">
        <f t="shared" si="0"/>
        <v>4.2500000000000003E-2</v>
      </c>
      <c r="D17" s="164">
        <f t="shared" si="1"/>
        <v>0.51</v>
      </c>
      <c r="E17" s="174" t="str">
        <f t="shared" si="2"/>
        <v>0' 0.51"</v>
      </c>
      <c r="F17" s="164">
        <f t="shared" si="3"/>
        <v>1.2749999999999999E-2</v>
      </c>
      <c r="G17" s="164">
        <f t="shared" si="4"/>
        <v>1.2749999999999999</v>
      </c>
      <c r="H17" s="166">
        <f t="shared" si="5"/>
        <v>12.75</v>
      </c>
      <c r="I17" s="163">
        <f t="shared" si="6"/>
        <v>1.02</v>
      </c>
      <c r="J17" s="166">
        <f t="shared" si="7"/>
        <v>0.51</v>
      </c>
      <c r="K17" s="163">
        <f t="shared" si="8"/>
        <v>0.85</v>
      </c>
      <c r="L17" s="166">
        <f t="shared" si="9"/>
        <v>0.42499999999999999</v>
      </c>
      <c r="M17" s="200">
        <f t="shared" si="10"/>
        <v>12000</v>
      </c>
    </row>
    <row r="18" spans="1:13" ht="14.25">
      <c r="A18" s="154">
        <v>-15</v>
      </c>
      <c r="B18" s="155">
        <v>1.0999999999999999E-2</v>
      </c>
      <c r="C18" s="156">
        <f t="shared" si="0"/>
        <v>5.5E-2</v>
      </c>
      <c r="D18" s="157">
        <f t="shared" si="1"/>
        <v>0.66</v>
      </c>
      <c r="E18" s="175" t="str">
        <f t="shared" si="2"/>
        <v>0' 0.66"</v>
      </c>
      <c r="F18" s="157">
        <f t="shared" si="3"/>
        <v>1.6500000000000001E-2</v>
      </c>
      <c r="G18" s="157">
        <f t="shared" si="4"/>
        <v>1.65</v>
      </c>
      <c r="H18" s="159">
        <f t="shared" si="5"/>
        <v>16.5</v>
      </c>
      <c r="I18" s="156">
        <f t="shared" si="6"/>
        <v>1.32</v>
      </c>
      <c r="J18" s="159">
        <f t="shared" si="7"/>
        <v>0.66</v>
      </c>
      <c r="K18" s="156">
        <f t="shared" si="8"/>
        <v>1.1000000000000001</v>
      </c>
      <c r="L18" s="159">
        <f t="shared" si="9"/>
        <v>0.55000000000000004</v>
      </c>
      <c r="M18" s="199">
        <f t="shared" si="10"/>
        <v>9000</v>
      </c>
    </row>
    <row r="19" spans="1:13" ht="14.25">
      <c r="A19" s="161">
        <v>-14</v>
      </c>
      <c r="B19" s="162">
        <v>1.4999999999999999E-2</v>
      </c>
      <c r="C19" s="163">
        <f t="shared" si="0"/>
        <v>7.4999999999999997E-2</v>
      </c>
      <c r="D19" s="164">
        <f t="shared" si="1"/>
        <v>0.9</v>
      </c>
      <c r="E19" s="174" t="str">
        <f t="shared" si="2"/>
        <v>0' 0.9"</v>
      </c>
      <c r="F19" s="164">
        <f t="shared" si="3"/>
        <v>2.2499999999999999E-2</v>
      </c>
      <c r="G19" s="164">
        <f t="shared" si="4"/>
        <v>2.25</v>
      </c>
      <c r="H19" s="166">
        <f t="shared" si="5"/>
        <v>22.5</v>
      </c>
      <c r="I19" s="163">
        <f t="shared" si="6"/>
        <v>1.8</v>
      </c>
      <c r="J19" s="166">
        <f t="shared" si="7"/>
        <v>0.9</v>
      </c>
      <c r="K19" s="163">
        <f t="shared" si="8"/>
        <v>1.5</v>
      </c>
      <c r="L19" s="166">
        <f t="shared" si="9"/>
        <v>0.75</v>
      </c>
      <c r="M19" s="200">
        <f t="shared" si="10"/>
        <v>6500</v>
      </c>
    </row>
    <row r="20" spans="1:13" ht="14.25">
      <c r="A20" s="154">
        <v>-13</v>
      </c>
      <c r="B20" s="155">
        <v>0.02</v>
      </c>
      <c r="C20" s="156">
        <f t="shared" si="0"/>
        <v>0.1</v>
      </c>
      <c r="D20" s="157">
        <f t="shared" si="1"/>
        <v>1.2</v>
      </c>
      <c r="E20" s="175" t="str">
        <f t="shared" si="2"/>
        <v>0' 1.2"</v>
      </c>
      <c r="F20" s="157">
        <f t="shared" si="3"/>
        <v>0.03</v>
      </c>
      <c r="G20" s="157">
        <f t="shared" si="4"/>
        <v>3</v>
      </c>
      <c r="H20" s="159">
        <f t="shared" si="5"/>
        <v>30</v>
      </c>
      <c r="I20" s="156">
        <f t="shared" si="6"/>
        <v>2.4</v>
      </c>
      <c r="J20" s="159">
        <f t="shared" si="7"/>
        <v>1.2</v>
      </c>
      <c r="K20" s="156">
        <f t="shared" si="8"/>
        <v>2</v>
      </c>
      <c r="L20" s="159">
        <f t="shared" si="9"/>
        <v>1</v>
      </c>
      <c r="M20" s="199">
        <f t="shared" si="10"/>
        <v>5000</v>
      </c>
    </row>
    <row r="21" spans="1:13" ht="14.25">
      <c r="A21" s="161">
        <v>-12</v>
      </c>
      <c r="B21" s="162">
        <v>0.03</v>
      </c>
      <c r="C21" s="163">
        <f t="shared" si="0"/>
        <v>0.15</v>
      </c>
      <c r="D21" s="164">
        <f t="shared" si="1"/>
        <v>1.8</v>
      </c>
      <c r="E21" s="174" t="str">
        <f t="shared" si="2"/>
        <v>0' 1.8"</v>
      </c>
      <c r="F21" s="164">
        <f t="shared" si="3"/>
        <v>4.4999999999999998E-2</v>
      </c>
      <c r="G21" s="164">
        <f t="shared" si="4"/>
        <v>4.5</v>
      </c>
      <c r="H21" s="166">
        <f t="shared" si="5"/>
        <v>45</v>
      </c>
      <c r="I21" s="163">
        <f t="shared" si="6"/>
        <v>3.6</v>
      </c>
      <c r="J21" s="166">
        <f t="shared" si="7"/>
        <v>1.8</v>
      </c>
      <c r="K21" s="163">
        <f t="shared" si="8"/>
        <v>3</v>
      </c>
      <c r="L21" s="166">
        <f t="shared" si="9"/>
        <v>1.5</v>
      </c>
      <c r="M21" s="200">
        <f t="shared" si="10"/>
        <v>3500</v>
      </c>
    </row>
    <row r="22" spans="1:13" ht="14.25">
      <c r="A22" s="154">
        <v>-11</v>
      </c>
      <c r="B22" s="155">
        <v>0.04</v>
      </c>
      <c r="C22" s="156">
        <f t="shared" si="0"/>
        <v>0.2</v>
      </c>
      <c r="D22" s="157">
        <f t="shared" si="1"/>
        <v>2.4</v>
      </c>
      <c r="E22" s="175" t="str">
        <f t="shared" si="2"/>
        <v>0' 2.4"</v>
      </c>
      <c r="F22" s="157">
        <f t="shared" si="3"/>
        <v>0.06</v>
      </c>
      <c r="G22" s="157">
        <f t="shared" si="4"/>
        <v>6</v>
      </c>
      <c r="H22" s="159">
        <f t="shared" si="5"/>
        <v>60</v>
      </c>
      <c r="I22" s="156">
        <f t="shared" si="6"/>
        <v>4.8</v>
      </c>
      <c r="J22" s="159">
        <f t="shared" si="7"/>
        <v>2.4</v>
      </c>
      <c r="K22" s="156">
        <f t="shared" si="8"/>
        <v>4</v>
      </c>
      <c r="L22" s="159">
        <f t="shared" si="9"/>
        <v>2</v>
      </c>
      <c r="M22" s="199">
        <f t="shared" si="10"/>
        <v>2500</v>
      </c>
    </row>
    <row r="23" spans="1:13" ht="14.25">
      <c r="A23" s="161">
        <v>-10</v>
      </c>
      <c r="B23" s="162">
        <v>0.05</v>
      </c>
      <c r="C23" s="163">
        <f t="shared" si="0"/>
        <v>0.25</v>
      </c>
      <c r="D23" s="164">
        <f t="shared" si="1"/>
        <v>3</v>
      </c>
      <c r="E23" s="174" t="str">
        <f t="shared" si="2"/>
        <v>0' 3"</v>
      </c>
      <c r="F23" s="164">
        <f t="shared" si="3"/>
        <v>7.4999999999999997E-2</v>
      </c>
      <c r="G23" s="164">
        <f t="shared" si="4"/>
        <v>7.5</v>
      </c>
      <c r="H23" s="166">
        <f t="shared" si="5"/>
        <v>75</v>
      </c>
      <c r="I23" s="163">
        <f t="shared" si="6"/>
        <v>6</v>
      </c>
      <c r="J23" s="166">
        <f t="shared" si="7"/>
        <v>3</v>
      </c>
      <c r="K23" s="163">
        <f t="shared" si="8"/>
        <v>5</v>
      </c>
      <c r="L23" s="166">
        <f t="shared" si="9"/>
        <v>2.5</v>
      </c>
      <c r="M23" s="200">
        <f t="shared" si="10"/>
        <v>2000</v>
      </c>
    </row>
    <row r="24" spans="1:13" ht="14.25">
      <c r="A24" s="154">
        <v>-9</v>
      </c>
      <c r="B24" s="155">
        <v>6.7000000000000004E-2</v>
      </c>
      <c r="C24" s="156">
        <f t="shared" si="0"/>
        <v>0.33500000000000002</v>
      </c>
      <c r="D24" s="157">
        <f t="shared" si="1"/>
        <v>4.0199999999999996</v>
      </c>
      <c r="E24" s="175" t="str">
        <f t="shared" si="2"/>
        <v>0' 4.02"</v>
      </c>
      <c r="F24" s="157">
        <f t="shared" si="3"/>
        <v>0.10050000000000001</v>
      </c>
      <c r="G24" s="157">
        <f t="shared" si="4"/>
        <v>10.050000000000001</v>
      </c>
      <c r="H24" s="159">
        <f t="shared" si="5"/>
        <v>100.5</v>
      </c>
      <c r="I24" s="156">
        <f t="shared" si="6"/>
        <v>8.0399999999999991</v>
      </c>
      <c r="J24" s="159">
        <f t="shared" si="7"/>
        <v>4.0199999999999996</v>
      </c>
      <c r="K24" s="156">
        <f t="shared" si="8"/>
        <v>6.7</v>
      </c>
      <c r="L24" s="159">
        <f t="shared" si="9"/>
        <v>3.35</v>
      </c>
      <c r="M24" s="199">
        <f t="shared" si="10"/>
        <v>1500</v>
      </c>
    </row>
    <row r="25" spans="1:13" ht="14.25">
      <c r="A25" s="161">
        <v>-8</v>
      </c>
      <c r="B25" s="162">
        <v>0.09</v>
      </c>
      <c r="C25" s="163">
        <f t="shared" si="0"/>
        <v>0.45</v>
      </c>
      <c r="D25" s="164">
        <f t="shared" si="1"/>
        <v>5.4</v>
      </c>
      <c r="E25" s="174" t="str">
        <f t="shared" si="2"/>
        <v>0' 5.4"</v>
      </c>
      <c r="F25" s="164">
        <f t="shared" si="3"/>
        <v>0.13500000000000001</v>
      </c>
      <c r="G25" s="164">
        <f t="shared" si="4"/>
        <v>13.5</v>
      </c>
      <c r="H25" s="166">
        <f t="shared" si="5"/>
        <v>135</v>
      </c>
      <c r="I25" s="163">
        <f t="shared" si="6"/>
        <v>10.8</v>
      </c>
      <c r="J25" s="166">
        <f t="shared" si="7"/>
        <v>5.4</v>
      </c>
      <c r="K25" s="163">
        <f t="shared" si="8"/>
        <v>9</v>
      </c>
      <c r="L25" s="166">
        <f t="shared" si="9"/>
        <v>4.5</v>
      </c>
      <c r="M25" s="200">
        <f t="shared" si="10"/>
        <v>1100</v>
      </c>
    </row>
    <row r="26" spans="1:13" ht="14.25">
      <c r="A26" s="154">
        <v>-7</v>
      </c>
      <c r="B26" s="155">
        <v>0.125</v>
      </c>
      <c r="C26" s="156">
        <f t="shared" si="0"/>
        <v>0.625</v>
      </c>
      <c r="D26" s="157">
        <f t="shared" si="1"/>
        <v>7.5</v>
      </c>
      <c r="E26" s="175" t="str">
        <f t="shared" si="2"/>
        <v>0' 7.5"</v>
      </c>
      <c r="F26" s="157">
        <f t="shared" si="3"/>
        <v>0.1875</v>
      </c>
      <c r="G26" s="157">
        <f t="shared" si="4"/>
        <v>18.75</v>
      </c>
      <c r="H26" s="159">
        <f t="shared" si="5"/>
        <v>187.5</v>
      </c>
      <c r="I26" s="156">
        <f t="shared" si="6"/>
        <v>15</v>
      </c>
      <c r="J26" s="159">
        <f t="shared" si="7"/>
        <v>7.5</v>
      </c>
      <c r="K26" s="156">
        <f t="shared" si="8"/>
        <v>12.5</v>
      </c>
      <c r="L26" s="159">
        <f t="shared" si="9"/>
        <v>6.25</v>
      </c>
      <c r="M26" s="199">
        <f t="shared" si="10"/>
        <v>800</v>
      </c>
    </row>
    <row r="27" spans="1:13" ht="14.25">
      <c r="A27" s="161">
        <v>-6</v>
      </c>
      <c r="B27" s="162">
        <v>0.16</v>
      </c>
      <c r="C27" s="163">
        <f t="shared" si="0"/>
        <v>0.8</v>
      </c>
      <c r="D27" s="164">
        <f t="shared" si="1"/>
        <v>9.6</v>
      </c>
      <c r="E27" s="174" t="str">
        <f t="shared" si="2"/>
        <v>0' 9.6"</v>
      </c>
      <c r="F27" s="164">
        <f t="shared" si="3"/>
        <v>0.24</v>
      </c>
      <c r="G27" s="164">
        <f t="shared" si="4"/>
        <v>24</v>
      </c>
      <c r="H27" s="166">
        <f t="shared" si="5"/>
        <v>240</v>
      </c>
      <c r="I27" s="163">
        <f t="shared" si="6"/>
        <v>19.2</v>
      </c>
      <c r="J27" s="166">
        <f t="shared" si="7"/>
        <v>9.6</v>
      </c>
      <c r="K27" s="163">
        <f t="shared" si="8"/>
        <v>16</v>
      </c>
      <c r="L27" s="166">
        <f t="shared" si="9"/>
        <v>8</v>
      </c>
      <c r="M27" s="200">
        <f t="shared" si="10"/>
        <v>600</v>
      </c>
    </row>
    <row r="28" spans="1:13" ht="14.25">
      <c r="A28" s="154">
        <v>-5</v>
      </c>
      <c r="B28" s="155">
        <v>0.22</v>
      </c>
      <c r="C28" s="156">
        <f t="shared" si="0"/>
        <v>1.1000000000000001</v>
      </c>
      <c r="D28" s="157">
        <f t="shared" si="1"/>
        <v>13.2</v>
      </c>
      <c r="E28" s="175" t="str">
        <f t="shared" si="2"/>
        <v>1' 1.2"</v>
      </c>
      <c r="F28" s="157">
        <f t="shared" si="3"/>
        <v>0.33</v>
      </c>
      <c r="G28" s="157">
        <f t="shared" si="4"/>
        <v>33</v>
      </c>
      <c r="H28" s="159">
        <f t="shared" si="5"/>
        <v>330</v>
      </c>
      <c r="I28" s="156">
        <f t="shared" si="6"/>
        <v>26.4</v>
      </c>
      <c r="J28" s="159">
        <f t="shared" si="7"/>
        <v>13.2</v>
      </c>
      <c r="K28" s="156">
        <f t="shared" si="8"/>
        <v>22</v>
      </c>
      <c r="L28" s="159">
        <f t="shared" si="9"/>
        <v>11</v>
      </c>
      <c r="M28" s="199">
        <f t="shared" si="10"/>
        <v>450</v>
      </c>
    </row>
    <row r="29" spans="1:13" ht="14.25">
      <c r="A29" s="161">
        <v>-4</v>
      </c>
      <c r="B29" s="162">
        <v>0.3</v>
      </c>
      <c r="C29" s="163">
        <f t="shared" si="0"/>
        <v>1.5</v>
      </c>
      <c r="D29" s="164">
        <f t="shared" si="1"/>
        <v>18</v>
      </c>
      <c r="E29" s="174" t="str">
        <f t="shared" si="2"/>
        <v>1' 6"</v>
      </c>
      <c r="F29" s="164">
        <f t="shared" si="3"/>
        <v>0.45</v>
      </c>
      <c r="G29" s="164">
        <f t="shared" si="4"/>
        <v>45</v>
      </c>
      <c r="H29" s="166">
        <f t="shared" si="5"/>
        <v>450</v>
      </c>
      <c r="I29" s="163">
        <f t="shared" si="6"/>
        <v>36</v>
      </c>
      <c r="J29" s="166">
        <f t="shared" si="7"/>
        <v>18</v>
      </c>
      <c r="K29" s="163">
        <f t="shared" si="8"/>
        <v>30</v>
      </c>
      <c r="L29" s="166">
        <f t="shared" si="9"/>
        <v>15</v>
      </c>
      <c r="M29" s="200">
        <f t="shared" si="10"/>
        <v>330</v>
      </c>
    </row>
    <row r="30" spans="1:13" ht="14.25">
      <c r="A30" s="154">
        <v>-3</v>
      </c>
      <c r="B30" s="155">
        <v>0.4</v>
      </c>
      <c r="C30" s="156">
        <f t="shared" si="0"/>
        <v>2</v>
      </c>
      <c r="D30" s="157">
        <f t="shared" si="1"/>
        <v>24</v>
      </c>
      <c r="E30" s="175" t="str">
        <f t="shared" si="2"/>
        <v>2' 0"</v>
      </c>
      <c r="F30" s="157">
        <f t="shared" si="3"/>
        <v>0.6</v>
      </c>
      <c r="G30" s="157">
        <f t="shared" si="4"/>
        <v>60</v>
      </c>
      <c r="H30" s="159">
        <f t="shared" si="5"/>
        <v>600</v>
      </c>
      <c r="I30" s="156">
        <f t="shared" si="6"/>
        <v>48</v>
      </c>
      <c r="J30" s="159">
        <f t="shared" si="7"/>
        <v>24</v>
      </c>
      <c r="K30" s="156">
        <f t="shared" si="8"/>
        <v>40</v>
      </c>
      <c r="L30" s="159">
        <f t="shared" si="9"/>
        <v>20</v>
      </c>
      <c r="M30" s="199">
        <f t="shared" si="10"/>
        <v>250</v>
      </c>
    </row>
    <row r="31" spans="1:13" ht="14.25">
      <c r="A31" s="161">
        <v>-2</v>
      </c>
      <c r="B31" s="162">
        <v>0.55000000000000004</v>
      </c>
      <c r="C31" s="163">
        <f t="shared" si="0"/>
        <v>2.75</v>
      </c>
      <c r="D31" s="164">
        <f t="shared" si="1"/>
        <v>33</v>
      </c>
      <c r="E31" s="174" t="str">
        <f t="shared" si="2"/>
        <v>2' 9"</v>
      </c>
      <c r="F31" s="164">
        <f t="shared" si="3"/>
        <v>0.82499999999999996</v>
      </c>
      <c r="G31" s="164">
        <f t="shared" si="4"/>
        <v>82.5</v>
      </c>
      <c r="H31" s="166">
        <f t="shared" si="5"/>
        <v>825</v>
      </c>
      <c r="I31" s="163">
        <f t="shared" si="6"/>
        <v>66</v>
      </c>
      <c r="J31" s="166">
        <f t="shared" si="7"/>
        <v>33</v>
      </c>
      <c r="K31" s="163">
        <f t="shared" si="8"/>
        <v>55</v>
      </c>
      <c r="L31" s="166">
        <f t="shared" si="9"/>
        <v>27.5</v>
      </c>
      <c r="M31" s="200">
        <f t="shared" si="10"/>
        <v>180</v>
      </c>
    </row>
    <row r="32" spans="1:13" ht="15" thickBot="1">
      <c r="A32" s="206">
        <v>-1</v>
      </c>
      <c r="B32" s="207">
        <v>0.75</v>
      </c>
      <c r="C32" s="208">
        <f t="shared" si="0"/>
        <v>3.75</v>
      </c>
      <c r="D32" s="209">
        <f t="shared" si="1"/>
        <v>45</v>
      </c>
      <c r="E32" s="210" t="str">
        <f t="shared" si="2"/>
        <v>3' 9"</v>
      </c>
      <c r="F32" s="209">
        <f t="shared" si="3"/>
        <v>1.125</v>
      </c>
      <c r="G32" s="209">
        <f t="shared" si="4"/>
        <v>112.5</v>
      </c>
      <c r="H32" s="211">
        <f t="shared" si="5"/>
        <v>1125</v>
      </c>
      <c r="I32" s="208">
        <f t="shared" si="6"/>
        <v>90</v>
      </c>
      <c r="J32" s="211">
        <f t="shared" si="7"/>
        <v>45</v>
      </c>
      <c r="K32" s="208">
        <f t="shared" si="8"/>
        <v>75</v>
      </c>
      <c r="L32" s="211">
        <f t="shared" si="9"/>
        <v>37.5</v>
      </c>
      <c r="M32" s="199">
        <f t="shared" si="10"/>
        <v>135</v>
      </c>
    </row>
    <row r="33" spans="1:13" ht="16.5" thickTop="1" thickBot="1">
      <c r="A33" s="79">
        <v>0</v>
      </c>
      <c r="B33" s="80">
        <v>1</v>
      </c>
      <c r="C33" s="95">
        <v>5</v>
      </c>
      <c r="D33" s="96">
        <f>ROUND($C33*12,$D$7)</f>
        <v>60</v>
      </c>
      <c r="E33" s="81" t="str">
        <f t="shared" si="2"/>
        <v>5' 0"</v>
      </c>
      <c r="F33" s="95">
        <v>1.5</v>
      </c>
      <c r="G33" s="96">
        <f>ROUND($F$33*100,$G$7)</f>
        <v>150</v>
      </c>
      <c r="H33" s="80">
        <f>ROUND($F$33*1000,$H$7)</f>
        <v>1500</v>
      </c>
      <c r="I33" s="95">
        <v>120</v>
      </c>
      <c r="J33" s="95">
        <v>60</v>
      </c>
      <c r="K33" s="95">
        <v>100</v>
      </c>
      <c r="L33" s="95">
        <v>50</v>
      </c>
      <c r="M33" s="95">
        <v>100</v>
      </c>
    </row>
    <row r="34" spans="1:13" ht="15" thickTop="1">
      <c r="A34" s="193">
        <v>1</v>
      </c>
      <c r="B34" s="194">
        <v>1.35</v>
      </c>
      <c r="C34" s="195">
        <f t="shared" ref="C34:C58" si="11">$C$33*$B34</f>
        <v>6.75</v>
      </c>
      <c r="D34" s="196">
        <f t="shared" ref="D34:D58" si="12">$D$33*$B34</f>
        <v>81</v>
      </c>
      <c r="E34" s="197" t="str">
        <f t="shared" si="2"/>
        <v>6' 9"</v>
      </c>
      <c r="F34" s="196">
        <f t="shared" ref="F34:F58" si="13">ROUND($F$33*$B34,$F$7)</f>
        <v>2.0249999999999999</v>
      </c>
      <c r="G34" s="196">
        <f t="shared" ref="G34:G58" si="14">ROUND($G$33*$B34,$G$7)</f>
        <v>202.5</v>
      </c>
      <c r="H34" s="198">
        <f t="shared" ref="H34:H58" si="15">ROUND($H$33*$B34,$H$7)</f>
        <v>2025</v>
      </c>
      <c r="I34" s="195">
        <f t="shared" ref="I34:I58" si="16">ROUND($I$33*$B34,$I$7)</f>
        <v>162</v>
      </c>
      <c r="J34" s="198">
        <f t="shared" ref="J34:J58" si="17">ROUND($J$33*$B34,$J$7)</f>
        <v>81</v>
      </c>
      <c r="K34" s="195">
        <f t="shared" ref="K34:K58" si="18">ROUND($K$33*$B34,$K$7)</f>
        <v>135</v>
      </c>
      <c r="L34" s="198">
        <f t="shared" ref="L34:L58" si="19">ROUND($L$33*$B34,$L$7)</f>
        <v>67.5</v>
      </c>
      <c r="M34" s="199">
        <f t="shared" si="10"/>
        <v>75</v>
      </c>
    </row>
    <row r="35" spans="1:13" ht="14.25">
      <c r="A35" s="161">
        <v>2</v>
      </c>
      <c r="B35" s="162">
        <v>1.8</v>
      </c>
      <c r="C35" s="163">
        <f t="shared" si="11"/>
        <v>9</v>
      </c>
      <c r="D35" s="164">
        <f t="shared" si="12"/>
        <v>108</v>
      </c>
      <c r="E35" s="174" t="str">
        <f t="shared" si="2"/>
        <v>9' 0"</v>
      </c>
      <c r="F35" s="164">
        <f t="shared" si="13"/>
        <v>2.7</v>
      </c>
      <c r="G35" s="164">
        <f t="shared" si="14"/>
        <v>270</v>
      </c>
      <c r="H35" s="166">
        <f t="shared" si="15"/>
        <v>2700</v>
      </c>
      <c r="I35" s="163">
        <f t="shared" si="16"/>
        <v>216</v>
      </c>
      <c r="J35" s="166">
        <f t="shared" si="17"/>
        <v>108</v>
      </c>
      <c r="K35" s="163">
        <f t="shared" si="18"/>
        <v>180</v>
      </c>
      <c r="L35" s="166">
        <f t="shared" si="19"/>
        <v>90</v>
      </c>
      <c r="M35" s="200">
        <f t="shared" si="10"/>
        <v>55</v>
      </c>
    </row>
    <row r="36" spans="1:13" ht="14.25">
      <c r="A36" s="154">
        <v>3</v>
      </c>
      <c r="B36" s="155">
        <v>2.5</v>
      </c>
      <c r="C36" s="156">
        <f t="shared" si="11"/>
        <v>12.5</v>
      </c>
      <c r="D36" s="157">
        <f t="shared" si="12"/>
        <v>150</v>
      </c>
      <c r="E36" s="175" t="str">
        <f t="shared" si="2"/>
        <v>12' 6"</v>
      </c>
      <c r="F36" s="157">
        <f t="shared" si="13"/>
        <v>3.75</v>
      </c>
      <c r="G36" s="157">
        <f t="shared" si="14"/>
        <v>375</v>
      </c>
      <c r="H36" s="159">
        <f t="shared" si="15"/>
        <v>3750</v>
      </c>
      <c r="I36" s="156">
        <f t="shared" si="16"/>
        <v>300</v>
      </c>
      <c r="J36" s="159">
        <f t="shared" si="17"/>
        <v>150</v>
      </c>
      <c r="K36" s="156">
        <f t="shared" si="18"/>
        <v>250</v>
      </c>
      <c r="L36" s="159">
        <f t="shared" si="19"/>
        <v>125</v>
      </c>
      <c r="M36" s="199">
        <f t="shared" si="10"/>
        <v>40</v>
      </c>
    </row>
    <row r="37" spans="1:13" ht="14.25">
      <c r="A37" s="161">
        <v>4</v>
      </c>
      <c r="B37" s="162">
        <v>3.3</v>
      </c>
      <c r="C37" s="163">
        <f t="shared" si="11"/>
        <v>16.5</v>
      </c>
      <c r="D37" s="164">
        <f t="shared" si="12"/>
        <v>198</v>
      </c>
      <c r="E37" s="174" t="str">
        <f t="shared" si="2"/>
        <v>16' 6"</v>
      </c>
      <c r="F37" s="164">
        <f t="shared" si="13"/>
        <v>4.95</v>
      </c>
      <c r="G37" s="164">
        <f t="shared" si="14"/>
        <v>495</v>
      </c>
      <c r="H37" s="166">
        <f t="shared" si="15"/>
        <v>4950</v>
      </c>
      <c r="I37" s="163">
        <f t="shared" si="16"/>
        <v>396</v>
      </c>
      <c r="J37" s="166">
        <f t="shared" si="17"/>
        <v>198</v>
      </c>
      <c r="K37" s="163">
        <f t="shared" si="18"/>
        <v>330</v>
      </c>
      <c r="L37" s="166">
        <f t="shared" si="19"/>
        <v>165</v>
      </c>
      <c r="M37" s="200">
        <f t="shared" si="10"/>
        <v>30</v>
      </c>
    </row>
    <row r="38" spans="1:13" ht="14.25">
      <c r="A38" s="154">
        <v>5</v>
      </c>
      <c r="B38" s="155">
        <v>4.5</v>
      </c>
      <c r="C38" s="156">
        <f t="shared" si="11"/>
        <v>22.5</v>
      </c>
      <c r="D38" s="157">
        <f t="shared" si="12"/>
        <v>270</v>
      </c>
      <c r="E38" s="175" t="str">
        <f t="shared" si="2"/>
        <v>22' 6"</v>
      </c>
      <c r="F38" s="157">
        <f t="shared" si="13"/>
        <v>6.75</v>
      </c>
      <c r="G38" s="157">
        <f t="shared" si="14"/>
        <v>675</v>
      </c>
      <c r="H38" s="159">
        <f t="shared" si="15"/>
        <v>6750</v>
      </c>
      <c r="I38" s="156">
        <f t="shared" si="16"/>
        <v>540</v>
      </c>
      <c r="J38" s="159">
        <f t="shared" si="17"/>
        <v>270</v>
      </c>
      <c r="K38" s="156">
        <f t="shared" si="18"/>
        <v>450</v>
      </c>
      <c r="L38" s="159">
        <f t="shared" si="19"/>
        <v>225</v>
      </c>
      <c r="M38" s="199">
        <f t="shared" si="10"/>
        <v>22</v>
      </c>
    </row>
    <row r="39" spans="1:13" ht="14.25">
      <c r="A39" s="161">
        <v>6</v>
      </c>
      <c r="B39" s="166">
        <v>6</v>
      </c>
      <c r="C39" s="163">
        <f t="shared" si="11"/>
        <v>30</v>
      </c>
      <c r="D39" s="164">
        <f t="shared" si="12"/>
        <v>360</v>
      </c>
      <c r="E39" s="174" t="str">
        <f t="shared" si="2"/>
        <v>30' 0"</v>
      </c>
      <c r="F39" s="164">
        <f t="shared" si="13"/>
        <v>9</v>
      </c>
      <c r="G39" s="164">
        <f t="shared" si="14"/>
        <v>900</v>
      </c>
      <c r="H39" s="166">
        <f t="shared" si="15"/>
        <v>9000</v>
      </c>
      <c r="I39" s="163">
        <f t="shared" si="16"/>
        <v>720</v>
      </c>
      <c r="J39" s="166">
        <f t="shared" si="17"/>
        <v>360</v>
      </c>
      <c r="K39" s="163">
        <f t="shared" si="18"/>
        <v>600</v>
      </c>
      <c r="L39" s="166">
        <f t="shared" si="19"/>
        <v>300</v>
      </c>
      <c r="M39" s="200">
        <f t="shared" si="10"/>
        <v>16</v>
      </c>
    </row>
    <row r="40" spans="1:13" ht="14.25">
      <c r="A40" s="154">
        <v>7</v>
      </c>
      <c r="B40" s="159">
        <v>8</v>
      </c>
      <c r="C40" s="156">
        <f t="shared" si="11"/>
        <v>40</v>
      </c>
      <c r="D40" s="157">
        <f t="shared" si="12"/>
        <v>480</v>
      </c>
      <c r="E40" s="175" t="str">
        <f t="shared" ref="E40:E58" si="20">TRUNC($C40)&amp;"' "&amp;ROUND(MOD($D40,12),$E$7)&amp;""""</f>
        <v>40' 0"</v>
      </c>
      <c r="F40" s="157">
        <f t="shared" si="13"/>
        <v>12</v>
      </c>
      <c r="G40" s="157">
        <f t="shared" si="14"/>
        <v>1200</v>
      </c>
      <c r="H40" s="159">
        <f t="shared" si="15"/>
        <v>12000</v>
      </c>
      <c r="I40" s="156">
        <f t="shared" si="16"/>
        <v>960</v>
      </c>
      <c r="J40" s="159">
        <f t="shared" si="17"/>
        <v>480</v>
      </c>
      <c r="K40" s="156">
        <f t="shared" si="18"/>
        <v>800</v>
      </c>
      <c r="L40" s="159">
        <f t="shared" si="19"/>
        <v>400</v>
      </c>
      <c r="M40" s="199">
        <f t="shared" si="10"/>
        <v>13</v>
      </c>
    </row>
    <row r="41" spans="1:13" ht="14.25">
      <c r="A41" s="161">
        <v>8</v>
      </c>
      <c r="B41" s="166">
        <v>11</v>
      </c>
      <c r="C41" s="163">
        <f t="shared" si="11"/>
        <v>55</v>
      </c>
      <c r="D41" s="164">
        <f t="shared" si="12"/>
        <v>660</v>
      </c>
      <c r="E41" s="174" t="str">
        <f t="shared" si="20"/>
        <v>55' 0"</v>
      </c>
      <c r="F41" s="164">
        <f t="shared" si="13"/>
        <v>16.5</v>
      </c>
      <c r="G41" s="164">
        <f t="shared" si="14"/>
        <v>1650</v>
      </c>
      <c r="H41" s="166">
        <f t="shared" si="15"/>
        <v>16500</v>
      </c>
      <c r="I41" s="163">
        <f t="shared" si="16"/>
        <v>1320</v>
      </c>
      <c r="J41" s="166">
        <f t="shared" si="17"/>
        <v>660</v>
      </c>
      <c r="K41" s="163">
        <f t="shared" si="18"/>
        <v>1100</v>
      </c>
      <c r="L41" s="166">
        <f t="shared" si="19"/>
        <v>550</v>
      </c>
      <c r="M41" s="200">
        <f t="shared" si="10"/>
        <v>9</v>
      </c>
    </row>
    <row r="42" spans="1:13" ht="14.25">
      <c r="A42" s="154">
        <v>9</v>
      </c>
      <c r="B42" s="159">
        <v>15</v>
      </c>
      <c r="C42" s="156">
        <f t="shared" si="11"/>
        <v>75</v>
      </c>
      <c r="D42" s="157">
        <f t="shared" si="12"/>
        <v>900</v>
      </c>
      <c r="E42" s="175" t="str">
        <f t="shared" si="20"/>
        <v>75' 0"</v>
      </c>
      <c r="F42" s="157">
        <f t="shared" si="13"/>
        <v>22.5</v>
      </c>
      <c r="G42" s="157">
        <f t="shared" si="14"/>
        <v>2250</v>
      </c>
      <c r="H42" s="159">
        <f t="shared" si="15"/>
        <v>22500</v>
      </c>
      <c r="I42" s="156">
        <f t="shared" si="16"/>
        <v>1800</v>
      </c>
      <c r="J42" s="159">
        <f t="shared" si="17"/>
        <v>900</v>
      </c>
      <c r="K42" s="156">
        <f t="shared" si="18"/>
        <v>1500</v>
      </c>
      <c r="L42" s="159">
        <f t="shared" si="19"/>
        <v>750</v>
      </c>
      <c r="M42" s="199">
        <f t="shared" si="10"/>
        <v>7</v>
      </c>
    </row>
    <row r="43" spans="1:13" ht="14.25">
      <c r="A43" s="161">
        <v>10</v>
      </c>
      <c r="B43" s="166">
        <v>20</v>
      </c>
      <c r="C43" s="163">
        <f t="shared" si="11"/>
        <v>100</v>
      </c>
      <c r="D43" s="164">
        <f t="shared" si="12"/>
        <v>1200</v>
      </c>
      <c r="E43" s="174" t="str">
        <f t="shared" si="20"/>
        <v>100' 0"</v>
      </c>
      <c r="F43" s="164">
        <f t="shared" si="13"/>
        <v>30</v>
      </c>
      <c r="G43" s="164">
        <f t="shared" si="14"/>
        <v>3000</v>
      </c>
      <c r="H43" s="166">
        <f t="shared" si="15"/>
        <v>30000</v>
      </c>
      <c r="I43" s="163">
        <f t="shared" si="16"/>
        <v>2400</v>
      </c>
      <c r="J43" s="166">
        <f t="shared" si="17"/>
        <v>1200</v>
      </c>
      <c r="K43" s="163">
        <f t="shared" si="18"/>
        <v>2000</v>
      </c>
      <c r="L43" s="166">
        <f t="shared" si="19"/>
        <v>1000</v>
      </c>
      <c r="M43" s="200">
        <f t="shared" si="10"/>
        <v>5</v>
      </c>
    </row>
    <row r="44" spans="1:13" ht="14.25">
      <c r="A44" s="154">
        <v>11</v>
      </c>
      <c r="B44" s="159">
        <v>25</v>
      </c>
      <c r="C44" s="156">
        <f t="shared" si="11"/>
        <v>125</v>
      </c>
      <c r="D44" s="157">
        <f t="shared" si="12"/>
        <v>1500</v>
      </c>
      <c r="E44" s="175" t="str">
        <f t="shared" si="20"/>
        <v>125' 0"</v>
      </c>
      <c r="F44" s="157">
        <f t="shared" si="13"/>
        <v>37.5</v>
      </c>
      <c r="G44" s="157">
        <f t="shared" si="14"/>
        <v>3750</v>
      </c>
      <c r="H44" s="159">
        <f t="shared" si="15"/>
        <v>37500</v>
      </c>
      <c r="I44" s="156">
        <f t="shared" si="16"/>
        <v>3000</v>
      </c>
      <c r="J44" s="159">
        <f t="shared" si="17"/>
        <v>1500</v>
      </c>
      <c r="K44" s="156">
        <f t="shared" si="18"/>
        <v>2500</v>
      </c>
      <c r="L44" s="159">
        <f t="shared" si="19"/>
        <v>1250</v>
      </c>
      <c r="M44" s="199">
        <f t="shared" si="10"/>
        <v>4</v>
      </c>
    </row>
    <row r="45" spans="1:13" ht="14.25">
      <c r="A45" s="161">
        <v>12</v>
      </c>
      <c r="B45" s="166">
        <v>35</v>
      </c>
      <c r="C45" s="163">
        <f t="shared" si="11"/>
        <v>175</v>
      </c>
      <c r="D45" s="164">
        <f t="shared" si="12"/>
        <v>2100</v>
      </c>
      <c r="E45" s="174" t="str">
        <f t="shared" si="20"/>
        <v>175' 0"</v>
      </c>
      <c r="F45" s="164">
        <f t="shared" si="13"/>
        <v>52.5</v>
      </c>
      <c r="G45" s="164">
        <f t="shared" si="14"/>
        <v>5250</v>
      </c>
      <c r="H45" s="166">
        <f t="shared" si="15"/>
        <v>52500</v>
      </c>
      <c r="I45" s="163">
        <f t="shared" si="16"/>
        <v>4200</v>
      </c>
      <c r="J45" s="166">
        <f t="shared" si="17"/>
        <v>2100</v>
      </c>
      <c r="K45" s="163">
        <f t="shared" si="18"/>
        <v>3500</v>
      </c>
      <c r="L45" s="166">
        <f t="shared" si="19"/>
        <v>1750</v>
      </c>
      <c r="M45" s="200">
        <f t="shared" si="10"/>
        <v>3</v>
      </c>
    </row>
    <row r="46" spans="1:13" ht="14.25">
      <c r="A46" s="154">
        <v>13</v>
      </c>
      <c r="B46" s="159">
        <v>50</v>
      </c>
      <c r="C46" s="156">
        <f t="shared" si="11"/>
        <v>250</v>
      </c>
      <c r="D46" s="157">
        <f t="shared" si="12"/>
        <v>3000</v>
      </c>
      <c r="E46" s="175" t="str">
        <f t="shared" si="20"/>
        <v>250' 0"</v>
      </c>
      <c r="F46" s="157">
        <f t="shared" si="13"/>
        <v>75</v>
      </c>
      <c r="G46" s="157">
        <f t="shared" si="14"/>
        <v>7500</v>
      </c>
      <c r="H46" s="159">
        <f t="shared" si="15"/>
        <v>75000</v>
      </c>
      <c r="I46" s="156">
        <f t="shared" si="16"/>
        <v>6000</v>
      </c>
      <c r="J46" s="159">
        <f t="shared" si="17"/>
        <v>3000</v>
      </c>
      <c r="K46" s="156">
        <f t="shared" si="18"/>
        <v>5000</v>
      </c>
      <c r="L46" s="159">
        <f t="shared" si="19"/>
        <v>2500</v>
      </c>
      <c r="M46" s="199">
        <f t="shared" si="10"/>
        <v>2</v>
      </c>
    </row>
    <row r="47" spans="1:13" ht="14.25">
      <c r="A47" s="161">
        <v>14</v>
      </c>
      <c r="B47" s="166">
        <v>65</v>
      </c>
      <c r="C47" s="163">
        <f t="shared" si="11"/>
        <v>325</v>
      </c>
      <c r="D47" s="164">
        <f t="shared" si="12"/>
        <v>3900</v>
      </c>
      <c r="E47" s="174" t="str">
        <f t="shared" si="20"/>
        <v>325' 0"</v>
      </c>
      <c r="F47" s="164">
        <f t="shared" si="13"/>
        <v>97.5</v>
      </c>
      <c r="G47" s="164">
        <f t="shared" si="14"/>
        <v>9750</v>
      </c>
      <c r="H47" s="166">
        <f t="shared" si="15"/>
        <v>97500</v>
      </c>
      <c r="I47" s="163">
        <f t="shared" si="16"/>
        <v>7800</v>
      </c>
      <c r="J47" s="166">
        <f t="shared" si="17"/>
        <v>3900</v>
      </c>
      <c r="K47" s="163">
        <f t="shared" si="18"/>
        <v>6500</v>
      </c>
      <c r="L47" s="166">
        <f t="shared" si="19"/>
        <v>3250</v>
      </c>
      <c r="M47" s="200">
        <f t="shared" si="10"/>
        <v>2</v>
      </c>
    </row>
    <row r="48" spans="1:13" ht="14.25">
      <c r="A48" s="154">
        <v>15</v>
      </c>
      <c r="B48" s="159">
        <v>90</v>
      </c>
      <c r="C48" s="156">
        <f t="shared" si="11"/>
        <v>450</v>
      </c>
      <c r="D48" s="157">
        <f t="shared" si="12"/>
        <v>5400</v>
      </c>
      <c r="E48" s="175" t="str">
        <f t="shared" si="20"/>
        <v>450' 0"</v>
      </c>
      <c r="F48" s="157">
        <f t="shared" si="13"/>
        <v>135</v>
      </c>
      <c r="G48" s="157">
        <f t="shared" si="14"/>
        <v>13500</v>
      </c>
      <c r="H48" s="159">
        <f t="shared" si="15"/>
        <v>135000</v>
      </c>
      <c r="I48" s="156">
        <f t="shared" si="16"/>
        <v>10800</v>
      </c>
      <c r="J48" s="159">
        <f t="shared" si="17"/>
        <v>5400</v>
      </c>
      <c r="K48" s="156">
        <f t="shared" si="18"/>
        <v>9000</v>
      </c>
      <c r="L48" s="159">
        <f t="shared" si="19"/>
        <v>4500</v>
      </c>
      <c r="M48" s="199">
        <f t="shared" si="10"/>
        <v>1</v>
      </c>
    </row>
    <row r="49" spans="1:13" ht="14.25">
      <c r="A49" s="161">
        <v>16</v>
      </c>
      <c r="B49" s="166">
        <v>120</v>
      </c>
      <c r="C49" s="163">
        <f t="shared" si="11"/>
        <v>600</v>
      </c>
      <c r="D49" s="164">
        <f t="shared" si="12"/>
        <v>7200</v>
      </c>
      <c r="E49" s="174" t="str">
        <f t="shared" si="20"/>
        <v>600' 0"</v>
      </c>
      <c r="F49" s="164">
        <f t="shared" si="13"/>
        <v>180</v>
      </c>
      <c r="G49" s="164">
        <f t="shared" si="14"/>
        <v>18000</v>
      </c>
      <c r="H49" s="166">
        <f t="shared" si="15"/>
        <v>180000</v>
      </c>
      <c r="I49" s="163">
        <f t="shared" si="16"/>
        <v>14400</v>
      </c>
      <c r="J49" s="166">
        <f t="shared" si="17"/>
        <v>7200</v>
      </c>
      <c r="K49" s="163">
        <f t="shared" si="18"/>
        <v>12000</v>
      </c>
      <c r="L49" s="166">
        <f t="shared" si="19"/>
        <v>6000</v>
      </c>
      <c r="M49" s="200">
        <f t="shared" si="10"/>
        <v>1</v>
      </c>
    </row>
    <row r="50" spans="1:13" ht="14.25">
      <c r="A50" s="154">
        <v>17</v>
      </c>
      <c r="B50" s="159">
        <v>160</v>
      </c>
      <c r="C50" s="156">
        <f t="shared" si="11"/>
        <v>800</v>
      </c>
      <c r="D50" s="157">
        <f t="shared" si="12"/>
        <v>9600</v>
      </c>
      <c r="E50" s="175" t="str">
        <f t="shared" si="20"/>
        <v>800' 0"</v>
      </c>
      <c r="F50" s="157">
        <f t="shared" si="13"/>
        <v>240</v>
      </c>
      <c r="G50" s="157">
        <f t="shared" si="14"/>
        <v>24000</v>
      </c>
      <c r="H50" s="159">
        <f t="shared" si="15"/>
        <v>240000</v>
      </c>
      <c r="I50" s="156">
        <f t="shared" si="16"/>
        <v>19200</v>
      </c>
      <c r="J50" s="159">
        <f t="shared" si="17"/>
        <v>9600</v>
      </c>
      <c r="K50" s="156">
        <f t="shared" si="18"/>
        <v>16000</v>
      </c>
      <c r="L50" s="159">
        <f t="shared" si="19"/>
        <v>8000</v>
      </c>
      <c r="M50" s="199">
        <f t="shared" si="10"/>
        <v>1</v>
      </c>
    </row>
    <row r="51" spans="1:13" ht="14.25">
      <c r="A51" s="161">
        <v>18</v>
      </c>
      <c r="B51" s="166">
        <v>220</v>
      </c>
      <c r="C51" s="163">
        <f t="shared" si="11"/>
        <v>1100</v>
      </c>
      <c r="D51" s="164">
        <f t="shared" si="12"/>
        <v>13200</v>
      </c>
      <c r="E51" s="174" t="str">
        <f t="shared" si="20"/>
        <v>1100' 0"</v>
      </c>
      <c r="F51" s="164">
        <f t="shared" si="13"/>
        <v>330</v>
      </c>
      <c r="G51" s="164">
        <f t="shared" si="14"/>
        <v>33000</v>
      </c>
      <c r="H51" s="166">
        <f t="shared" si="15"/>
        <v>330000</v>
      </c>
      <c r="I51" s="163">
        <f t="shared" si="16"/>
        <v>26400</v>
      </c>
      <c r="J51" s="166">
        <f t="shared" si="17"/>
        <v>13200</v>
      </c>
      <c r="K51" s="163">
        <f t="shared" si="18"/>
        <v>22000</v>
      </c>
      <c r="L51" s="166">
        <f t="shared" si="19"/>
        <v>11000</v>
      </c>
      <c r="M51" s="200">
        <f t="shared" si="10"/>
        <v>0</v>
      </c>
    </row>
    <row r="52" spans="1:13" ht="14.25">
      <c r="A52" s="154">
        <v>19</v>
      </c>
      <c r="B52" s="159">
        <v>300</v>
      </c>
      <c r="C52" s="156">
        <f t="shared" si="11"/>
        <v>1500</v>
      </c>
      <c r="D52" s="157">
        <f t="shared" si="12"/>
        <v>18000</v>
      </c>
      <c r="E52" s="175" t="str">
        <f t="shared" si="20"/>
        <v>1500' 0"</v>
      </c>
      <c r="F52" s="157">
        <f t="shared" si="13"/>
        <v>450</v>
      </c>
      <c r="G52" s="157">
        <f t="shared" si="14"/>
        <v>45000</v>
      </c>
      <c r="H52" s="159">
        <f t="shared" si="15"/>
        <v>450000</v>
      </c>
      <c r="I52" s="156">
        <f t="shared" si="16"/>
        <v>36000</v>
      </c>
      <c r="J52" s="159">
        <f t="shared" si="17"/>
        <v>18000</v>
      </c>
      <c r="K52" s="156">
        <f t="shared" si="18"/>
        <v>30000</v>
      </c>
      <c r="L52" s="159">
        <f t="shared" si="19"/>
        <v>15000</v>
      </c>
      <c r="M52" s="199">
        <f t="shared" si="10"/>
        <v>0</v>
      </c>
    </row>
    <row r="53" spans="1:13" ht="14.25">
      <c r="A53" s="161">
        <v>20</v>
      </c>
      <c r="B53" s="166">
        <v>400</v>
      </c>
      <c r="C53" s="163">
        <f t="shared" si="11"/>
        <v>2000</v>
      </c>
      <c r="D53" s="164">
        <f t="shared" si="12"/>
        <v>24000</v>
      </c>
      <c r="E53" s="174" t="str">
        <f t="shared" si="20"/>
        <v>2000' 0"</v>
      </c>
      <c r="F53" s="164">
        <f t="shared" si="13"/>
        <v>600</v>
      </c>
      <c r="G53" s="164">
        <f t="shared" si="14"/>
        <v>60000</v>
      </c>
      <c r="H53" s="166">
        <f t="shared" si="15"/>
        <v>600000</v>
      </c>
      <c r="I53" s="163">
        <f t="shared" si="16"/>
        <v>48000</v>
      </c>
      <c r="J53" s="166">
        <f t="shared" si="17"/>
        <v>24000</v>
      </c>
      <c r="K53" s="163">
        <f t="shared" si="18"/>
        <v>40000</v>
      </c>
      <c r="L53" s="166">
        <f t="shared" si="19"/>
        <v>20000</v>
      </c>
      <c r="M53" s="200">
        <f t="shared" si="10"/>
        <v>0</v>
      </c>
    </row>
    <row r="54" spans="1:13" ht="14.25">
      <c r="A54" s="154">
        <v>21</v>
      </c>
      <c r="B54" s="159">
        <v>550</v>
      </c>
      <c r="C54" s="156">
        <f t="shared" si="11"/>
        <v>2750</v>
      </c>
      <c r="D54" s="157">
        <f t="shared" si="12"/>
        <v>33000</v>
      </c>
      <c r="E54" s="175" t="str">
        <f t="shared" si="20"/>
        <v>2750' 0"</v>
      </c>
      <c r="F54" s="157">
        <f t="shared" si="13"/>
        <v>825</v>
      </c>
      <c r="G54" s="157">
        <f t="shared" si="14"/>
        <v>82500</v>
      </c>
      <c r="H54" s="159">
        <f t="shared" si="15"/>
        <v>825000</v>
      </c>
      <c r="I54" s="156">
        <f t="shared" si="16"/>
        <v>66000</v>
      </c>
      <c r="J54" s="159">
        <f t="shared" si="17"/>
        <v>33000</v>
      </c>
      <c r="K54" s="156">
        <f t="shared" si="18"/>
        <v>55000</v>
      </c>
      <c r="L54" s="159">
        <f t="shared" si="19"/>
        <v>27500</v>
      </c>
      <c r="M54" s="199">
        <f t="shared" si="10"/>
        <v>0</v>
      </c>
    </row>
    <row r="55" spans="1:13" ht="14.25">
      <c r="A55" s="161">
        <v>22</v>
      </c>
      <c r="B55" s="166">
        <v>750</v>
      </c>
      <c r="C55" s="163">
        <f t="shared" si="11"/>
        <v>3750</v>
      </c>
      <c r="D55" s="164">
        <f t="shared" si="12"/>
        <v>45000</v>
      </c>
      <c r="E55" s="174" t="str">
        <f t="shared" si="20"/>
        <v>3750' 0"</v>
      </c>
      <c r="F55" s="164">
        <f t="shared" si="13"/>
        <v>1125</v>
      </c>
      <c r="G55" s="164">
        <f t="shared" si="14"/>
        <v>112500</v>
      </c>
      <c r="H55" s="166">
        <f t="shared" si="15"/>
        <v>1125000</v>
      </c>
      <c r="I55" s="163">
        <f t="shared" si="16"/>
        <v>90000</v>
      </c>
      <c r="J55" s="166">
        <f t="shared" si="17"/>
        <v>45000</v>
      </c>
      <c r="K55" s="163">
        <f t="shared" si="18"/>
        <v>75000</v>
      </c>
      <c r="L55" s="166">
        <f t="shared" si="19"/>
        <v>37500</v>
      </c>
      <c r="M55" s="200">
        <f t="shared" si="10"/>
        <v>0</v>
      </c>
    </row>
    <row r="56" spans="1:13" ht="14.25">
      <c r="A56" s="154">
        <v>23</v>
      </c>
      <c r="B56" s="159">
        <v>1000</v>
      </c>
      <c r="C56" s="156">
        <f t="shared" si="11"/>
        <v>5000</v>
      </c>
      <c r="D56" s="157">
        <f t="shared" si="12"/>
        <v>60000</v>
      </c>
      <c r="E56" s="175" t="str">
        <f t="shared" si="20"/>
        <v>5000' 0"</v>
      </c>
      <c r="F56" s="157">
        <f t="shared" si="13"/>
        <v>1500</v>
      </c>
      <c r="G56" s="157">
        <f t="shared" si="14"/>
        <v>150000</v>
      </c>
      <c r="H56" s="159">
        <f t="shared" si="15"/>
        <v>1500000</v>
      </c>
      <c r="I56" s="156">
        <f t="shared" si="16"/>
        <v>120000</v>
      </c>
      <c r="J56" s="159">
        <f t="shared" si="17"/>
        <v>60000</v>
      </c>
      <c r="K56" s="156">
        <f t="shared" si="18"/>
        <v>100000</v>
      </c>
      <c r="L56" s="159">
        <f t="shared" si="19"/>
        <v>50000</v>
      </c>
      <c r="M56" s="199">
        <f t="shared" si="10"/>
        <v>0</v>
      </c>
    </row>
    <row r="57" spans="1:13" ht="14.25">
      <c r="A57" s="161">
        <v>24</v>
      </c>
      <c r="B57" s="166">
        <v>1350</v>
      </c>
      <c r="C57" s="163">
        <f t="shared" si="11"/>
        <v>6750</v>
      </c>
      <c r="D57" s="164">
        <f t="shared" si="12"/>
        <v>81000</v>
      </c>
      <c r="E57" s="174" t="str">
        <f t="shared" si="20"/>
        <v>6750' 0"</v>
      </c>
      <c r="F57" s="164">
        <f t="shared" si="13"/>
        <v>2025</v>
      </c>
      <c r="G57" s="164">
        <f t="shared" si="14"/>
        <v>202500</v>
      </c>
      <c r="H57" s="166">
        <f t="shared" si="15"/>
        <v>2025000</v>
      </c>
      <c r="I57" s="163">
        <f t="shared" si="16"/>
        <v>162000</v>
      </c>
      <c r="J57" s="166">
        <f t="shared" si="17"/>
        <v>81000</v>
      </c>
      <c r="K57" s="163">
        <f t="shared" si="18"/>
        <v>135000</v>
      </c>
      <c r="L57" s="166">
        <f t="shared" si="19"/>
        <v>67500</v>
      </c>
      <c r="M57" s="200">
        <f t="shared" si="10"/>
        <v>0</v>
      </c>
    </row>
    <row r="58" spans="1:13" ht="14.25">
      <c r="A58" s="201">
        <v>25</v>
      </c>
      <c r="B58" s="202">
        <v>1800</v>
      </c>
      <c r="C58" s="203">
        <f t="shared" si="11"/>
        <v>9000</v>
      </c>
      <c r="D58" s="204">
        <f t="shared" si="12"/>
        <v>108000</v>
      </c>
      <c r="E58" s="205" t="str">
        <f t="shared" si="20"/>
        <v>9000' 0"</v>
      </c>
      <c r="F58" s="204">
        <f t="shared" si="13"/>
        <v>2700</v>
      </c>
      <c r="G58" s="204">
        <f t="shared" si="14"/>
        <v>270000</v>
      </c>
      <c r="H58" s="202">
        <f t="shared" si="15"/>
        <v>2700000</v>
      </c>
      <c r="I58" s="203">
        <f t="shared" si="16"/>
        <v>216000</v>
      </c>
      <c r="J58" s="202">
        <f t="shared" si="17"/>
        <v>108000</v>
      </c>
      <c r="K58" s="203">
        <f t="shared" si="18"/>
        <v>180000</v>
      </c>
      <c r="L58" s="202">
        <f t="shared" si="19"/>
        <v>90000</v>
      </c>
      <c r="M58" s="199">
        <f t="shared" si="10"/>
        <v>0</v>
      </c>
    </row>
    <row r="59" spans="1:13" ht="30" customHeight="1">
      <c r="A59" s="276" t="s">
        <v>367</v>
      </c>
      <c r="B59" s="276"/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</row>
  </sheetData>
  <mergeCells count="9">
    <mergeCell ref="A7:B7"/>
    <mergeCell ref="A59:M59"/>
    <mergeCell ref="A1:B2"/>
    <mergeCell ref="C1:L1"/>
    <mergeCell ref="C2:L2"/>
    <mergeCell ref="F3:I3"/>
    <mergeCell ref="C5:H5"/>
    <mergeCell ref="I5:J5"/>
    <mergeCell ref="K5:L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G33:H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354</vt:i4>
      </vt:variant>
    </vt:vector>
  </HeadingPairs>
  <TitlesOfParts>
    <vt:vector size="364" baseType="lpstr">
      <vt:lpstr>Digital Character Sheet</vt:lpstr>
      <vt:lpstr>Digital Skills Sheet</vt:lpstr>
      <vt:lpstr>Digital Skill Specialties Sheet</vt:lpstr>
      <vt:lpstr>Printable Character Sheet</vt:lpstr>
      <vt:lpstr>Printable Skills Sheet</vt:lpstr>
      <vt:lpstr>Printable Skill Specialties She</vt:lpstr>
      <vt:lpstr>Traits Sheet</vt:lpstr>
      <vt:lpstr>Scaling Reference</vt:lpstr>
      <vt:lpstr>Scaling Calculator</vt:lpstr>
      <vt:lpstr>License</vt:lpstr>
      <vt:lpstr>charStats_level</vt:lpstr>
      <vt:lpstr>skilltree_0_points</vt:lpstr>
      <vt:lpstr>skilltree_1_1_1_1_bonusPoints</vt:lpstr>
      <vt:lpstr>skilltree_1_1_1_1_percentage</vt:lpstr>
      <vt:lpstr>skilltree_1_1_1_1_points</vt:lpstr>
      <vt:lpstr>skilltree_1_1_1_2_bonusPoints</vt:lpstr>
      <vt:lpstr>skilltree_1_1_1_2_points</vt:lpstr>
      <vt:lpstr>skilltree_1_1_1_3_bonusPoints</vt:lpstr>
      <vt:lpstr>skilltree_1_1_1_3_points</vt:lpstr>
      <vt:lpstr>skilltree_1_1_1_bonusPoints</vt:lpstr>
      <vt:lpstr>skilltree_1_1_1_label</vt:lpstr>
      <vt:lpstr>skilltree_1_1_1_percentage</vt:lpstr>
      <vt:lpstr>skilltree_1_1_1_points</vt:lpstr>
      <vt:lpstr>skilltree_1_1_1_subSkills_points</vt:lpstr>
      <vt:lpstr>skilltree_1_1_2_1_bonusPoints</vt:lpstr>
      <vt:lpstr>skilltree_1_1_2_1_points</vt:lpstr>
      <vt:lpstr>skilltree_1_1_2_2_bonusPoints</vt:lpstr>
      <vt:lpstr>skilltree_1_1_2_2_points</vt:lpstr>
      <vt:lpstr>skilltree_1_1_2_3_bonusPoints</vt:lpstr>
      <vt:lpstr>skilltree_1_1_2_3_points</vt:lpstr>
      <vt:lpstr>skilltree_1_1_2_bonusPoints</vt:lpstr>
      <vt:lpstr>skilltree_1_1_2_label</vt:lpstr>
      <vt:lpstr>skilltree_1_1_2_percentage</vt:lpstr>
      <vt:lpstr>skilltree_1_1_2_points</vt:lpstr>
      <vt:lpstr>skilltree_1_1_2_subSkills_points</vt:lpstr>
      <vt:lpstr>skilltree_1_1_3_1_bonusPoints</vt:lpstr>
      <vt:lpstr>skilltree_1_1_3_1_points</vt:lpstr>
      <vt:lpstr>skilltree_1_1_3_2_bonusPoints</vt:lpstr>
      <vt:lpstr>skilltree_1_1_3_2_points</vt:lpstr>
      <vt:lpstr>skilltree_1_1_3_3_bonusPoints</vt:lpstr>
      <vt:lpstr>skilltree_1_1_3_3_points</vt:lpstr>
      <vt:lpstr>skilltree_1_1_3_bonusPoints</vt:lpstr>
      <vt:lpstr>skilltree_1_1_3_label</vt:lpstr>
      <vt:lpstr>skilltree_1_1_3_percentage</vt:lpstr>
      <vt:lpstr>skilltree_1_1_3_points</vt:lpstr>
      <vt:lpstr>skilltree_1_1_3_subSkills_points</vt:lpstr>
      <vt:lpstr>skilltree_1_1_bonusPoints</vt:lpstr>
      <vt:lpstr>skilltree_1_1_percentage</vt:lpstr>
      <vt:lpstr>skilltree_1_1_points</vt:lpstr>
      <vt:lpstr>skilltree_1_1_subSkills_points</vt:lpstr>
      <vt:lpstr>skilltree_1_2_1_1_bonusPoints</vt:lpstr>
      <vt:lpstr>skilltree_1_2_1_1_points</vt:lpstr>
      <vt:lpstr>skilltree_1_2_1_2_bonusPoints</vt:lpstr>
      <vt:lpstr>skilltree_1_2_1_2_points</vt:lpstr>
      <vt:lpstr>skilltree_1_2_1_3_bonusPoints</vt:lpstr>
      <vt:lpstr>skilltree_1_2_1_3_points</vt:lpstr>
      <vt:lpstr>skilltree_1_2_1_bonusPoints</vt:lpstr>
      <vt:lpstr>skilltree_1_2_1_label</vt:lpstr>
      <vt:lpstr>skilltree_1_2_1_percentage</vt:lpstr>
      <vt:lpstr>skilltree_1_2_1_points</vt:lpstr>
      <vt:lpstr>skilltree_1_2_1_subSkills_points</vt:lpstr>
      <vt:lpstr>skilltree_1_2_2_1_bonusPoints</vt:lpstr>
      <vt:lpstr>skilltree_1_2_2_1_points</vt:lpstr>
      <vt:lpstr>skilltree_1_2_2_2_bonusPoints</vt:lpstr>
      <vt:lpstr>skilltree_1_2_2_2_points</vt:lpstr>
      <vt:lpstr>skilltree_1_2_2_3_bonusPoints</vt:lpstr>
      <vt:lpstr>skilltree_1_2_2_3_points</vt:lpstr>
      <vt:lpstr>skilltree_1_2_2_bonusPoints</vt:lpstr>
      <vt:lpstr>skilltree_1_2_2_label</vt:lpstr>
      <vt:lpstr>skilltree_1_2_2_percentage</vt:lpstr>
      <vt:lpstr>skilltree_1_2_2_points</vt:lpstr>
      <vt:lpstr>skilltree_1_2_2_subSkills_points</vt:lpstr>
      <vt:lpstr>skilltree_1_2_3_1_bonusPoints</vt:lpstr>
      <vt:lpstr>skilltree_1_2_3_1_points</vt:lpstr>
      <vt:lpstr>skilltree_1_2_3_2_bonusPoints</vt:lpstr>
      <vt:lpstr>skilltree_1_2_3_2_points</vt:lpstr>
      <vt:lpstr>skilltree_1_2_3_3_bonusPoints</vt:lpstr>
      <vt:lpstr>skilltree_1_2_3_3_points</vt:lpstr>
      <vt:lpstr>skilltree_1_2_3_bonusPoints</vt:lpstr>
      <vt:lpstr>skilltree_1_2_3_label</vt:lpstr>
      <vt:lpstr>skilltree_1_2_3_percentage</vt:lpstr>
      <vt:lpstr>skilltree_1_2_3_points</vt:lpstr>
      <vt:lpstr>skilltree_1_2_3_subSkills_points</vt:lpstr>
      <vt:lpstr>skilltree_1_2_bonusPoints</vt:lpstr>
      <vt:lpstr>skilltree_1_2_percentage</vt:lpstr>
      <vt:lpstr>skilltree_1_2_points</vt:lpstr>
      <vt:lpstr>skilltree_1_2_subSkills_points</vt:lpstr>
      <vt:lpstr>skilltree_1_3_1_1_bonusPoints</vt:lpstr>
      <vt:lpstr>skilltree_1_3_1_1_points</vt:lpstr>
      <vt:lpstr>skilltree_1_3_1_2_bonusPoints</vt:lpstr>
      <vt:lpstr>skilltree_1_3_1_2_points</vt:lpstr>
      <vt:lpstr>skilltree_1_3_1_3_bonusPoints</vt:lpstr>
      <vt:lpstr>skilltree_1_3_1_3_points</vt:lpstr>
      <vt:lpstr>skilltree_1_3_1_bonusPoints</vt:lpstr>
      <vt:lpstr>skilltree_1_3_1_label</vt:lpstr>
      <vt:lpstr>skilltree_1_3_1_percentage</vt:lpstr>
      <vt:lpstr>skilltree_1_3_1_points</vt:lpstr>
      <vt:lpstr>skilltree_1_3_1_subSkills_points</vt:lpstr>
      <vt:lpstr>skilltree_1_3_2_1_bonusPoints</vt:lpstr>
      <vt:lpstr>skilltree_1_3_2_1_points</vt:lpstr>
      <vt:lpstr>skilltree_1_3_2_2_bonusPoints</vt:lpstr>
      <vt:lpstr>skilltree_1_3_2_2_points</vt:lpstr>
      <vt:lpstr>skilltree_1_3_2_3_bonusPoints</vt:lpstr>
      <vt:lpstr>skilltree_1_3_2_3_points</vt:lpstr>
      <vt:lpstr>skilltree_1_3_2_bonusPoints</vt:lpstr>
      <vt:lpstr>skilltree_1_3_2_label</vt:lpstr>
      <vt:lpstr>skilltree_1_3_2_percentage</vt:lpstr>
      <vt:lpstr>skilltree_1_3_2_points</vt:lpstr>
      <vt:lpstr>skilltree_1_3_2_subSkills_points</vt:lpstr>
      <vt:lpstr>skilltree_1_3_3_1_bonusPoints</vt:lpstr>
      <vt:lpstr>skilltree_1_3_3_1_points</vt:lpstr>
      <vt:lpstr>skilltree_1_3_3_2_bonusPoints</vt:lpstr>
      <vt:lpstr>skilltree_1_3_3_2_points</vt:lpstr>
      <vt:lpstr>skilltree_1_3_3_3_bonusPoints</vt:lpstr>
      <vt:lpstr>skilltree_1_3_3_3_points</vt:lpstr>
      <vt:lpstr>skilltree_1_3_3_bonusPoints</vt:lpstr>
      <vt:lpstr>skilltree_1_3_3_label</vt:lpstr>
      <vt:lpstr>skilltree_1_3_3_percentage</vt:lpstr>
      <vt:lpstr>skilltree_1_3_3_points</vt:lpstr>
      <vt:lpstr>skilltree_1_3_3_subSkills_points</vt:lpstr>
      <vt:lpstr>skilltree_1_3_bonusPoints</vt:lpstr>
      <vt:lpstr>skilltree_1_3_percentage</vt:lpstr>
      <vt:lpstr>skilltree_1_3_points</vt:lpstr>
      <vt:lpstr>skilltree_1_3_subSkills_points</vt:lpstr>
      <vt:lpstr>skilltree_1_bonusPoints</vt:lpstr>
      <vt:lpstr>skilltree_1_percentage</vt:lpstr>
      <vt:lpstr>skilltree_1_points</vt:lpstr>
      <vt:lpstr>skilltree_1_subSkills_points</vt:lpstr>
      <vt:lpstr>skilltree_2_1_1_1_bonusPoints</vt:lpstr>
      <vt:lpstr>skilltree_2_1_1_1_points</vt:lpstr>
      <vt:lpstr>skilltree_2_1_1_2_bonusPoints</vt:lpstr>
      <vt:lpstr>skilltree_2_1_1_2_points</vt:lpstr>
      <vt:lpstr>skilltree_2_1_1_3_bonusPoints</vt:lpstr>
      <vt:lpstr>skilltree_2_1_1_3_points</vt:lpstr>
      <vt:lpstr>skilltree_2_1_1_bonusPoints</vt:lpstr>
      <vt:lpstr>skilltree_2_1_1_label</vt:lpstr>
      <vt:lpstr>skilltree_2_1_1_percentage</vt:lpstr>
      <vt:lpstr>skilltree_2_1_1_points</vt:lpstr>
      <vt:lpstr>skilltree_2_1_1_subSkills_points</vt:lpstr>
      <vt:lpstr>skilltree_2_1_2_1_bonusPoints</vt:lpstr>
      <vt:lpstr>skilltree_2_1_2_1_points</vt:lpstr>
      <vt:lpstr>skilltree_2_1_2_2_bonusPoints</vt:lpstr>
      <vt:lpstr>skilltree_2_1_2_2_points</vt:lpstr>
      <vt:lpstr>skilltree_2_1_2_3_bonusPoints</vt:lpstr>
      <vt:lpstr>skilltree_2_1_2_3_points</vt:lpstr>
      <vt:lpstr>skilltree_2_1_2_bonusPoints</vt:lpstr>
      <vt:lpstr>skilltree_2_1_2_label</vt:lpstr>
      <vt:lpstr>skilltree_2_1_2_percentage</vt:lpstr>
      <vt:lpstr>skilltree_2_1_2_points</vt:lpstr>
      <vt:lpstr>skilltree_2_1_2_subSkills_points</vt:lpstr>
      <vt:lpstr>skilltree_2_1_3_1_bonusPoints</vt:lpstr>
      <vt:lpstr>skilltree_2_1_3_1_points</vt:lpstr>
      <vt:lpstr>skilltree_2_1_3_2_bonusPoints</vt:lpstr>
      <vt:lpstr>skilltree_2_1_3_2_points</vt:lpstr>
      <vt:lpstr>skilltree_2_1_3_3_bonusPoints</vt:lpstr>
      <vt:lpstr>skilltree_2_1_3_3_points</vt:lpstr>
      <vt:lpstr>skilltree_2_1_3_bonusPoints</vt:lpstr>
      <vt:lpstr>skilltree_2_1_3_label</vt:lpstr>
      <vt:lpstr>skilltree_2_1_3_percentage</vt:lpstr>
      <vt:lpstr>skilltree_2_1_3_points</vt:lpstr>
      <vt:lpstr>skilltree_2_1_3_subSkills_points</vt:lpstr>
      <vt:lpstr>skilltree_2_1_bonusPoints</vt:lpstr>
      <vt:lpstr>skilltree_2_1_percentage</vt:lpstr>
      <vt:lpstr>skilltree_2_1_points</vt:lpstr>
      <vt:lpstr>skilltree_2_1_subSkills_points</vt:lpstr>
      <vt:lpstr>skilltree_2_2_1_1_bonusPoints</vt:lpstr>
      <vt:lpstr>skilltree_2_2_1_1_points</vt:lpstr>
      <vt:lpstr>skilltree_2_2_1_2_bonusPoints</vt:lpstr>
      <vt:lpstr>skilltree_2_2_1_2_points</vt:lpstr>
      <vt:lpstr>skilltree_2_2_1_3_bonusPoints</vt:lpstr>
      <vt:lpstr>skilltree_2_2_1_3_points</vt:lpstr>
      <vt:lpstr>skilltree_2_2_1_bonusPoints</vt:lpstr>
      <vt:lpstr>skilltree_2_2_1_label</vt:lpstr>
      <vt:lpstr>skilltree_2_2_1_percentage</vt:lpstr>
      <vt:lpstr>skilltree_2_2_1_points</vt:lpstr>
      <vt:lpstr>skilltree_2_2_1_subSkills_points</vt:lpstr>
      <vt:lpstr>skilltree_2_2_2_1_bonusPoints</vt:lpstr>
      <vt:lpstr>skilltree_2_2_2_1_points</vt:lpstr>
      <vt:lpstr>skilltree_2_2_2_2_bonusPoints</vt:lpstr>
      <vt:lpstr>skilltree_2_2_2_2_points</vt:lpstr>
      <vt:lpstr>skilltree_2_2_2_3_bonusPoints</vt:lpstr>
      <vt:lpstr>skilltree_2_2_2_3_points</vt:lpstr>
      <vt:lpstr>skilltree_2_2_2_bonusPoints</vt:lpstr>
      <vt:lpstr>skilltree_2_2_2_label</vt:lpstr>
      <vt:lpstr>skilltree_2_2_2_percentage</vt:lpstr>
      <vt:lpstr>skilltree_2_2_2_points</vt:lpstr>
      <vt:lpstr>skilltree_2_2_2_subSkills_points</vt:lpstr>
      <vt:lpstr>skilltree_2_2_3_1_bonusPoints</vt:lpstr>
      <vt:lpstr>skilltree_2_2_3_1_points</vt:lpstr>
      <vt:lpstr>skilltree_2_2_3_2_bonusPoints</vt:lpstr>
      <vt:lpstr>skilltree_2_2_3_2_points</vt:lpstr>
      <vt:lpstr>skilltree_2_2_3_3_bonusPoints</vt:lpstr>
      <vt:lpstr>skilltree_2_2_3_3_points</vt:lpstr>
      <vt:lpstr>skilltree_2_2_3_bonusPoints</vt:lpstr>
      <vt:lpstr>skilltree_2_2_3_label</vt:lpstr>
      <vt:lpstr>skilltree_2_2_3_percentage</vt:lpstr>
      <vt:lpstr>skilltree_2_2_3_points</vt:lpstr>
      <vt:lpstr>skilltree_2_2_3_subSkills_points</vt:lpstr>
      <vt:lpstr>skilltree_2_2_bonusPoints</vt:lpstr>
      <vt:lpstr>skilltree_2_2_percentage</vt:lpstr>
      <vt:lpstr>skilltree_2_2_points</vt:lpstr>
      <vt:lpstr>skilltree_2_2_subSkills_points</vt:lpstr>
      <vt:lpstr>skilltree_2_3_1_1_bonusPoints</vt:lpstr>
      <vt:lpstr>skilltree_2_3_1_1_points</vt:lpstr>
      <vt:lpstr>skilltree_2_3_1_2_bonusPoints</vt:lpstr>
      <vt:lpstr>skilltree_2_3_1_2_points</vt:lpstr>
      <vt:lpstr>skilltree_2_3_1_3_bonusPoints</vt:lpstr>
      <vt:lpstr>skilltree_2_3_1_3_points</vt:lpstr>
      <vt:lpstr>skilltree_2_3_1_bonusPoints</vt:lpstr>
      <vt:lpstr>skilltree_2_3_1_label</vt:lpstr>
      <vt:lpstr>skilltree_2_3_1_percentage</vt:lpstr>
      <vt:lpstr>skilltree_2_3_1_points</vt:lpstr>
      <vt:lpstr>skilltree_2_3_1_subSkills_points</vt:lpstr>
      <vt:lpstr>skilltree_2_3_2_1_bonusPoints</vt:lpstr>
      <vt:lpstr>skilltree_2_3_2_1_points</vt:lpstr>
      <vt:lpstr>skilltree_2_3_2_2_bonusPoints</vt:lpstr>
      <vt:lpstr>skilltree_2_3_2_2_points</vt:lpstr>
      <vt:lpstr>skilltree_2_3_2_3_bonusPoints</vt:lpstr>
      <vt:lpstr>skilltree_2_3_2_3_points</vt:lpstr>
      <vt:lpstr>skilltree_2_3_2_bonusPoints</vt:lpstr>
      <vt:lpstr>skilltree_2_3_2_label</vt:lpstr>
      <vt:lpstr>skilltree_2_3_2_percentage</vt:lpstr>
      <vt:lpstr>skilltree_2_3_2_points</vt:lpstr>
      <vt:lpstr>skilltree_2_3_2_subSkills_points</vt:lpstr>
      <vt:lpstr>skilltree_2_3_3_1_bonusPoints</vt:lpstr>
      <vt:lpstr>skilltree_2_3_3_1_points</vt:lpstr>
      <vt:lpstr>skilltree_2_3_3_2_bonusPoints</vt:lpstr>
      <vt:lpstr>skilltree_2_3_3_2_points</vt:lpstr>
      <vt:lpstr>skilltree_2_3_3_3_bonusPoints</vt:lpstr>
      <vt:lpstr>skilltree_2_3_3_3_points</vt:lpstr>
      <vt:lpstr>skilltree_2_3_3_bonusPoints</vt:lpstr>
      <vt:lpstr>skilltree_2_3_3_label</vt:lpstr>
      <vt:lpstr>skilltree_2_3_3_percentage</vt:lpstr>
      <vt:lpstr>skilltree_2_3_3_points</vt:lpstr>
      <vt:lpstr>skilltree_2_3_3_subSkills_points</vt:lpstr>
      <vt:lpstr>skilltree_2_3_bonusPoints</vt:lpstr>
      <vt:lpstr>skilltree_2_3_percentage</vt:lpstr>
      <vt:lpstr>skilltree_2_3_points</vt:lpstr>
      <vt:lpstr>skilltree_2_3_subSkills_points</vt:lpstr>
      <vt:lpstr>skilltree_2_bonusPoints</vt:lpstr>
      <vt:lpstr>skilltree_2_percentage</vt:lpstr>
      <vt:lpstr>skilltree_2_points</vt:lpstr>
      <vt:lpstr>skilltree_2_subSkills_points</vt:lpstr>
      <vt:lpstr>skilltree_3_1_1_1_bonusPoints</vt:lpstr>
      <vt:lpstr>skilltree_3_1_1_1_points</vt:lpstr>
      <vt:lpstr>skilltree_3_1_1_2_bonusPoints</vt:lpstr>
      <vt:lpstr>skilltree_3_1_1_2_points</vt:lpstr>
      <vt:lpstr>skilltree_3_1_1_3_bonusPoints</vt:lpstr>
      <vt:lpstr>skilltree_3_1_1_3_points</vt:lpstr>
      <vt:lpstr>skilltree_3_1_1_bonusPoints</vt:lpstr>
      <vt:lpstr>skilltree_3_1_1_label</vt:lpstr>
      <vt:lpstr>skilltree_3_1_1_percentage</vt:lpstr>
      <vt:lpstr>skilltree_3_1_1_points</vt:lpstr>
      <vt:lpstr>skilltree_3_1_1_subSkills_points</vt:lpstr>
      <vt:lpstr>skilltree_3_1_2_1_bonusPoints</vt:lpstr>
      <vt:lpstr>skilltree_3_1_2_1_points</vt:lpstr>
      <vt:lpstr>skilltree_3_1_2_2_bonusPoints</vt:lpstr>
      <vt:lpstr>skilltree_3_1_2_2_points</vt:lpstr>
      <vt:lpstr>skilltree_3_1_2_3_bonusPoints</vt:lpstr>
      <vt:lpstr>skilltree_3_1_2_3_points</vt:lpstr>
      <vt:lpstr>skilltree_3_1_2_bonusPoints</vt:lpstr>
      <vt:lpstr>skilltree_3_1_2_label</vt:lpstr>
      <vt:lpstr>skilltree_3_1_2_percentage</vt:lpstr>
      <vt:lpstr>skilltree_3_1_2_points</vt:lpstr>
      <vt:lpstr>skilltree_3_1_2_subSkills_points</vt:lpstr>
      <vt:lpstr>skilltree_3_1_3_1_bonusPoints</vt:lpstr>
      <vt:lpstr>skilltree_3_1_3_1_points</vt:lpstr>
      <vt:lpstr>skilltree_3_1_3_2_bonusPoints</vt:lpstr>
      <vt:lpstr>skilltree_3_1_3_2_points</vt:lpstr>
      <vt:lpstr>skilltree_3_1_3_3_bonusPoints</vt:lpstr>
      <vt:lpstr>skilltree_3_1_3_3_points</vt:lpstr>
      <vt:lpstr>skilltree_3_1_3_bonusPoints</vt:lpstr>
      <vt:lpstr>skilltree_3_1_3_label</vt:lpstr>
      <vt:lpstr>skilltree_3_1_3_percentage</vt:lpstr>
      <vt:lpstr>skilltree_3_1_3_points</vt:lpstr>
      <vt:lpstr>skilltree_3_1_3_subSkills_points</vt:lpstr>
      <vt:lpstr>skilltree_3_1_bonusPoints</vt:lpstr>
      <vt:lpstr>skilltree_3_1_percentage</vt:lpstr>
      <vt:lpstr>skilltree_3_1_points</vt:lpstr>
      <vt:lpstr>skilltree_3_1_subSkills_points</vt:lpstr>
      <vt:lpstr>skilltree_3_2_1_1_bonusPoints</vt:lpstr>
      <vt:lpstr>skilltree_3_2_1_1_points</vt:lpstr>
      <vt:lpstr>skilltree_3_2_1_2_bonusPoints</vt:lpstr>
      <vt:lpstr>skilltree_3_2_1_2_points</vt:lpstr>
      <vt:lpstr>skilltree_3_2_1_3_bonusPoints</vt:lpstr>
      <vt:lpstr>skilltree_3_2_1_3_points</vt:lpstr>
      <vt:lpstr>skilltree_3_2_1_bonusPoints</vt:lpstr>
      <vt:lpstr>skilltree_3_2_1_label</vt:lpstr>
      <vt:lpstr>skilltree_3_2_1_percentage</vt:lpstr>
      <vt:lpstr>skilltree_3_2_1_points</vt:lpstr>
      <vt:lpstr>skilltree_3_2_1_subSkills_points</vt:lpstr>
      <vt:lpstr>skilltree_3_2_2_1_bonusPoints</vt:lpstr>
      <vt:lpstr>skilltree_3_2_2_1_points</vt:lpstr>
      <vt:lpstr>skilltree_3_2_2_2_bonusPoints</vt:lpstr>
      <vt:lpstr>skilltree_3_2_2_2_points</vt:lpstr>
      <vt:lpstr>skilltree_3_2_2_3_bonusPoints</vt:lpstr>
      <vt:lpstr>skilltree_3_2_2_3_points</vt:lpstr>
      <vt:lpstr>skilltree_3_2_2_bonusPoints</vt:lpstr>
      <vt:lpstr>skilltree_3_2_2_label</vt:lpstr>
      <vt:lpstr>skilltree_3_2_2_percentage</vt:lpstr>
      <vt:lpstr>skilltree_3_2_2_points</vt:lpstr>
      <vt:lpstr>skilltree_3_2_2_subSkills_points</vt:lpstr>
      <vt:lpstr>skilltree_3_2_3_1_bonusPoints</vt:lpstr>
      <vt:lpstr>skilltree_3_2_3_1_points</vt:lpstr>
      <vt:lpstr>skilltree_3_2_3_2_bonusPoints</vt:lpstr>
      <vt:lpstr>skilltree_3_2_3_2_points</vt:lpstr>
      <vt:lpstr>skilltree_3_2_3_3_bonusPoints</vt:lpstr>
      <vt:lpstr>skilltree_3_2_3_3_points</vt:lpstr>
      <vt:lpstr>skilltree_3_2_3_bonusPoints</vt:lpstr>
      <vt:lpstr>skilltree_3_2_3_label</vt:lpstr>
      <vt:lpstr>skilltree_3_2_3_percentage</vt:lpstr>
      <vt:lpstr>skilltree_3_2_3_points</vt:lpstr>
      <vt:lpstr>skilltree_3_2_3_subSkills_points</vt:lpstr>
      <vt:lpstr>skilltree_3_2_bonusPoints</vt:lpstr>
      <vt:lpstr>skilltree_3_2_percentage</vt:lpstr>
      <vt:lpstr>skilltree_3_2_points</vt:lpstr>
      <vt:lpstr>skilltree_3_2_subSkills_points</vt:lpstr>
      <vt:lpstr>skilltree_3_3_1_1_bonusPoints</vt:lpstr>
      <vt:lpstr>skilltree_3_3_1_1_points</vt:lpstr>
      <vt:lpstr>skilltree_3_3_1_2_bonusPoints</vt:lpstr>
      <vt:lpstr>skilltree_3_3_1_2_points</vt:lpstr>
      <vt:lpstr>skilltree_3_3_1_3_bonusPoints</vt:lpstr>
      <vt:lpstr>skilltree_3_3_1_3_points</vt:lpstr>
      <vt:lpstr>skilltree_3_3_1_bonusPoints</vt:lpstr>
      <vt:lpstr>skilltree_3_3_1_label</vt:lpstr>
      <vt:lpstr>skilltree_3_3_1_percentage</vt:lpstr>
      <vt:lpstr>skilltree_3_3_1_points</vt:lpstr>
      <vt:lpstr>skilltree_3_3_1_subSkills_points</vt:lpstr>
      <vt:lpstr>skilltree_3_3_2_1_bonusPoints</vt:lpstr>
      <vt:lpstr>skilltree_3_3_2_1_points</vt:lpstr>
      <vt:lpstr>skilltree_3_3_2_2_bonusPoints</vt:lpstr>
      <vt:lpstr>skilltree_3_3_2_2_points</vt:lpstr>
      <vt:lpstr>skilltree_3_3_2_3_bonusPoints</vt:lpstr>
      <vt:lpstr>skilltree_3_3_2_3_points</vt:lpstr>
      <vt:lpstr>skilltree_3_3_2_bonusPoints</vt:lpstr>
      <vt:lpstr>skilltree_3_3_2_label</vt:lpstr>
      <vt:lpstr>skilltree_3_3_2_percentage</vt:lpstr>
      <vt:lpstr>skilltree_3_3_2_points</vt:lpstr>
      <vt:lpstr>skilltree_3_3_2_subSkills_points</vt:lpstr>
      <vt:lpstr>skilltree_3_3_3_1_bonusPoints</vt:lpstr>
      <vt:lpstr>skilltree_3_3_3_1_points</vt:lpstr>
      <vt:lpstr>skilltree_3_3_3_2_bonusPoints</vt:lpstr>
      <vt:lpstr>skilltree_3_3_3_2_points</vt:lpstr>
      <vt:lpstr>skilltree_3_3_3_3_bonusPoints</vt:lpstr>
      <vt:lpstr>skilltree_3_3_3_3_points</vt:lpstr>
      <vt:lpstr>skilltree_3_3_3_bonusPoints</vt:lpstr>
      <vt:lpstr>skilltree_3_3_3_label</vt:lpstr>
      <vt:lpstr>skilltree_3_3_3_percentage</vt:lpstr>
      <vt:lpstr>skilltree_3_3_3_points</vt:lpstr>
      <vt:lpstr>skilltree_3_3_3_subSkills_points</vt:lpstr>
      <vt:lpstr>skilltree_3_3_bonusPoints</vt:lpstr>
      <vt:lpstr>skilltree_3_3_percentage</vt:lpstr>
      <vt:lpstr>skilltree_3_3_points</vt:lpstr>
      <vt:lpstr>skilltree_3_3_subSkills_points</vt:lpstr>
      <vt:lpstr>skilltree_3_bonusPoints</vt:lpstr>
      <vt:lpstr>skilltree_3_percentage</vt:lpstr>
      <vt:lpstr>skilltree_3_points</vt:lpstr>
      <vt:lpstr>skilltree_3_subSkills_points</vt:lpstr>
      <vt:lpstr>skilltree_tier1_pointsAssigned</vt:lpstr>
      <vt:lpstr>skilltree_tier2_pointsAssigned</vt:lpstr>
      <vt:lpstr>skilltree_tier3_pointsAssigned</vt:lpstr>
      <vt:lpstr>skilltree_tier4_1_pointsAssigned</vt:lpstr>
      <vt:lpstr>skilltree_tier4_2_pointsAssigned</vt:lpstr>
      <vt:lpstr>skilltree_tier4_3_pointsAssigned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Kelsie Frost</dc:creator>
  <cp:lastModifiedBy>​</cp:lastModifiedBy>
  <dcterms:created xsi:type="dcterms:W3CDTF">2023-03-04T01:09:40Z</dcterms:created>
  <dcterms:modified xsi:type="dcterms:W3CDTF">2023-03-04T05:41:49Z</dcterms:modified>
</cp:coreProperties>
</file>