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 Character Sheet" sheetId="1" r:id="rId4"/>
    <sheet state="visible" name="Digital Skills Sheet" sheetId="2" r:id="rId5"/>
    <sheet state="visible" name="Digital Skill Specialties Sheet" sheetId="3" r:id="rId6"/>
    <sheet state="visible" name="Printable Character Sheet" sheetId="4" r:id="rId7"/>
    <sheet state="visible" name="Printable Skills Sheet" sheetId="5" r:id="rId8"/>
    <sheet state="visible" name="Printable Skill Specialties She" sheetId="6" r:id="rId9"/>
    <sheet state="visible" name="Abilities Sheet" sheetId="7" r:id="rId10"/>
    <sheet state="visible" name="Traits Sheet" sheetId="8" r:id="rId11"/>
    <sheet state="visible" name="Scaling Reference" sheetId="9" r:id="rId12"/>
    <sheet state="visible" name="Scaling Calculator" sheetId="10" r:id="rId13"/>
    <sheet state="visible" name="License" sheetId="11" r:id="rId14"/>
    <sheet state="visible" name="Changelog" sheetId="12" r:id="rId15"/>
    <sheet state="visible" name="Links" sheetId="13" r:id="rId16"/>
    <sheet state="visible" name="systemData" sheetId="14" r:id="rId17"/>
    <sheet state="visible" name="stats" sheetId="15" r:id="rId18"/>
    <sheet state="visible" name="scaling" sheetId="16" r:id="rId19"/>
    <sheet state="visible" name="skillName" sheetId="17" r:id="rId20"/>
    <sheet state="visible" name="traitName" sheetId="18" r:id="rId21"/>
  </sheets>
  <definedNames>
    <definedName name="systemData_systemLogo">systemData!$A$2</definedName>
    <definedName name="skilltree_3_2_1_2_bonusPoints">'Digital Skill Specialties Sheet'!$N$26</definedName>
    <definedName name="statValue_perLevel_defense_physical">stats!$D$10</definedName>
    <definedName name="skilltree_3_1_subSkills_points">'Digital Skills Sheet'!$N$63:$N$69</definedName>
    <definedName name="skilltree_3_2_1_points">'Digital Skills Sheet'!$N$72</definedName>
    <definedName name="skillName_3_3_2">skillName!$A$40</definedName>
    <definedName name="statValue_perLevel_defense_mental">stats!$D$11</definedName>
    <definedName name="changelog_versionNicknames_list">Changelog!$C$1:$C$7</definedName>
    <definedName name="skilltree_3_3_2_subSkills_points">'Digital Skill Specialties Sheet'!$M$45:$M$47</definedName>
    <definedName name="skilltree_1_1_1_1_bonusPoints">'Digital Skill Specialties Sheet'!$B$10</definedName>
    <definedName name="skilltree_1_3_1_1_bonusPoints">'Digital Skill Specialties Sheet'!$B$40</definedName>
    <definedName name="skilltree_2_3_1_3_bonusPoints">'Digital Skill Specialties Sheet'!$H$42</definedName>
    <definedName name="skilltree_1_1_1_label">'Digital Skills Sheet'!$N$8</definedName>
    <definedName name="skilltree_3_1_1_percentage">'Digital Skills Sheet'!$P$63</definedName>
    <definedName name="skillName_2_1_3">skillName!$A$26</definedName>
    <definedName name="skilltree_2_3_3_subSkills_points">'Digital Skill Specialties Sheet'!$G$50:$G$52</definedName>
    <definedName name="skilltree_3_2_2_1_points">'Digital Skill Specialties Sheet'!$M$30</definedName>
    <definedName name="stat_blanketTerm_damage">stats!$B$8</definedName>
    <definedName name="skilltree_2_2_3_1_points">'Digital Skill Specialties Sheet'!$G$35</definedName>
    <definedName name="skilltree_3_3_1_label">'Digital Skills Sheet'!$N$80</definedName>
    <definedName name="stat_scale_physical_size">stats!$B$13</definedName>
    <definedName name="skilltree_1_3_1_label">'Digital Skills Sheet'!$N$26</definedName>
    <definedName name="skilltree_2_2_2_2_points">'Digital Skill Specialties Sheet'!$G$31</definedName>
    <definedName name="stat_scale_mental">stats!$B$16</definedName>
    <definedName name="skilltree_1_2_2_points">'Digital Skills Sheet'!$N$21</definedName>
    <definedName name="statValue_perLevel_scale_physical_mass">stats!$D$14</definedName>
    <definedName name="skilltree_2_1_1_percentage">'Digital Skills Sheet'!$P$36</definedName>
    <definedName name="skilltree_3_1_2_3_bonusPoints">'Digital Skill Specialties Sheet'!$N$17</definedName>
    <definedName name="skilltree_3_2_2_subSkills_points">'Digital Skill Specialties Sheet'!$M$30:$M$32</definedName>
    <definedName name="skilltree_2_2_points">'Digital Skills Sheet'!$I$48</definedName>
    <definedName name="skilltree_3_1_2_1_points">'Digital Skill Specialties Sheet'!$M$15</definedName>
    <definedName name="skilltree_1_2_3_3_points">'Digital Skill Specialties Sheet'!$A$37</definedName>
    <definedName name="skilltree_2_3_1_2_points">'Digital Skill Specialties Sheet'!$G$41</definedName>
    <definedName name="skilltree_3_1_3_points">'Digital Skills Sheet'!$N$69</definedName>
    <definedName name="skilltree_1_3_3_subSkills_points">'Digital Skill Specialties Sheet'!$A$50:$A$52</definedName>
    <definedName name="skilltree_3_3_3_3_bonusPoints">'Digital Skill Specialties Sheet'!$N$52</definedName>
    <definedName name="skilltree_3_3_2_bonusPoints">'Digital Skills Sheet'!$O$84</definedName>
    <definedName name="stat_defense_spiritual">stats!$B$12</definedName>
    <definedName name="skillName_3_2_2">skillName!$A$37</definedName>
    <definedName name="skilltree_2_3_subSkills_points">'Digital Skills Sheet'!$N$54:$N$60</definedName>
    <definedName name="skilltree_1_1_3_3_points">'Digital Skill Specialties Sheet'!$A$22</definedName>
    <definedName name="skilltree_3_percentage">'Digital Skills Sheet'!$F$75</definedName>
    <definedName name="skilltree_1_2_subSkills_points">'Digital Skills Sheet'!$N$18:$N$24</definedName>
    <definedName name="skilltree_2_subSkills_points">'Digital Skills Sheet'!$I$39:$I$57</definedName>
    <definedName name="skilltree_2_3_3_1_bonusPoints">'Digital Skill Specialties Sheet'!$H$50</definedName>
    <definedName name="skilltree_2_1_2_points">'Digital Skills Sheet'!$N$39</definedName>
    <definedName name="stat_scale_physical_mass">stats!$B$14</definedName>
    <definedName name="skilltree_3_3_3_label">'Digital Skills Sheet'!$N$86</definedName>
    <definedName name="skilltree_3_3_3_points">'Digital Skills Sheet'!$N$87</definedName>
    <definedName name="skillName_3_3">skillName!$A$14</definedName>
    <definedName name="stat_resource_mental">stats!$B$5</definedName>
    <definedName name="skilltree_1_2_percentage">'Digital Skills Sheet'!$K$21</definedName>
    <definedName name="skilltree_1_2_3_1_points">'Digital Skill Specialties Sheet'!$A$35</definedName>
    <definedName name="skilltree_1_1_2_bonusPoints">'Digital Skills Sheet'!$O$12</definedName>
    <definedName name="skilltree_2_3_1_label">'Digital Skills Sheet'!$N$53</definedName>
    <definedName name="skilltree_2_2_1_1_points">'Digital Skill Specialties Sheet'!$G$25</definedName>
    <definedName name="skilltree_3_1_3_1_bonusPoints">'Digital Skill Specialties Sheet'!$N$20</definedName>
    <definedName name="skilltree_1_1_3_2_bonusPoints">'Digital Skill Specialties Sheet'!$B$21</definedName>
    <definedName name="skilltree_3_1_3_subSkills_points">'Digital Skill Specialties Sheet'!$M$20:$M$22</definedName>
    <definedName name="skilltree_2_2_percentage">'Digital Skills Sheet'!$K$48</definedName>
    <definedName name="stat_defenses">stats!$B$10:$B$12</definedName>
    <definedName name="systemData_versionTitle">systemData!$A$8</definedName>
    <definedName name="skilltree_2_2_3_label">'Digital Skills Sheet'!$N$50</definedName>
    <definedName name="skilltree_tier3_pointsAssigned">'Digital Skills Sheet'!$N$9:$N$87</definedName>
    <definedName name="skilltree_1_2_1_label">'Digital Skills Sheet'!$N$17</definedName>
    <definedName name="skilltree_3_2_subSkills_points">'Digital Skills Sheet'!$N$72:$N$78</definedName>
    <definedName name="skilltree_3_1_3_bonusPoints">'Digital Skills Sheet'!$O$69</definedName>
    <definedName name="skilltree_2_2_1_bonusPoints">'Digital Skills Sheet'!$O$45</definedName>
    <definedName name="skilltree_1_3_1_label_pointsAssigned">'Digital Skills Sheet'!$P$26</definedName>
    <definedName name="skilltree_3_3_2_label_pointsAssigned">'Digital Skills Sheet'!$P$83</definedName>
    <definedName name="skilltree_2_2_1_3_points">'Digital Skill Specialties Sheet'!$G$27</definedName>
    <definedName name="skilltree_3_3_1_3_points">'Digital Skill Specialties Sheet'!$M$42</definedName>
    <definedName name="skillName_1_1_2">skillName!$A$16</definedName>
    <definedName name="skilltree_1_2_3_3_bonusPoints">'Digital Skill Specialties Sheet'!$B$37</definedName>
    <definedName name="skilltree_1_3_3_3_points">'Digital Skill Specialties Sheet'!$A$52</definedName>
    <definedName name="skilltree_2_1_2_3_points">'Digital Skill Specialties Sheet'!$G$17</definedName>
    <definedName name="skilltree_3_1_3_label">'Digital Skills Sheet'!$N$68</definedName>
    <definedName name="skilltree_3_1_1_label_pointsAssigned">'Digital Skills Sheet'!$P$62</definedName>
    <definedName name="skilltree_3_1_3_3_points">'Digital Skill Specialties Sheet'!$M$22</definedName>
    <definedName name="systemData_systemName">systemData!$A$1</definedName>
    <definedName name="skilltree_3_2_2_2_bonusPoints">'Digital Skill Specialties Sheet'!$N$31</definedName>
    <definedName name="skilltree_3_3_3_3_points">'Digital Skill Specialties Sheet'!$M$52</definedName>
    <definedName name="skilltree_3_1_2_points">'Digital Skills Sheet'!$N$66</definedName>
    <definedName name="skilltree_3_2_bonusPoints">'Digital Skills Sheet'!$J$75</definedName>
    <definedName name="skilltree_tier2_pointsAssigned">'Digital Skills Sheet'!$I$12:$I$84</definedName>
    <definedName name="skilltree_1_2_2_3_points">'Digital Skill Specialties Sheet'!$A$32</definedName>
    <definedName name="skilltree_3_2_2_1_bonusPoints">'Digital Skill Specialties Sheet'!$N$30</definedName>
    <definedName name="skilltree_2_2_3_subSkills_points">'Digital Skill Specialties Sheet'!$G$35:$G$37</definedName>
    <definedName name="skilltree_1_2_1_label_pointsAssigned">'Digital Skills Sheet'!$P$17</definedName>
    <definedName name="scaling_multiplierList">scaling!$B$2:$B$102</definedName>
    <definedName name="skilltree_2_2_2_3_points">'Digital Skill Specialties Sheet'!$G$32</definedName>
    <definedName name="skilltree_1_3_3_points">'Digital Skills Sheet'!$N$33</definedName>
    <definedName name="skilltree_3_1_1_2_bonusPoints">'Digital Skill Specialties Sheet'!$N$11</definedName>
    <definedName name="skilltree_2_3_3_points">'Digital Skills Sheet'!$N$60</definedName>
    <definedName name="skilltree_1_3_2_1_bonusPoints">'Digital Skill Specialties Sheet'!$B$45</definedName>
    <definedName name="skilltree_3_1_3_3_bonusPoints">'Digital Skill Specialties Sheet'!$N$22</definedName>
    <definedName name="stat_scales">stats!$B$13:$B$18</definedName>
    <definedName name="statValue_perLevel_scale_physical_size">stats!$D$13</definedName>
    <definedName name="skilltree_3_1_2_2_points">'Digital Skill Specialties Sheet'!$M$16</definedName>
    <definedName name="skilltree_3_3_1_2_bonusPoints">'Digital Skill Specialties Sheet'!$N$41</definedName>
    <definedName name="skilltree_1_3_3_2_points">'Digital Skill Specialties Sheet'!$A$51</definedName>
    <definedName name="skilltree_2_1_3_points">'Digital Skills Sheet'!$N$42</definedName>
    <definedName name="traitName_positive2_list">traitName!$C$2:$C$31</definedName>
    <definedName name="skilltree_2_2_2_subSkills_points">'Digital Skill Specialties Sheet'!$G$30:$G$32</definedName>
    <definedName name="skillName_1_1_1">skillName!$A$15</definedName>
    <definedName name="skilltree_1_3_1_points">'Digital Skills Sheet'!$N$27</definedName>
    <definedName name="skilltree_2_2_3_label_pointsAssigned">'Digital Skills Sheet'!$P$50</definedName>
    <definedName name="skilltree_3_3_1_points">'Digital Skills Sheet'!$N$81</definedName>
    <definedName name="skilltree_1_1_2_2_bonusPoints">'Digital Skill Specialties Sheet'!$B$16</definedName>
    <definedName name="skilltree_2_1_1_2_points">'Digital Skill Specialties Sheet'!$G$11</definedName>
    <definedName name="skilltree_3_3_3_subSkills_points">'Digital Skill Specialties Sheet'!$M$50:$M$52</definedName>
    <definedName name="skilltree_2_1_3_2_bonusPoints">'Digital Skill Specialties Sheet'!$H$21</definedName>
    <definedName name="skilltree_1_1_1_1_percentage">'Digital Skill Specialties Sheet'!$C$10</definedName>
    <definedName name="skilltree_2_3_2_1_bonusPoints">'Digital Skill Specialties Sheet'!$H$45</definedName>
    <definedName name="skilltree_3_3_3_label_pointsAssigned">'Digital Skills Sheet'!$P$86</definedName>
    <definedName name="statValue_perLevel_resource_mental">stats!$D$5</definedName>
    <definedName name="skilltree_1_1_1_bonusPoints">'Digital Skills Sheet'!$O$9</definedName>
    <definedName name="skilltree_2_bonusPoints">'Digital Skills Sheet'!$E$48</definedName>
    <definedName name="skilltree_3_2_1_3_bonusPoints">'Digital Skill Specialties Sheet'!$N$27</definedName>
    <definedName name="skilltree_2_3_1_1_bonusPoints">'Digital Skill Specialties Sheet'!$H$40</definedName>
    <definedName name="statValue_perLevel_defense_spiritual">stats!$D$12</definedName>
    <definedName name="skilltree_2_2_1_percentage">'Digital Skills Sheet'!$P$45</definedName>
    <definedName name="skilltree_1_1_percentage">'Digital Skills Sheet'!$K$12</definedName>
    <definedName name="statValue_perLevel_scale_equipment">stats!$D$18</definedName>
    <definedName name="skilltree_3_2_1_1_points">'Digital Skill Specialties Sheet'!$M$25</definedName>
    <definedName name="skilltree_2_3_2_label">'Digital Skills Sheet'!$N$56</definedName>
    <definedName name="skilltree_1_3_2_label">'Digital Skills Sheet'!$N$29</definedName>
    <definedName name="skilltree_3_2_1_1_bonusPoints">'Digital Skill Specialties Sheet'!$N$25</definedName>
    <definedName name="stat_resource_physical">stats!$B$4</definedName>
    <definedName name="traitName_negative3_list">traitName!$H$2:$H$31</definedName>
    <definedName name="changelog_versionDate_first">Changelog!$D$7</definedName>
    <definedName name="stat_scale_spiritual">stats!$B$17</definedName>
    <definedName name="skilltree_1_3_2_3_points">'Digital Skill Specialties Sheet'!$A$47</definedName>
    <definedName name="skilltree_2_1_1_1_bonusPoints">'Digital Skill Specialties Sheet'!$H$10</definedName>
    <definedName name="skilltree_1_1_1_3_bonusPoints">'Digital Skill Specialties Sheet'!$B$12</definedName>
    <definedName name="skilltree_1_3_2_2_bonusPoints">'Digital Skill Specialties Sheet'!$B$46</definedName>
    <definedName name="skilltree_1_1_3_1_points">'Digital Skill Specialties Sheet'!$A$20</definedName>
    <definedName name="skilltree_3_2_1_percentage">'Digital Skills Sheet'!$P$72</definedName>
    <definedName name="skilltree_1_1_1_points">'Digital Skills Sheet'!$N$9</definedName>
    <definedName name="skilltree_1_1_1_2_points">'Digital Skill Specialties Sheet'!$A$11</definedName>
    <definedName name="systemData_versionNickname">systemData!$A$5</definedName>
    <definedName name="skilltree_2_2_3_points">'Digital Skills Sheet'!$N$51</definedName>
    <definedName name="skilltree_3_3_1_bonusPoints">'Digital Skills Sheet'!$O$81</definedName>
    <definedName name="skilltree_2_1_1_3_bonusPoints">'Digital Skill Specialties Sheet'!$H$12</definedName>
    <definedName name="skilltree_3_3_bonusPoints">'Digital Skills Sheet'!$J$84</definedName>
    <definedName name="skilltree_2_3_3_2_points">'Digital Skill Specialties Sheet'!$G$51</definedName>
    <definedName name="skillName_1_2_1">skillName!$A$18</definedName>
    <definedName name="skilltree_2_1_3_1_bonusPoints">'Digital Skill Specialties Sheet'!$H$20</definedName>
    <definedName name="stat_blanketTerm_resource">stats!$B$3</definedName>
    <definedName name="skilltree_3_2_1_3_points">'Digital Skill Specialties Sheet'!$M$27</definedName>
    <definedName name="skilltree_1_2_1_1_points">'Digital Skill Specialties Sheet'!$A$25</definedName>
    <definedName name="skilltree_3_1_2_label">'Digital Skills Sheet'!$N$65</definedName>
    <definedName name="skilltree_2_2_2_label">'Digital Skills Sheet'!$N$47</definedName>
    <definedName name="skilltree_2_3_2_2_points">'Digital Skill Specialties Sheet'!$G$46</definedName>
    <definedName name="systemData_copyrightMessage">systemData!$A$11</definedName>
    <definedName name="skilltree_1_2_1_1_bonusPoints">'Digital Skill Specialties Sheet'!$B$25</definedName>
    <definedName name="skilltree_1_3_3_label_pointsAssigned">'Digital Skills Sheet'!$P$32</definedName>
    <definedName name="skilltree_2_3_points">'Digital Skills Sheet'!$I$57</definedName>
    <definedName name="skilltree_2_2_1_2_bonusPoints">'Digital Skill Specialties Sheet'!$H$26</definedName>
    <definedName name="skillName_1_1">skillName!$A$6</definedName>
    <definedName name="systemData_editionNickname">systemData!$A$4</definedName>
    <definedName name="skilltree_1_1_3_label_pointsAssigned">'Digital Skills Sheet'!$P$14</definedName>
    <definedName name="skilltree_3_2_1_label_pointsAssigned">'Digital Skills Sheet'!$P$71</definedName>
    <definedName name="skilltree_3_1_1_label">'Digital Skills Sheet'!$N$62</definedName>
    <definedName name="skilltree_2_1_1_label">'Digital Skills Sheet'!$N$35</definedName>
    <definedName name="skilltree_1_1_2_label">'Digital Skills Sheet'!$N$11</definedName>
    <definedName name="skilltree_3_2_2_label">'Digital Skills Sheet'!$N$74</definedName>
    <definedName name="stat_scale_equipment">stats!$B$18</definedName>
    <definedName name="skilltree_2_3_3_label_pointsAssigned">'Digital Skills Sheet'!$P$59</definedName>
    <definedName name="skilltree_2_3_3_label">'Digital Skills Sheet'!$N$59</definedName>
    <definedName name="skilltree_1_1_3_subSkills_points">'Digital Skill Specialties Sheet'!$A$20:$A$22</definedName>
    <definedName name="skillName_2_2_1">skillName!$A$27</definedName>
    <definedName name="skilltree_3_2_3_points">'Digital Skills Sheet'!$N$78</definedName>
    <definedName name="skillName_1_3_1">skillName!$A$21</definedName>
    <definedName name="skilltree_1_2_2_2_points">'Digital Skill Specialties Sheet'!$A$31</definedName>
    <definedName name="skilltree_1_3_2_label_pointsAssigned">'Digital Skills Sheet'!$P$29</definedName>
    <definedName name="skilltree_1_1_2_percentage">'Digital Skills Sheet'!$P$12</definedName>
    <definedName name="skilltree_1_2_3_2_bonusPoints">'Digital Skill Specialties Sheet'!$B$36</definedName>
    <definedName name="skilltree_3_3_3_2_points">'Digital Skill Specialties Sheet'!$M$51</definedName>
    <definedName name="skilltree_1_3_2_3_bonusPoints">'Digital Skill Specialties Sheet'!$B$47</definedName>
    <definedName name="skilltree_2_1_1_3_points">'Digital Skill Specialties Sheet'!$G$12</definedName>
    <definedName name="skilltree_3_3_3_2_bonusPoints">'Digital Skill Specialties Sheet'!$N$51</definedName>
    <definedName name="skilltree_3_2_2_3_points">'Digital Skill Specialties Sheet'!$M$32</definedName>
    <definedName name="skilltree_1_3_1_3_points">'Digital Skill Specialties Sheet'!$A$42</definedName>
    <definedName name="skilltree_2_points">'Digital Skills Sheet'!$D$48</definedName>
    <definedName name="skillName_1_2">skillName!$A$7</definedName>
    <definedName name="skilltree_2_2_3_3_bonusPoints">'Digital Skill Specialties Sheet'!$H$37</definedName>
    <definedName name="changelog_editionNicknames_list">Changelog!$B$1:$B$7</definedName>
    <definedName name="skillName_1_2_2">skillName!$A$19</definedName>
    <definedName name="skilltree_1_3_3_2_bonusPoints">'Digital Skill Specialties Sheet'!$B$51</definedName>
    <definedName name="skilltree_1_3_1_2_bonusPoints">'Digital Skill Specialties Sheet'!$B$41</definedName>
    <definedName name="skilltree_3_3_points">'Digital Skills Sheet'!$I$84</definedName>
    <definedName name="skillName_2_3_3">skillName!$A$32</definedName>
    <definedName name="skillName_2">skillName!$A$4</definedName>
    <definedName name="skilltree_2_1_points">'Digital Skills Sheet'!$I$39</definedName>
    <definedName name="skilltree_2_2_3_3_points">'Digital Skill Specialties Sheet'!$G$37</definedName>
    <definedName name="skilltree_1_3_1_1_points">'Digital Skill Specialties Sheet'!$A$40</definedName>
    <definedName name="skilltree_1_1_points">'Digital Skills Sheet'!$I$12</definedName>
    <definedName name="skilltree_2_2_3_percentage">'Digital Skills Sheet'!$P$51</definedName>
    <definedName name="skilltree_3_2_1_bonusPoints">'Digital Skills Sheet'!$O$72</definedName>
    <definedName name="skillName_2_2">skillName!$A$10</definedName>
    <definedName name="skilltree_2_1_2_label_pointsAssigned">'Digital Skills Sheet'!$P$38</definedName>
    <definedName name="skilltree_tier4_1_pointsAssigned">'Digital Skill Specialties Sheet'!$A$10:$A$52</definedName>
    <definedName name="skilltree_2_1_2_2_bonusPoints">'Digital Skill Specialties Sheet'!$H$16</definedName>
    <definedName name="skilltree_1_2_2_label_pointsAssigned">'Digital Skills Sheet'!$P$20</definedName>
    <definedName name="skilltree_2_3_3_2_bonusPoints">'Digital Skill Specialties Sheet'!$H$51</definedName>
    <definedName name="skillName_3_3_1">skillName!$A$39</definedName>
    <definedName name="skilltree_3_3_1_3_bonusPoints">'Digital Skill Specialties Sheet'!$N$42</definedName>
    <definedName name="skilltree_2_2_3_2_bonusPoints">'Digital Skill Specialties Sheet'!$H$36</definedName>
    <definedName name="skilltree_3_3_2_points">'Digital Skills Sheet'!$N$84</definedName>
    <definedName name="skilltree_3_1_1_subSkills_points">'Digital Skill Specialties Sheet'!$M$10:$M$12</definedName>
    <definedName name="skilltree_3_1_2_2_bonusPoints">'Digital Skill Specialties Sheet'!$N$16</definedName>
    <definedName name="skilltree_3_1_3_1_points">'Digital Skill Specialties Sheet'!$M$20</definedName>
    <definedName name="skillName_3_1_2">skillName!$A$34</definedName>
    <definedName name="skilltree_1_2_3_bonusPoints">'Digital Skills Sheet'!$O$24</definedName>
    <definedName name="skilltree_1_1_2_1_bonusPoints">'Digital Skill Specialties Sheet'!$B$15</definedName>
    <definedName name="skilltree_3_2_2_percentage">'Digital Skills Sheet'!$P$75</definedName>
    <definedName name="skilltree_1_1_2_points">'Digital Skills Sheet'!$N$12</definedName>
    <definedName name="systemData_versionNumber">systemData!$A$3</definedName>
    <definedName name="skilltree_1_1_2_3_bonusPoints">'Digital Skill Specialties Sheet'!$B$17</definedName>
    <definedName name="statValue_perLevel_skillPoints">stats!$D$2</definedName>
    <definedName name="skilltree_0_points">'Digital Skills Sheet'!$A$48</definedName>
    <definedName name="skillName_2_1">skillName!$A$9</definedName>
    <definedName name="skilltree_3_1_points">'Digital Skills Sheet'!$I$66</definedName>
    <definedName name="skilltree_1_2_3_points">'Digital Skills Sheet'!$N$24</definedName>
    <definedName name="skilltree_1_2_1_subSkills_points">'Digital Skill Specialties Sheet'!$A$25:$A$27</definedName>
    <definedName name="skilltree_1_3_3_bonusPoints">'Digital Skills Sheet'!$O$33</definedName>
    <definedName name="skilltree_1_2_3_2_points">'Digital Skill Specialties Sheet'!$A$36</definedName>
    <definedName name="skillName_3_2_3">skillName!$A$38</definedName>
    <definedName name="statValue_perLevel_resource_spiritual">stats!$D$6</definedName>
    <definedName name="skilltree_3_2_2_3_bonusPoints">'Digital Skill Specialties Sheet'!$N$32</definedName>
    <definedName name="skilltree_1_3_points">'Digital Skills Sheet'!$I$30</definedName>
    <definedName name="skilltree_2_2_1_label">'Digital Skills Sheet'!$N$44</definedName>
    <definedName name="skilltree_2_3_2_bonusPoints">'Digital Skills Sheet'!$O$57</definedName>
    <definedName name="skilltree_3_2_2_points">'Digital Skills Sheet'!$N$75</definedName>
    <definedName name="skilltree_1_1_3_points">'Digital Skills Sheet'!$N$15</definedName>
    <definedName name="skillName_3_2">skillName!$A$13</definedName>
    <definedName name="skilltree_2_2_3_1_bonusPoints">'Digital Skill Specialties Sheet'!$H$35</definedName>
    <definedName name="systemData_versionYear_first">systemData!$A$6</definedName>
    <definedName name="skilltree_2_1_3_bonusPoints">'Digital Skills Sheet'!$O$42</definedName>
    <definedName name="skilltree_2_1_3_label_pointsAssigned">'Digital Skills Sheet'!$P$41</definedName>
    <definedName name="skilltree_3_3_2_3_bonusPoints">'Digital Skill Specialties Sheet'!$N$47</definedName>
    <definedName name="skilltree_1_2_1_3_bonusPoints">'Digital Skill Specialties Sheet'!$B$27</definedName>
    <definedName name="skilltree_1_3_3_label">'Digital Skills Sheet'!$N$32</definedName>
    <definedName name="skilltree_2_2_2_2_bonusPoints">'Digital Skill Specialties Sheet'!$H$31</definedName>
    <definedName name="skilltree_2_1_1_1_points">'Digital Skill Specialties Sheet'!$G$10</definedName>
    <definedName name="skilltree_1_2_2_1_bonusPoints">'Digital Skill Specialties Sheet'!$B$30</definedName>
    <definedName name="skilltree_1_1_3_percentage">'Digital Skills Sheet'!$P$15</definedName>
    <definedName name="skilltree_1_3_2_points">'Digital Skills Sheet'!$N$30</definedName>
    <definedName name="skilltree_1_1_1_label_pointsAssigned">'Digital Skills Sheet'!$P$8</definedName>
    <definedName name="skilltree_3_3_2_1_bonusPoints">'Digital Skill Specialties Sheet'!$N$45</definedName>
    <definedName name="skilltree_3_1_2_percentage">'Digital Skills Sheet'!$P$66</definedName>
    <definedName name="skilltree_1_1_2_label_pointsAssigned">'Digital Skills Sheet'!$P$11</definedName>
    <definedName name="stat_scale_physical_strength">stats!$B$15</definedName>
    <definedName name="skilltree_2_3_3_bonusPoints">'Digital Skills Sheet'!$O$60</definedName>
    <definedName name="skilltree_2_2_1_subSkills_points">'Digital Skill Specialties Sheet'!$G$25:$G$27</definedName>
    <definedName name="skilltree_tier1_pointsAssigned">'Digital Skills Sheet'!$D$21:$D$75</definedName>
    <definedName name="systemData_versionYear_latest">systemData!$A$7</definedName>
    <definedName name="skilltree_3_subSkills_points">'Digital Skills Sheet'!$I$66:$I$84</definedName>
    <definedName name="skilltree_3_3_2_label">'Digital Skills Sheet'!$N$83</definedName>
    <definedName name="skilltree_2_1_bonusPoints">'Digital Skills Sheet'!$J$39</definedName>
    <definedName name="skilltree_1_1_2_subSkills_points">'Digital Skill Specialties Sheet'!$A$15:$A$17</definedName>
    <definedName name="skilltree_1_2_2_bonusPoints">'Digital Skills Sheet'!$O$21</definedName>
    <definedName name="traitName_negative1_list">traitName!$F$2:$F$31</definedName>
    <definedName name="skillName_2_3_1">skillName!$A$30</definedName>
    <definedName name="skilltree_2_1_3_2_points">'Digital Skill Specialties Sheet'!$G$21</definedName>
    <definedName name="skillName_1_2_3">skillName!$A$20</definedName>
    <definedName name="skilltree_3_points">'Digital Skills Sheet'!$D$75</definedName>
    <definedName name="skilltree_2_3_2_points">'Digital Skills Sheet'!$N$57</definedName>
    <definedName name="skilltree_2_1_3_label">'Digital Skills Sheet'!$N$41</definedName>
    <definedName name="skilltree_1_2_1_2_points">'Digital Skill Specialties Sheet'!$A$26</definedName>
    <definedName name="stat_defense_mental">stats!$B$11</definedName>
    <definedName name="skilltree_1_1_2_1_points">'Digital Skill Specialties Sheet'!$A$15</definedName>
    <definedName name="skilltree_3_3_2_percentage">'Digital Skills Sheet'!$P$84</definedName>
    <definedName name="skillName_3_2_1">skillName!$A$36</definedName>
    <definedName name="scaling_scaleList">scaling!$A$2:$A$102</definedName>
    <definedName name="skilltree_3_2_3_3_points">'Digital Skill Specialties Sheet'!$M$37</definedName>
    <definedName name="skilltree_3_1_1_3_bonusPoints">'Digital Skill Specialties Sheet'!$N$12</definedName>
    <definedName name="skilltree_3_1_1_points">'Digital Skills Sheet'!$N$63</definedName>
    <definedName name="skilltree_3_1_2_subSkills_points">'Digital Skill Specialties Sheet'!$M$15:$M$17</definedName>
    <definedName name="skillName_1_3_3">skillName!$A$23</definedName>
    <definedName name="skilltree_2_2_2_points">'Digital Skills Sheet'!$N$48</definedName>
    <definedName name="skilltree_3_1_1_3_points">'Digital Skill Specialties Sheet'!$M$12</definedName>
    <definedName name="skillName_2_2_2">skillName!$A$28</definedName>
    <definedName name="statValue_perLevel_resource_consciousness">stats!$D$7</definedName>
    <definedName name="skilltree_1_1_1_2_bonusPoints">'Digital Skill Specialties Sheet'!$B$11</definedName>
    <definedName name="skilltree_2_percentage">'Digital Skills Sheet'!$F$48</definedName>
    <definedName name="skilltree_2_2_3_bonusPoints">'Digital Skills Sheet'!$O$51</definedName>
    <definedName name="skilltree_3_3_1_label_pointsAssigned">'Digital Skills Sheet'!$P$80</definedName>
    <definedName name="skilltree_1_1_2_3_points">'Digital Skill Specialties Sheet'!$A$17</definedName>
    <definedName name="skilltree_2_3_2_1_points">'Digital Skill Specialties Sheet'!$G$45</definedName>
    <definedName name="skilltree_3_1_1_1_bonusPoints">'Digital Skill Specialties Sheet'!$N$10</definedName>
    <definedName name="skilltree_1_1_3_bonusPoints">'Digital Skills Sheet'!$O$15</definedName>
    <definedName name="skilltree_2_1_percentage">'Digital Skills Sheet'!$K$39</definedName>
    <definedName name="skilltree_2_1_2_2_points">'Digital Skill Specialties Sheet'!$G$16</definedName>
    <definedName name="skillName_0">skillName!$A$2</definedName>
    <definedName name="skilltree_2_3_1_points">'Digital Skills Sheet'!$N$54</definedName>
    <definedName name="traitName_labels_list">traitName!$A$2:$A$31</definedName>
    <definedName name="skilltree_1_3_2_2_points">'Digital Skill Specialties Sheet'!$A$46</definedName>
    <definedName name="skilltree_2_2_1_points">'Digital Skills Sheet'!$N$45</definedName>
    <definedName name="skilltree_1_2_2_2_bonusPoints">'Digital Skill Specialties Sheet'!$B$31</definedName>
    <definedName name="skilltree_1_3_percentage">'Digital Skills Sheet'!$K$30</definedName>
    <definedName name="skilltree_2_2_subSkills_points">'Digital Skills Sheet'!$N$45:$N$51</definedName>
    <definedName name="skilltree_2_1_2_1_bonusPoints">'Digital Skill Specialties Sheet'!$H$15</definedName>
    <definedName name="skilltree_tier4_3_pointsAssigned">'Digital Skill Specialties Sheet'!$M$10:$M$52</definedName>
    <definedName name="skilltree_1_1_subSkills_points">'Digital Skills Sheet'!$N$9:$N$15</definedName>
    <definedName name="skilltree_2_1_1_label_pointsAssigned">'Digital Skills Sheet'!$P$35</definedName>
    <definedName name="skilltree_2_3_percentage">'Digital Skills Sheet'!$K$57</definedName>
    <definedName name="skilltree_3_1_percentage">'Digital Skills Sheet'!$K$66</definedName>
    <definedName name="skilltree_3_2_2_2_points">'Digital Skill Specialties Sheet'!$M$31</definedName>
    <definedName name="skillName_2_3">skillName!$A$11</definedName>
    <definedName name="skilltree_2_2_1_1_bonusPoints">'Digital Skill Specialties Sheet'!$H$25</definedName>
    <definedName name="skilltree_2_2_2_percentage">'Digital Skills Sheet'!$P$48</definedName>
    <definedName name="skilltree_1_bonusPoints">'Digital Skills Sheet'!$E$21</definedName>
    <definedName name="skilltree_1_2_2_3_bonusPoints">'Digital Skill Specialties Sheet'!$B$32</definedName>
    <definedName name="skillName_2_1_1">skillName!$A$24</definedName>
    <definedName name="skilltree_1_2_3_label_pointsAssigned">'Digital Skills Sheet'!$P$23</definedName>
    <definedName name="skilltree_2_3_1_subSkills_points">'Digital Skill Specialties Sheet'!$G$40:$G$42</definedName>
    <definedName name="skilltree_3_3_3_1_points">'Digital Skill Specialties Sheet'!$M$50</definedName>
    <definedName name="skilltree_1_subSkills_points">'Digital Skills Sheet'!$I$12:$I$30</definedName>
    <definedName name="skilltree_3_2_3_2_points">'Digital Skill Specialties Sheet'!$M$36</definedName>
    <definedName name="skillName_3_3_3">skillName!$A$41</definedName>
    <definedName name="skilltree_1_1_bonusPoints">'Digital Skills Sheet'!$J$12</definedName>
    <definedName name="skilltree_2_3_3_1_points">'Digital Skill Specialties Sheet'!$G$50</definedName>
    <definedName name="skilltree_2_3_1_2_bonusPoints">'Digital Skill Specialties Sheet'!$H$41</definedName>
    <definedName name="skilltree_3_3_3_bonusPoints">'Digital Skills Sheet'!$O$87</definedName>
    <definedName name="skilltree_3_2_3_subSkills_points">'Digital Skill Specialties Sheet'!$M$35:$M$37</definedName>
    <definedName name="skilltree_1_2_2_subSkills_points">'Digital Skill Specialties Sheet'!$A$30:$A$32</definedName>
    <definedName name="skilltree_1_3_2_bonusPoints">'Digital Skills Sheet'!$O$30</definedName>
    <definedName name="skillName_1">skillName!$A$3</definedName>
    <definedName name="skilltree_1_2_1_3_points">'Digital Skill Specialties Sheet'!$A$27</definedName>
    <definedName name="skilltree_3_2_1_subSkills_points">'Digital Skill Specialties Sheet'!$M$25:$M$27</definedName>
    <definedName name="changelog_versionNumbers_list">Changelog!$A$1:$A$7</definedName>
    <definedName name="skilltree_3_bonusPoints">'Digital Skills Sheet'!$E$75</definedName>
    <definedName name="skilltree_3_1_3_label_pointsAssigned">'Digital Skills Sheet'!$P$68</definedName>
    <definedName name="skilltree_1_2_1_bonusPoints">'Digital Skills Sheet'!$O$18</definedName>
    <definedName name="skilltree_2_3_2_percentage">'Digital Skills Sheet'!$P$57</definedName>
    <definedName name="stat_resource_consciousness">stats!$B$7</definedName>
    <definedName name="statValue_perLevel_resource_physical">stats!$D$4</definedName>
    <definedName name="skilltree_1_1_3_1_bonusPoints">'Digital Skill Specialties Sheet'!$B$20</definedName>
    <definedName name="skilltree_1_3_2_percentage">'Digital Skills Sheet'!$P$30</definedName>
    <definedName name="skilltree_2_2_3_2_points">'Digital Skill Specialties Sheet'!$G$36</definedName>
    <definedName name="skilltree_2_3_1_bonusPoints">'Digital Skills Sheet'!$O$54</definedName>
    <definedName name="skilltree_3_1_3_2_points">'Digital Skill Specialties Sheet'!$M$21</definedName>
    <definedName name="skillName_1_1_3">skillName!$A$17</definedName>
    <definedName name="skilltree_1_3_3_percentage">'Digital Skills Sheet'!$P$33</definedName>
    <definedName name="skillName_2_1_2">skillName!$A$25</definedName>
    <definedName name="skilltree_3_2_3_percentage">'Digital Skills Sheet'!$P$78</definedName>
    <definedName name="skilltree_tier4_2_pointsAssigned">'Digital Skill Specialties Sheet'!$G$10:$G$52</definedName>
    <definedName name="traitName_positive3_list">traitName!$B$2:$B$31</definedName>
    <definedName name="skilltree_2_3_2_label_pointsAssigned">'Digital Skills Sheet'!$P$56</definedName>
    <definedName name="skilltree_1_1_1_percentage">'Digital Skills Sheet'!$P$9</definedName>
    <definedName name="skilltree_3_3_1_subSkills_points">'Digital Skill Specialties Sheet'!$M$40:$M$42</definedName>
    <definedName name="skilltree_2_1_3_subSkills_points">'Digital Skill Specialties Sheet'!$G$20:$G$22</definedName>
    <definedName name="skilltree_3_1_2_1_bonusPoints">'Digital Skill Specialties Sheet'!$N$15</definedName>
    <definedName name="skilltree_2_2_1_2_points">'Digital Skill Specialties Sheet'!$G$26</definedName>
    <definedName name="skilltree_2_3_2_subSkills_points">'Digital Skill Specialties Sheet'!$G$45:$G$47</definedName>
    <definedName name="skilltree_2_3_1_label_pointsAssigned">'Digital Skills Sheet'!$P$53</definedName>
    <definedName name="skillName_3_1">skillName!$A$12</definedName>
    <definedName name="skilltree_3_2_1_2_points">'Digital Skill Specialties Sheet'!$M$26</definedName>
    <definedName name="statValue_perLevel_scale_spiritual">stats!$D$17</definedName>
    <definedName name="skillName_1_3">skillName!$A$8</definedName>
    <definedName name="skilltree_2_1_2_subSkills_points">'Digital Skill Specialties Sheet'!$G$15:$G$17</definedName>
    <definedName name="skilltree_2_2_2_1_bonusPoints">'Digital Skill Specialties Sheet'!$H$30</definedName>
    <definedName name="skilltree_2_2_bonusPoints">'Digital Skills Sheet'!$J$48</definedName>
    <definedName name="skilltree_3_1_1_2_points">'Digital Skill Specialties Sheet'!$M$11</definedName>
    <definedName name="stat_blanketTerm_defense">stats!$B$9</definedName>
    <definedName name="skilltree_1_3_3_1_points">'Digital Skill Specialties Sheet'!$A$50</definedName>
    <definedName name="skilltree_3_3_3_percentage">'Digital Skills Sheet'!$P$87</definedName>
    <definedName name="skilltree_1_2_bonusPoints">'Digital Skills Sheet'!$J$21</definedName>
    <definedName name="skilltree_1_1_3_label">'Digital Skills Sheet'!$N$14</definedName>
    <definedName name="statValue_perLevel_scale_mental">stats!$D$16</definedName>
    <definedName name="skilltree_3_1_3_percentage">'Digital Skills Sheet'!$P$69</definedName>
    <definedName name="skilltree_2_3_1_1_points">'Digital Skill Specialties Sheet'!$G$40</definedName>
    <definedName name="skilltree_3_3_1_1_points">'Digital Skill Specialties Sheet'!$M$40</definedName>
    <definedName name="skilltree_1_1_2_2_points">'Digital Skill Specialties Sheet'!$A$16</definedName>
    <definedName name="skilltree_3_3_1_2_points">'Digital Skill Specialties Sheet'!$M$41</definedName>
    <definedName name="charStats_level">'Digital Character Sheet'!$C$14</definedName>
    <definedName name="skilltree_2_1_2_1_points">'Digital Skill Specialties Sheet'!$G$15</definedName>
    <definedName name="skilltree_2_2_2_1_points">'Digital Skill Specialties Sheet'!$G$30</definedName>
    <definedName name="skilltree_1_2_3_percentage">'Digital Skills Sheet'!$P$24</definedName>
    <definedName name="skilltree_3_3_2_2_bonusPoints">'Digital Skill Specialties Sheet'!$N$46</definedName>
    <definedName name="skilltree_3_1_1_bonusPoints">'Digital Skills Sheet'!$O$63</definedName>
    <definedName name="systemData_copyrightHolder">systemData!$A$10</definedName>
    <definedName name="skilltree_2_3_2_3_bonusPoints">'Digital Skill Specialties Sheet'!$H$47</definedName>
    <definedName name="skilltree_2_3_bonusPoints">'Digital Skills Sheet'!$J$57</definedName>
    <definedName name="skilltree_1_2_2_label">'Digital Skills Sheet'!$N$20</definedName>
    <definedName name="skillName_3_1_1">skillName!$A$33</definedName>
    <definedName name="skilltree_3_3_2_2_points">'Digital Skill Specialties Sheet'!$M$46</definedName>
    <definedName name="skilltree_1_3_3_3_bonusPoints">'Digital Skill Specialties Sheet'!$B$52</definedName>
    <definedName name="skilltree_1_3_2_subSkills_points">'Digital Skill Specialties Sheet'!$A$45:$A$47</definedName>
    <definedName name="skilltree_3_3_subSkills_points">'Digital Skills Sheet'!$N$81:$N$87</definedName>
    <definedName name="stat_defense_physical">stats!$B$10</definedName>
    <definedName name="skilltree_3_2_3_2_bonusPoints">'Digital Skill Specialties Sheet'!$N$36</definedName>
    <definedName name="skilltree_1_2_1_points">'Digital Skills Sheet'!$N$18</definedName>
    <definedName name="skilltree_3_2_1_label">'Digital Skills Sheet'!$N$71</definedName>
    <definedName name="skillName_1_3_2">skillName!$A$22</definedName>
    <definedName name="skilltree_2_3_2_2_bonusPoints">'Digital Skill Specialties Sheet'!$H$46</definedName>
    <definedName name="skilltree_3_2_3_label">'Digital Skills Sheet'!$N$77</definedName>
    <definedName name="skilltree_3_2_3_bonusPoints">'Digital Skills Sheet'!$O$78</definedName>
    <definedName name="skilltree_1_2_3_label">'Digital Skills Sheet'!$N$23</definedName>
    <definedName name="skilltree_1_3_2_1_points">'Digital Skill Specialties Sheet'!$A$45</definedName>
    <definedName name="skilltree_1_3_1_bonusPoints">'Digital Skills Sheet'!$O$27</definedName>
    <definedName name="skilltree_1_3_3_1_bonusPoints">'Digital Skill Specialties Sheet'!$B$50</definedName>
    <definedName name="skillName_3">skillName!$A$5</definedName>
    <definedName name="skilltree_2_3_3_3_bonusPoints">'Digital Skill Specialties Sheet'!$H$52</definedName>
    <definedName name="skilltree_2_1_3_3_bonusPoints">'Digital Skill Specialties Sheet'!$H$22</definedName>
    <definedName name="skillName_2_3_2">skillName!$A$31</definedName>
    <definedName name="skilltree_2_3_1_percentage">'Digital Skills Sheet'!$P$54</definedName>
    <definedName name="skilltree_1_percentage">'Digital Skills Sheet'!$F$21</definedName>
    <definedName name="skilltree_1_1_3_2_points">'Digital Skill Specialties Sheet'!$A$21</definedName>
    <definedName name="skilltree_1_2_1_2_bonusPoints">'Digital Skill Specialties Sheet'!$B$26</definedName>
    <definedName name="stat_resource_spiritual">stats!$B$6</definedName>
    <definedName name="skilltree_1_3_1_subSkills_points">'Digital Skill Specialties Sheet'!$A$40:$A$42</definedName>
    <definedName name="skilltree_2_1_1_points">'Digital Skills Sheet'!$N$36</definedName>
    <definedName name="skilltree_2_1_1_2_bonusPoints">'Digital Skill Specialties Sheet'!$H$11</definedName>
    <definedName name="skillName_2_2_3">skillName!$A$29</definedName>
    <definedName name="skilltree_1_2_points">'Digital Skills Sheet'!$I$21</definedName>
    <definedName name="skilltree_2_3_2_3_points">'Digital Skill Specialties Sheet'!$G$47</definedName>
    <definedName name="skilltree_2_2_1_label_pointsAssigned">'Digital Skills Sheet'!$P$44</definedName>
    <definedName name="skilltree_1_2_2_percentage">'Digital Skills Sheet'!$P$21</definedName>
    <definedName name="skilltree_3_2_2_label_pointsAssigned">'Digital Skills Sheet'!$P$74</definedName>
    <definedName name="skilltree_3_3_2_1_points">'Digital Skill Specialties Sheet'!$M$45</definedName>
    <definedName name="traitName_negative2_list">traitName!$G$2:$G$31</definedName>
    <definedName name="skilltree_3_2_3_label_pointsAssigned">'Digital Skills Sheet'!$P$77</definedName>
    <definedName name="skilltree_1_1_3_3_bonusPoints">'Digital Skill Specialties Sheet'!$B$22</definedName>
    <definedName name="skilltree_2_3_3_percentage">'Digital Skills Sheet'!$P$60</definedName>
    <definedName name="skilltree_1_1_1_3_points">'Digital Skill Specialties Sheet'!$A$12</definedName>
    <definedName name="skilltree_2_2_1_3_bonusPoints">'Digital Skill Specialties Sheet'!$H$27</definedName>
    <definedName name="traitName_positive1_list">traitName!$D$2:$D$31</definedName>
    <definedName name="skilltree_3_3_percentage">'Digital Skills Sheet'!$K$84</definedName>
    <definedName name="skilltree_3_2_3_1_bonusPoints">'Digital Skill Specialties Sheet'!$N$35</definedName>
    <definedName name="skilltree_3_2_2_bonusPoints">'Digital Skills Sheet'!$O$75</definedName>
    <definedName name="statValue_perLevel_scale_physical_strength">stats!$D$15</definedName>
    <definedName name="skilltree_2_1_2_3_bonusPoints">'Digital Skill Specialties Sheet'!$H$17</definedName>
    <definedName name="skilltree_1_2_1_percentage">'Digital Skills Sheet'!$P$18</definedName>
    <definedName name="skilltree_2_1_2_label">'Digital Skills Sheet'!$N$38</definedName>
    <definedName name="skilltree_3_1_3_2_bonusPoints">'Digital Skill Specialties Sheet'!$N$21</definedName>
    <definedName name="skilltree_1_2_2_1_points">'Digital Skill Specialties Sheet'!$A$30</definedName>
    <definedName name="skilltree_1_1_1_subSkills_points">'Digital Skill Specialties Sheet'!$A$10:$A$12</definedName>
    <definedName name="skilltree_3_1_1_1_points">'Digital Skill Specialties Sheet'!$M$10</definedName>
    <definedName name="skilltree_1_3_1_3_bonusPoints">'Digital Skill Specialties Sheet'!$B$42</definedName>
    <definedName name="skilltree_2_1_3_percentage">'Digital Skills Sheet'!$P$42</definedName>
    <definedName name="skilltree_3_1_bonusPoints">'Digital Skills Sheet'!$J$66</definedName>
    <definedName name="skilltree_3_2_percentage">'Digital Skills Sheet'!$K$75</definedName>
    <definedName name="skilltree_2_1_1_subSkills_points">'Digital Skill Specialties Sheet'!$G$10:$G$12</definedName>
    <definedName name="systemData_versionTitle_full">systemData!$A$9</definedName>
    <definedName name="skilltree_2_2_2_3_bonusPoints">'Digital Skill Specialties Sheet'!$H$32</definedName>
    <definedName name="skilltree_3_1_2_3_points">'Digital Skill Specialties Sheet'!$M$17</definedName>
    <definedName name="skilltree_2_2_2_bonusPoints">'Digital Skills Sheet'!$O$48</definedName>
    <definedName name="skilltree_2_1_2_bonusPoints">'Digital Skills Sheet'!$O$39</definedName>
    <definedName name="skilltree_3_2_points">'Digital Skills Sheet'!$I$75</definedName>
    <definedName name="skilltree_3_3_2_3_points">'Digital Skill Specialties Sheet'!$M$47</definedName>
    <definedName name="changelog_versionDates_list">Changelog!$D$1:$D$7</definedName>
    <definedName name="skilltree_3_1_2_bonusPoints">'Digital Skills Sheet'!$O$66</definedName>
    <definedName name="skilltree_1_points">'Digital Skills Sheet'!$D$21</definedName>
    <definedName name="skillName_3_1_3">skillName!$A$35</definedName>
    <definedName name="skilltree_2_1_1_bonusPoints">'Digital Skills Sheet'!$O$36</definedName>
    <definedName name="skilltree_3_1_2_label_pointsAssigned">'Digital Skills Sheet'!$P$65</definedName>
    <definedName name="skilltree_2_1_2_percentage">'Digital Skills Sheet'!$P$39</definedName>
    <definedName name="skilltree_1_3_bonusPoints">'Digital Skills Sheet'!$J$30</definedName>
    <definedName name="skilltree_3_3_3_1_bonusPoints">'Digital Skill Specialties Sheet'!$N$50</definedName>
    <definedName name="skilltree_2_3_1_3_points">'Digital Skill Specialties Sheet'!$G$42</definedName>
    <definedName name="skilltree_3_2_3_1_points">'Digital Skill Specialties Sheet'!$M$35</definedName>
    <definedName name="skilltree_1_2_3_subSkills_points">'Digital Skill Specialties Sheet'!$A$35:$A$37</definedName>
    <definedName name="stat_resources">stats!$B$4:$B$7</definedName>
    <definedName name="skilltree_2_1_3_3_points">'Digital Skill Specialties Sheet'!$G$22</definedName>
    <definedName name="skilltree_2_3_3_3_points">'Digital Skill Specialties Sheet'!$G$52</definedName>
    <definedName name="skilltree_3_3_1_1_bonusPoints">'Digital Skill Specialties Sheet'!$N$40</definedName>
    <definedName name="skilltree_2_1_3_1_points">'Digital Skill Specialties Sheet'!$G$20</definedName>
    <definedName name="skilltree_1_3_1_2_points">'Digital Skill Specialties Sheet'!$A$41</definedName>
    <definedName name="skilltree_1_3_1_percentage">'Digital Skills Sheet'!$P$27</definedName>
    <definedName name="skilltree_1_3_subSkills_points">'Digital Skills Sheet'!$N$27:$N$33</definedName>
    <definedName name="skilltree_3_2_3_3_bonusPoints">'Digital Skill Specialties Sheet'!$N$37</definedName>
    <definedName name="skilltree_2_2_2_label_pointsAssigned">'Digital Skills Sheet'!$P$47</definedName>
    <definedName name="skilltree_2_1_subSkills_points">'Digital Skills Sheet'!$N$36:$N$42</definedName>
    <definedName name="skilltree_3_3_1_percentage">'Digital Skills Sheet'!$P$81</definedName>
    <definedName name="traitName_neutral_list">traitName!$E$2:$E$31</definedName>
    <definedName name="skilltree_1_2_3_1_bonusPoints">'Digital Skill Specialties Sheet'!$B$35</definedName>
    <definedName name="skilltree_1_1_1_1_points">'Digital Skill Specialties Sheet'!$A$10</definedName>
  </definedNames>
  <calcPr/>
</workbook>
</file>

<file path=xl/sharedStrings.xml><?xml version="1.0" encoding="utf-8"?>
<sst xmlns="http://schemas.openxmlformats.org/spreadsheetml/2006/main" count="925" uniqueCount="440">
  <si>
    <t>Character Sheet</t>
  </si>
  <si>
    <t>Name</t>
  </si>
  <si>
    <t>Description</t>
  </si>
  <si>
    <t>Codename</t>
  </si>
  <si>
    <t>Race</t>
  </si>
  <si>
    <t>Gender</t>
  </si>
  <si>
    <t>Physical Age</t>
  </si>
  <si>
    <t>Apparent Age</t>
  </si>
  <si>
    <t>Faction</t>
  </si>
  <si>
    <t>Class</t>
  </si>
  <si>
    <t>Level</t>
  </si>
  <si>
    <t>Scales</t>
  </si>
  <si>
    <t>Current</t>
  </si>
  <si>
    <t>Max</t>
  </si>
  <si>
    <t>Scale</t>
  </si>
  <si>
    <t>Value</t>
  </si>
  <si>
    <t>Weapons</t>
  </si>
  <si>
    <t>Item</t>
  </si>
  <si>
    <t>Equipped</t>
  </si>
  <si>
    <t>Status</t>
  </si>
  <si>
    <t>Types</t>
  </si>
  <si>
    <t>Range</t>
  </si>
  <si>
    <t>Ammo</t>
  </si>
  <si>
    <t>Grade</t>
  </si>
  <si>
    <t>Categories</t>
  </si>
  <si>
    <t>Defenses</t>
  </si>
  <si>
    <t>Charge</t>
  </si>
  <si>
    <t>Pocket Dimension</t>
  </si>
  <si>
    <t>Wallet</t>
  </si>
  <si>
    <t>Skills Sheet</t>
  </si>
  <si>
    <t>Tier 1</t>
  </si>
  <si>
    <t>Tier 2</t>
  </si>
  <si>
    <t>Tier 3</t>
  </si>
  <si>
    <t>Base % =</t>
  </si>
  <si>
    <t>(1 * T1)</t>
  </si>
  <si>
    <t>(1 * T1) + (2 * T2)</t>
  </si>
  <si>
    <t>(1 * T1) + (2 * T2) + (3 * T3)</t>
  </si>
  <si>
    <t/>
  </si>
  <si>
    <t>Skill Specialties Sheet</t>
  </si>
  <si>
    <t>Tier 4</t>
  </si>
  <si>
    <t>(1 * T1) + (2 * T2) + (3 * T3) + (4 * T4)</t>
  </si>
  <si>
    <t>VP</t>
  </si>
  <si>
    <t>SP</t>
  </si>
  <si>
    <t>EP</t>
  </si>
  <si>
    <t>CP</t>
  </si>
  <si>
    <t>BP</t>
  </si>
  <si>
    <t>RP</t>
  </si>
  <si>
    <t>WP</t>
  </si>
  <si>
    <t>+</t>
  </si>
  <si>
    <t>%</t>
  </si>
  <si>
    <t>Abilities</t>
  </si>
  <si>
    <t>Traits Sheet</t>
  </si>
  <si>
    <t>Trait</t>
  </si>
  <si>
    <t>+ + +</t>
  </si>
  <si>
    <t>+ +</t>
  </si>
  <si>
    <t>~</t>
  </si>
  <si>
    <t>-</t>
  </si>
  <si>
    <t>- -</t>
  </si>
  <si>
    <t>- - -</t>
  </si>
  <si>
    <t>Scaling Reference</t>
  </si>
  <si>
    <t>Multiplier</t>
  </si>
  <si>
    <t>Damage</t>
  </si>
  <si>
    <t>~1.35 / scale</t>
  </si>
  <si>
    <t>Feet</t>
  </si>
  <si>
    <t>Inches</t>
  </si>
  <si>
    <t>Feet' Inch"</t>
  </si>
  <si>
    <t>Meters</t>
  </si>
  <si>
    <t>Centimeters</t>
  </si>
  <si>
    <t>Millimeters</t>
  </si>
  <si>
    <t>Lbs</t>
  </si>
  <si>
    <t>Kg</t>
  </si>
  <si>
    <t>(Dealt to)</t>
  </si>
  <si>
    <t>Scaling Calculator</t>
  </si>
  <si>
    <t>Enter values in boxes with a double border</t>
  </si>
  <si>
    <t>Decimal places -&gt;</t>
  </si>
  <si>
    <t>https://creativecommons.org/licenses/by-nc-sa/4.0/</t>
  </si>
  <si>
    <t>Version</t>
  </si>
  <si>
    <t>Edition Nickname</t>
  </si>
  <si>
    <t>Version Nickname</t>
  </si>
  <si>
    <t>Date</t>
  </si>
  <si>
    <t>Changelist</t>
  </si>
  <si>
    <t>0.5.0.0</t>
  </si>
  <si>
    <t>Squishy Meatloaf</t>
  </si>
  <si>
    <t>Pantsless Robot</t>
  </si>
  <si>
    <t>202X-XX-XX</t>
  </si>
  <si>
    <t>0.4.0.0</t>
  </si>
  <si>
    <t>Supersonic Vampire</t>
  </si>
  <si>
    <t>----Terminology Changes----
--Skills--
* Renamed base Skill to Competence
* Renamed Strength Skill to Athletics
* Renamed Athletics Skill to Strength
* Renamed Endurance Skill to Stamina
* Renamed Fortitude Skill to Resilience
* Renamed Dexterity Skill to Precision
* Renamed Precision skill to Dexterity
* Renamed Intelligence Skill to Knowledge
* Renamed Curse Skill to Curses
* Renamed Spell Skill to Spells
* Renamed Hex Skill to Hexes
--Scales--
* Renamed Rankings to Scales
* Renamed Strength Scale to Brawn
--Traits--
* Renamed Shy Trait to Insecure
* Renamed Unreasonable Trait to Subjective
* Renamed Subjective Trait to Unreasonable
* Renamed Hostile Trait to Aggressive
* Renamed Aggressive Trait to Hostile
--Character Sheet--
* Renamed Pocket Universe to Pocket Dimension
* Renamed Class field to Faction
----Rule Changes----
--General--
* Reduced Vigor, Sanity, and Essence Point maximums from [50 * Level] to [25 * Level]
* Refined definitions and guidelines for magic
* Refined combat rules
--Skills--
* Removed Ingenuity Skill
* Removed Negotiation Skill
* Moved Perception Skill to Wisdom branch
* Moved Deduction Skill to Knowledge branch
* Moved Deception Skill to Presence branch
* Added Academics Skill to Knowledge branch
* Added Intuition Skill to Wisdom branch
----Materials Changes----
--Character Sheet--
* Reordered character fields
* Swapped order of Current and Max stat fields
--Formatting--
* Thickened borders around labels on Character, Skills, Skill Specialties, and Traits Sheets
* Lightened font color of help text on Stat Points box on Character Sheet
* Changed text color from white to black on some labels on Skills and Skill Specialties Sheets
* Added "%" label to Skill Modifiers field on printable Skills and Skill Specialties Sheets
* Changed text formatting on Skill Specialties Sheet to match Skills Sheet
* Added Skill Tree branch labels to Skill Specialties Sheet
* Adjusted spacing of fields on Skill Specialties Sheet
* Added dividing lines between Skill Tree branches on Skill Specialties Sheet
* Lightened outlines around fields on Skills Sheet
* Added borders to Traits Sheet
* Centered column labels on Traits Sheet
----Removed Features----
* Removed Magic Definitions Sheet
----New Features----
--Materials--
* Added logo
* Added rulebook document and moved combat rules and magic definitions from materials spreadsheet
* Added Skills Sheet and moved Skill Tree from Character Sheet
* Added Scaling Reference Sheet
* Added Stat Scaling Calculator
* Added printable Skill Specialties Sheet
* Added automatic tallying of Skill Specialties' allocated Skill Points to Tier 3 Skill labels on digital Skills Sheet
* Added field for Bonus Skill Points to Skills and Skill Specialties Sheets
* Added "Base %" help text to Skills and Skill Specialties Sheets to help with calculating Skill Modifiers
--Rules--
* Added rules for Vigor, Sanity and Essence.
* Added rules for Protections.
* Added rules for Skill Points and Skill Point allocation.
* Added rules for Spiritual Skill use depleting VP, SP, or EP.</t>
  </si>
  <si>
    <t>0.3.0.0</t>
  </si>
  <si>
    <t>Seductive Insect</t>
  </si>
  <si>
    <t>----Rule Changes----
* Reduced Skill Points per Level from 5 to 3
* Reduced Vigor, Sanity, and Essence maximums from [50 + (50 * Level)] to [50 * Level]
----Materials Changes----
* Redesigned Character Sheet
----New Features----
* Added Skill Specialties and Skill Specialties Sheet
* Added Traits and Traits Sheet
* Added printable Character Sheet
* Added Wallet to Character Sheet
* Added Magic Definitions Sheet
* Added combat rules
* Added Rankings
    * Physical: Size, Mass, Strength
    * Mental: Wit
    * Spiritual: Prowess
    * Items: Grade</t>
  </si>
  <si>
    <t>0.2.0.0</t>
  </si>
  <si>
    <t>Diet Halfling</t>
  </si>
  <si>
    <t>----Materials Changes----
* Changed Skill Tree Tiers from 1-4 to 0-3
----New Features----
* Added Character Sheet
* Set Skill Points per Level at 5
* Added character resources
    * Physical: Vigor
    * Mental: Sanity
    * Spiritual: Essence
    * Maximum value: 50 + (50 * Level)
* Added Protections
    * Physical: Armor
    * Mental: Resistance
    * Spiritual: Deflection
* Added Pocket Universe (inventory)</t>
  </si>
  <si>
    <t>0.1.0.0</t>
  </si>
  <si>
    <t>Magic Caveman</t>
  </si>
  <si>
    <t>----Rule Changes----
* Reworked Spiritual Skill branch</t>
  </si>
  <si>
    <t>0.0.0.0</t>
  </si>
  <si>
    <t>Boring Rock</t>
  </si>
  <si>
    <t>----New Features----
* Drafted Skill Tree</t>
  </si>
  <si>
    <t>Rulebook</t>
  </si>
  <si>
    <t>fill in for release</t>
  </si>
  <si>
    <t>Main document</t>
  </si>
  <si>
    <t>https://docs.google.com/document/d/1Di0UDX2f8aMg9MAPPGzFBmBiDwQyURgkFFnE2QvkkfA</t>
  </si>
  <si>
    <t>Fractal RPG</t>
  </si>
  <si>
    <t>system name</t>
  </si>
  <si>
    <t>system logo</t>
  </si>
  <si>
    <t>latest system version number, short format</t>
  </si>
  <si>
    <t>latest system edition nickname</t>
  </si>
  <si>
    <t>latest system revision nickname</t>
  </si>
  <si>
    <t>first version year</t>
  </si>
  <si>
    <t>latest version year</t>
  </si>
  <si>
    <t>version title (edition nickname omitted)</t>
  </si>
  <si>
    <t>full version title</t>
  </si>
  <si>
    <t>SparkliTwizzl</t>
  </si>
  <si>
    <t>copyright holder(s)</t>
  </si>
  <si>
    <t>branding/copyright message</t>
  </si>
  <si>
    <t>stat</t>
  </si>
  <si>
    <t>label</t>
  </si>
  <si>
    <t>base points</t>
  </si>
  <si>
    <t>points per level</t>
  </si>
  <si>
    <t>skill points</t>
  </si>
  <si>
    <t>resource blanket term</t>
  </si>
  <si>
    <t>vital</t>
  </si>
  <si>
    <t>physical resource</t>
  </si>
  <si>
    <t>health</t>
  </si>
  <si>
    <t>mental resource</t>
  </si>
  <si>
    <t>sanity</t>
  </si>
  <si>
    <t>spiritual resource</t>
  </si>
  <si>
    <t>essence</t>
  </si>
  <si>
    <t>consciousness resource</t>
  </si>
  <si>
    <t>cognizance</t>
  </si>
  <si>
    <t>damage blanket term</t>
  </si>
  <si>
    <t>attack</t>
  </si>
  <si>
    <t>defense blanket term</t>
  </si>
  <si>
    <t>defense</t>
  </si>
  <si>
    <t>physical defense</t>
  </si>
  <si>
    <t>barrier</t>
  </si>
  <si>
    <t>mental defense</t>
  </si>
  <si>
    <t>resistance</t>
  </si>
  <si>
    <t>spiritual defense</t>
  </si>
  <si>
    <t>warding</t>
  </si>
  <si>
    <t>physical scales</t>
  </si>
  <si>
    <t>size</t>
  </si>
  <si>
    <t>mass</t>
  </si>
  <si>
    <t>brawn</t>
  </si>
  <si>
    <t>mental scale</t>
  </si>
  <si>
    <t>wit</t>
  </si>
  <si>
    <t>spiritual scale</t>
  </si>
  <si>
    <t>prowess</t>
  </si>
  <si>
    <t>equipment scale</t>
  </si>
  <si>
    <t>grade</t>
  </si>
  <si>
    <t>scale</t>
  </si>
  <si>
    <t>multiplier</t>
  </si>
  <si>
    <t>skill name</t>
  </si>
  <si>
    <t>tier</t>
  </si>
  <si>
    <t>competence</t>
  </si>
  <si>
    <t>tier 0</t>
  </si>
  <si>
    <t>physical</t>
  </si>
  <si>
    <t>tier 1</t>
  </si>
  <si>
    <t>mental</t>
  </si>
  <si>
    <t>spiritual</t>
  </si>
  <si>
    <t>athletics</t>
  </si>
  <si>
    <t>tier 2</t>
  </si>
  <si>
    <t>agility</t>
  </si>
  <si>
    <t>precision</t>
  </si>
  <si>
    <t>knowledge</t>
  </si>
  <si>
    <t>wisdom</t>
  </si>
  <si>
    <t>presence</t>
  </si>
  <si>
    <t>curses</t>
  </si>
  <si>
    <t>spells</t>
  </si>
  <si>
    <t>hexes</t>
  </si>
  <si>
    <t>strength</t>
  </si>
  <si>
    <t>tier 3</t>
  </si>
  <si>
    <t>stamina</t>
  </si>
  <si>
    <t>resilience</t>
  </si>
  <si>
    <t>acrobatics</t>
  </si>
  <si>
    <t>haste</t>
  </si>
  <si>
    <t>reflexes</t>
  </si>
  <si>
    <t>finesse</t>
  </si>
  <si>
    <t>dexterity</t>
  </si>
  <si>
    <t>stealth</t>
  </si>
  <si>
    <t>academics</t>
  </si>
  <si>
    <t>deduction</t>
  </si>
  <si>
    <t>communication</t>
  </si>
  <si>
    <t>perception</t>
  </si>
  <si>
    <t>intuition</t>
  </si>
  <si>
    <t>resourcefulness</t>
  </si>
  <si>
    <t>persuasion</t>
  </si>
  <si>
    <t>deception</t>
  </si>
  <si>
    <t>intimidation</t>
  </si>
  <si>
    <t>enchanting</t>
  </si>
  <si>
    <t>beholding</t>
  </si>
  <si>
    <t>transmutation</t>
  </si>
  <si>
    <t>invocation</t>
  </si>
  <si>
    <t>illusions</t>
  </si>
  <si>
    <t>fabrication</t>
  </si>
  <si>
    <t>jinxes</t>
  </si>
  <si>
    <t>possession</t>
  </si>
  <si>
    <t>restoration</t>
  </si>
  <si>
    <t>trait name</t>
  </si>
  <si>
    <t>anxiety</t>
  </si>
  <si>
    <t>serene</t>
  </si>
  <si>
    <t>carefree</t>
  </si>
  <si>
    <t>relaxed</t>
  </si>
  <si>
    <t>stable</t>
  </si>
  <si>
    <t>uncomfortable</t>
  </si>
  <si>
    <t>tense</t>
  </si>
  <si>
    <t>agitated</t>
  </si>
  <si>
    <t>attention</t>
  </si>
  <si>
    <t>fixated</t>
  </si>
  <si>
    <t>dedicated</t>
  </si>
  <si>
    <t>focused</t>
  </si>
  <si>
    <t>disinterested</t>
  </si>
  <si>
    <t>preoccupied</t>
  </si>
  <si>
    <t>distracted</t>
  </si>
  <si>
    <t>flustered</t>
  </si>
  <si>
    <t>caution</t>
  </si>
  <si>
    <t>meticulous</t>
  </si>
  <si>
    <t>thorough</t>
  </si>
  <si>
    <t>careful</t>
  </si>
  <si>
    <t>aware</t>
  </si>
  <si>
    <t>careless</t>
  </si>
  <si>
    <t>negligent</t>
  </si>
  <si>
    <t>self-destructive</t>
  </si>
  <si>
    <t>confidence</t>
  </si>
  <si>
    <t>emphatic</t>
  </si>
  <si>
    <t>confident</t>
  </si>
  <si>
    <t>assertive</t>
  </si>
  <si>
    <t>undecided</t>
  </si>
  <si>
    <t>self-conscious</t>
  </si>
  <si>
    <t>insecure</t>
  </si>
  <si>
    <t>withdrawn</t>
  </si>
  <si>
    <t>curiosity</t>
  </si>
  <si>
    <t>nosy</t>
  </si>
  <si>
    <t>inquisitive</t>
  </si>
  <si>
    <t>curious</t>
  </si>
  <si>
    <t>disengaged</t>
  </si>
  <si>
    <t>unexcited</t>
  </si>
  <si>
    <t>bored</t>
  </si>
  <si>
    <t>removed</t>
  </si>
  <si>
    <t>decisiveness</t>
  </si>
  <si>
    <t>adamant</t>
  </si>
  <si>
    <t>resolute</t>
  </si>
  <si>
    <t>decisive</t>
  </si>
  <si>
    <t>indifferent</t>
  </si>
  <si>
    <t>hesitant</t>
  </si>
  <si>
    <t>vague</t>
  </si>
  <si>
    <t>evasive</t>
  </si>
  <si>
    <t>determination</t>
  </si>
  <si>
    <t>relentless</t>
  </si>
  <si>
    <t>devoted</t>
  </si>
  <si>
    <t>committed</t>
  </si>
  <si>
    <t>apathetic</t>
  </si>
  <si>
    <t>uncommitted</t>
  </si>
  <si>
    <t>yielding</t>
  </si>
  <si>
    <t>submissive</t>
  </si>
  <si>
    <t>disposition</t>
  </si>
  <si>
    <t>pacifistic</t>
  </si>
  <si>
    <t>humane</t>
  </si>
  <si>
    <t>gracious</t>
  </si>
  <si>
    <t>detached</t>
  </si>
  <si>
    <t>cruel</t>
  </si>
  <si>
    <t>heartless</t>
  </si>
  <si>
    <t>psychopathic</t>
  </si>
  <si>
    <t>effort</t>
  </si>
  <si>
    <t>fanatical</t>
  </si>
  <si>
    <t>zealous</t>
  </si>
  <si>
    <t>eager</t>
  </si>
  <si>
    <t>inactive</t>
  </si>
  <si>
    <t>sluggish</t>
  </si>
  <si>
    <t>lazy</t>
  </si>
  <si>
    <t>lethargic</t>
  </si>
  <si>
    <t>emotion</t>
  </si>
  <si>
    <t>flamboyant</t>
  </si>
  <si>
    <t>excited</t>
  </si>
  <si>
    <t>bubbly</t>
  </si>
  <si>
    <t>balanced</t>
  </si>
  <si>
    <t>sombre</t>
  </si>
  <si>
    <t>stoic</t>
  </si>
  <si>
    <t>deadpan</t>
  </si>
  <si>
    <t>empathy</t>
  </si>
  <si>
    <t>compassionate</t>
  </si>
  <si>
    <t>caring</t>
  </si>
  <si>
    <t>sympathetic</t>
  </si>
  <si>
    <t>uninvolved</t>
  </si>
  <si>
    <t>aloof</t>
  </si>
  <si>
    <t>insensitive</t>
  </si>
  <si>
    <t>callous</t>
  </si>
  <si>
    <t>forcefulness</t>
  </si>
  <si>
    <t>delicate</t>
  </si>
  <si>
    <t>soft</t>
  </si>
  <si>
    <t>gentle</t>
  </si>
  <si>
    <t>moderate</t>
  </si>
  <si>
    <t>rough</t>
  </si>
  <si>
    <t>violent</t>
  </si>
  <si>
    <t>savage</t>
  </si>
  <si>
    <t>formality</t>
  </si>
  <si>
    <t>pompous</t>
  </si>
  <si>
    <t>formal</t>
  </si>
  <si>
    <t>orderly</t>
  </si>
  <si>
    <t>plain</t>
  </si>
  <si>
    <t>informal</t>
  </si>
  <si>
    <t>casual</t>
  </si>
  <si>
    <t>sloppy</t>
  </si>
  <si>
    <t>honesty</t>
  </si>
  <si>
    <t>genuine</t>
  </si>
  <si>
    <t>truthful</t>
  </si>
  <si>
    <t>sincere</t>
  </si>
  <si>
    <t>nebulous</t>
  </si>
  <si>
    <t>misleading</t>
  </si>
  <si>
    <t>dishonest</t>
  </si>
  <si>
    <t>deceitful</t>
  </si>
  <si>
    <t>hygiene</t>
  </si>
  <si>
    <t>spotless</t>
  </si>
  <si>
    <t>clean</t>
  </si>
  <si>
    <t>tidy</t>
  </si>
  <si>
    <t>presentable</t>
  </si>
  <si>
    <t>disheveled</t>
  </si>
  <si>
    <t>dirty</t>
  </si>
  <si>
    <t>disgusting</t>
  </si>
  <si>
    <t>lawfulness</t>
  </si>
  <si>
    <t>patriotic</t>
  </si>
  <si>
    <t>lawful</t>
  </si>
  <si>
    <t>civil</t>
  </si>
  <si>
    <t>impartial</t>
  </si>
  <si>
    <t>delinquent</t>
  </si>
  <si>
    <t>criminal</t>
  </si>
  <si>
    <t>terroristic</t>
  </si>
  <si>
    <t>logic</t>
  </si>
  <si>
    <t>objective</t>
  </si>
  <si>
    <t>logical</t>
  </si>
  <si>
    <t>rational</t>
  </si>
  <si>
    <t>reasonable</t>
  </si>
  <si>
    <t>subjective</t>
  </si>
  <si>
    <t>unreasonable</t>
  </si>
  <si>
    <t>irrational</t>
  </si>
  <si>
    <t>loyalty</t>
  </si>
  <si>
    <t>inseparable</t>
  </si>
  <si>
    <t>dutiful</t>
  </si>
  <si>
    <t>loyal</t>
  </si>
  <si>
    <t>passive</t>
  </si>
  <si>
    <t>disloyal</t>
  </si>
  <si>
    <t>traitorous</t>
  </si>
  <si>
    <t>backstabbing</t>
  </si>
  <si>
    <t>manners</t>
  </si>
  <si>
    <t>proper</t>
  </si>
  <si>
    <t>polite</t>
  </si>
  <si>
    <t>courteous</t>
  </si>
  <si>
    <t>lukewarm</t>
  </si>
  <si>
    <t>coarse</t>
  </si>
  <si>
    <t>rude</t>
  </si>
  <si>
    <t>repulsive</t>
  </si>
  <si>
    <t>memory</t>
  </si>
  <si>
    <t>photographic</t>
  </si>
  <si>
    <t>mindful</t>
  </si>
  <si>
    <t>observant</t>
  </si>
  <si>
    <t>attentive</t>
  </si>
  <si>
    <t>inattentive</t>
  </si>
  <si>
    <t>absentminded</t>
  </si>
  <si>
    <t>forgetful</t>
  </si>
  <si>
    <t>mercy</t>
  </si>
  <si>
    <t>forgiving</t>
  </si>
  <si>
    <t>merciful</t>
  </si>
  <si>
    <t>lenient</t>
  </si>
  <si>
    <t>conditional</t>
  </si>
  <si>
    <t>harsh</t>
  </si>
  <si>
    <t>merciless</t>
  </si>
  <si>
    <t>ruthless</t>
  </si>
  <si>
    <t>mindedness</t>
  </si>
  <si>
    <t>broad</t>
  </si>
  <si>
    <t>open</t>
  </si>
  <si>
    <t>receptive</t>
  </si>
  <si>
    <t>simple</t>
  </si>
  <si>
    <t>unreceptive</t>
  </si>
  <si>
    <t>closed</t>
  </si>
  <si>
    <t>narrow</t>
  </si>
  <si>
    <t>morality</t>
  </si>
  <si>
    <t>good</t>
  </si>
  <si>
    <t>virtuous</t>
  </si>
  <si>
    <t>decent</t>
  </si>
  <si>
    <t>neutral</t>
  </si>
  <si>
    <t>corrupt</t>
  </si>
  <si>
    <t>wicked</t>
  </si>
  <si>
    <t>evil</t>
  </si>
  <si>
    <t>naivete</t>
  </si>
  <si>
    <t>cynical</t>
  </si>
  <si>
    <t>distrustful</t>
  </si>
  <si>
    <t>skeptical</t>
  </si>
  <si>
    <t>innocent</t>
  </si>
  <si>
    <t>unsuspecting</t>
  </si>
  <si>
    <t>gullible</t>
  </si>
  <si>
    <t>foolish</t>
  </si>
  <si>
    <t>patience</t>
  </si>
  <si>
    <t>peaceful</t>
  </si>
  <si>
    <t>patient</t>
  </si>
  <si>
    <t>calm</t>
  </si>
  <si>
    <t>unconcerned</t>
  </si>
  <si>
    <t>restless</t>
  </si>
  <si>
    <t>impatient</t>
  </si>
  <si>
    <t>belligerent</t>
  </si>
  <si>
    <t>predictability</t>
  </si>
  <si>
    <t>routine</t>
  </si>
  <si>
    <t>periodic</t>
  </si>
  <si>
    <t>predictable</t>
  </si>
  <si>
    <t>inconsistent</t>
  </si>
  <si>
    <t>spontaneous</t>
  </si>
  <si>
    <t>erratic</t>
  </si>
  <si>
    <t>chaotic</t>
  </si>
  <si>
    <t>restraint</t>
  </si>
  <si>
    <t>steady</t>
  </si>
  <si>
    <t>controlled</t>
  </si>
  <si>
    <t>subdued</t>
  </si>
  <si>
    <t>unchecked</t>
  </si>
  <si>
    <t>loose</t>
  </si>
  <si>
    <t>wild</t>
  </si>
  <si>
    <t>sociability</t>
  </si>
  <si>
    <t>neighborly</t>
  </si>
  <si>
    <t>friendly</t>
  </si>
  <si>
    <t>easygoing</t>
  </si>
  <si>
    <t>impersonal</t>
  </si>
  <si>
    <t>antisocial</t>
  </si>
  <si>
    <t>isolated</t>
  </si>
  <si>
    <t>reclusive</t>
  </si>
  <si>
    <t>temper</t>
  </si>
  <si>
    <t>tranquil</t>
  </si>
  <si>
    <t>placid</t>
  </si>
  <si>
    <t>flat</t>
  </si>
  <si>
    <t>even</t>
  </si>
  <si>
    <t>aggressive</t>
  </si>
  <si>
    <t>hostile</t>
  </si>
  <si>
    <t>explosive</t>
  </si>
  <si>
    <t>tolerance</t>
  </si>
  <si>
    <t>welcoming</t>
  </si>
  <si>
    <t>accepting</t>
  </si>
  <si>
    <t>tolerant</t>
  </si>
  <si>
    <t>unbiased</t>
  </si>
  <si>
    <t>intolerant</t>
  </si>
  <si>
    <t>rejecting</t>
  </si>
  <si>
    <t>hateful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</si>
</sst>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4">
    <numFmt numFmtId="164" formatCode="&quot;+&quot;0"/>
    <numFmt numFmtId="165" formatCode="0&quot;%&quot;"/>
    <numFmt numFmtId="166" formatCode="0.0"/>
    <numFmt numFmtId="167" formatCode="#,##0.0###################"/>
    <numFmt numFmtId="168" formatCode="#,0.00000 ft"/>
    <numFmt numFmtId="169" formatCode="#,0.000 in"/>
    <numFmt numFmtId="170" formatCode="\0' #,##0.000\&quot;"/>
    <numFmt numFmtId="171" formatCode="#,##0.#################### \m"/>
    <numFmt numFmtId="172" formatCode="#,##0.#################### c\m"/>
    <numFmt numFmtId="173" formatCode="#,##0.#################### \m\m"/>
    <numFmt numFmtId="174" formatCode="#,##0.#################### lb\s"/>
    <numFmt numFmtId="175" formatCode="#,##0.#################### kg"/>
    <numFmt numFmtId="176" formatCode="#,0.0000 ft"/>
    <numFmt numFmtId="177" formatCode="#,0.00 in"/>
    <numFmt numFmtId="178" formatCode="\0' #,##0.00\&quot;"/>
    <numFmt numFmtId="179" formatCode="#,0 lb\s"/>
    <numFmt numFmtId="180" formatCode="#,0.000 ft"/>
    <numFmt numFmtId="181" formatCode="#,0.0 in"/>
    <numFmt numFmtId="182" formatCode="\0' #,##0.0\&quot;"/>
    <numFmt numFmtId="183" formatCode="#,##0 c\m"/>
    <numFmt numFmtId="184" formatCode="#,0 \m\m"/>
    <numFmt numFmtId="185" formatCode="#,0 kg"/>
    <numFmt numFmtId="186" formatCode="#,0 in"/>
    <numFmt numFmtId="187" formatCode="\0' #,##0\&quot;"/>
    <numFmt numFmtId="188" formatCode="#,0.0 ft"/>
    <numFmt numFmtId="189" formatCode="#,##0.####################"/>
    <numFmt numFmtId="190" formatCode="#,0 ft"/>
    <numFmt numFmtId="191" formatCode="#,0.00 ft"/>
    <numFmt numFmtId="192" formatCode="#,##0' \0\&quot;"/>
    <numFmt numFmtId="193" formatCode="#,0.0 \m"/>
    <numFmt numFmtId="194" formatCode="#,0 c\m"/>
    <numFmt numFmtId="195" formatCode="#,0 \m"/>
    <numFmt numFmtId="196" formatCode="#,##0.0################### ft"/>
    <numFmt numFmtId="197" formatCode="#,##0.0################### in"/>
    <numFmt numFmtId="198" formatCode="#,##0.0################### \m"/>
    <numFmt numFmtId="199" formatCode="#,##0.0################### c\m"/>
    <numFmt numFmtId="200" formatCode="#,##0.0################### \m\m"/>
    <numFmt numFmtId="201" formatCode="#,##0.0################### lb\s"/>
    <numFmt numFmtId="202" formatCode="#,##0.0################### kg"/>
    <numFmt numFmtId="203" formatCode="yyyy-mm-dd"/>
    <numFmt numFmtId="204" formatCode="#,##0.0000000000"/>
    <numFmt numFmtId="205" formatCode="#,##0.0000000"/>
    <numFmt numFmtId="206" formatCode="#,##0.0000"/>
    <numFmt numFmtId="207" formatCode="#,##0.0"/>
  </numFmts>
  <fonts count="24">
    <font>
      <sz val="10.0"/>
      <color rgb="FF000000"/>
      <name val="Roboto"/>
      <scheme val="minor"/>
    </font>
    <font>
      <sz val="10.0"/>
      <color theme="1"/>
      <name val="Roboto"/>
      <scheme val="minor"/>
    </font>
    <font>
      <b/>
      <sz val="18.0"/>
      <color theme="1"/>
      <name val="Roboto"/>
      <scheme val="minor"/>
    </font>
    <font>
      <b/>
      <sz val="24.0"/>
      <color theme="1"/>
      <name val="Roboto"/>
      <scheme val="minor"/>
    </font>
    <font>
      <b/>
      <sz val="9.0"/>
      <color theme="1"/>
      <name val="Roboto"/>
      <scheme val="minor"/>
    </font>
    <font>
      <sz val="9.0"/>
      <color theme="1"/>
      <name val="Roboto"/>
      <scheme val="minor"/>
    </font>
    <font/>
    <font>
      <b/>
      <sz val="9.0"/>
      <color theme="1"/>
      <name val="Roboto"/>
    </font>
    <font>
      <b/>
      <sz val="8.0"/>
      <color theme="1"/>
      <name val="Roboto"/>
      <scheme val="minor"/>
    </font>
    <font>
      <b/>
      <sz val="9.0"/>
      <color rgb="FF999999"/>
      <name val="Roboto"/>
      <scheme val="minor"/>
    </font>
    <font>
      <b/>
      <sz val="9.0"/>
      <color rgb="FF000000"/>
      <name val="Roboto"/>
      <scheme val="minor"/>
    </font>
    <font>
      <sz val="9.0"/>
      <color rgb="FF000000"/>
      <name val="Roboto"/>
      <scheme val="minor"/>
    </font>
    <font>
      <sz val="9.0"/>
      <color rgb="FFB7B7B7"/>
      <name val="Roboto"/>
      <scheme val="minor"/>
    </font>
    <font>
      <color theme="1"/>
      <name val="Roboto"/>
      <scheme val="minor"/>
    </font>
    <font>
      <sz val="9.0"/>
      <color rgb="FF999999"/>
      <name val="Roboto"/>
      <scheme val="minor"/>
    </font>
    <font>
      <color theme="1"/>
      <name val="Roboto"/>
    </font>
    <font>
      <color rgb="FF999999"/>
      <name val="Roboto"/>
      <scheme val="minor"/>
    </font>
    <font>
      <sz val="18.0"/>
      <color theme="1"/>
      <name val="Roboto"/>
      <scheme val="minor"/>
    </font>
    <font>
      <sz val="24.0"/>
      <color theme="1"/>
      <name val="Roboto"/>
      <scheme val="minor"/>
    </font>
    <font>
      <b/>
      <color theme="1"/>
      <name val="Roboto"/>
      <scheme val="minor"/>
    </font>
    <font>
      <b/>
      <i/>
      <color theme="1"/>
      <name val="Roboto"/>
      <scheme val="minor"/>
    </font>
    <font>
      <i/>
      <color theme="1"/>
      <name val="Roboto"/>
      <scheme val="minor"/>
    </font>
    <font>
      <u/>
      <color rgb="FF1155CC"/>
    </font>
    <font>
      <u/>
      <color rgb="FF0000FF"/>
    </font>
  </fonts>
  <fills count="28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  <fill>
      <patternFill patternType="solid">
        <fgColor rgb="FFFF99CC"/>
        <bgColor rgb="FFFF99CC"/>
      </patternFill>
    </fill>
    <fill>
      <patternFill patternType="solid">
        <fgColor rgb="FFFFAADD"/>
        <bgColor rgb="FFFFAADD"/>
      </patternFill>
    </fill>
    <fill>
      <patternFill patternType="solid">
        <fgColor rgb="FFFF8888"/>
        <bgColor rgb="FFFF8888"/>
      </patternFill>
    </fill>
    <fill>
      <patternFill patternType="solid">
        <fgColor rgb="FFFFCCCC"/>
        <bgColor rgb="FFFFCCCC"/>
      </patternFill>
    </fill>
    <fill>
      <patternFill patternType="solid">
        <fgColor rgb="FFFFAAAA"/>
        <bgColor rgb="FFFFAAAA"/>
      </patternFill>
    </fill>
    <fill>
      <patternFill patternType="solid">
        <fgColor rgb="FFFFBB77"/>
        <bgColor rgb="FFFFBB77"/>
      </patternFill>
    </fill>
    <fill>
      <patternFill patternType="solid">
        <fgColor rgb="FFFFCC99"/>
        <bgColor rgb="FFFFCC99"/>
      </patternFill>
    </fill>
    <fill>
      <patternFill patternType="solid">
        <fgColor rgb="FFDDFF66"/>
        <bgColor rgb="FFDDFF66"/>
      </patternFill>
    </fill>
    <fill>
      <patternFill patternType="solid">
        <fgColor rgb="FFEEFFAA"/>
        <bgColor rgb="FFEEFFAA"/>
      </patternFill>
    </fill>
    <fill>
      <patternFill patternType="solid">
        <fgColor rgb="FF77FF77"/>
        <bgColor rgb="FF77FF77"/>
      </patternFill>
    </fill>
    <fill>
      <patternFill patternType="solid">
        <fgColor rgb="FFCCFFCC"/>
        <bgColor rgb="FFCCFFCC"/>
      </patternFill>
    </fill>
    <fill>
      <patternFill patternType="solid">
        <fgColor rgb="FFAAFFAA"/>
        <bgColor rgb="FFAAFFAA"/>
      </patternFill>
    </fill>
    <fill>
      <patternFill patternType="solid">
        <fgColor rgb="FF66FFDD"/>
        <bgColor rgb="FF66FFDD"/>
      </patternFill>
    </fill>
    <fill>
      <patternFill patternType="solid">
        <fgColor rgb="FFAAFFEE"/>
        <bgColor rgb="FFAAFFEE"/>
      </patternFill>
    </fill>
    <fill>
      <patternFill patternType="solid">
        <fgColor rgb="FF88CCFF"/>
        <bgColor rgb="FF88CCFF"/>
      </patternFill>
    </fill>
    <fill>
      <patternFill patternType="solid">
        <fgColor rgb="FFAADDFF"/>
        <bgColor rgb="FFAADDFF"/>
      </patternFill>
    </fill>
    <fill>
      <patternFill patternType="solid">
        <fgColor rgb="FFAAAAFF"/>
        <bgColor rgb="FFAAAAFF"/>
      </patternFill>
    </fill>
    <fill>
      <patternFill patternType="solid">
        <fgColor rgb="FFCCCCFF"/>
        <bgColor rgb="FFCCCCFF"/>
      </patternFill>
    </fill>
    <fill>
      <patternFill patternType="solid">
        <fgColor rgb="FFBBBBFF"/>
        <bgColor rgb="FFBBBBFF"/>
      </patternFill>
    </fill>
    <fill>
      <patternFill patternType="solid">
        <fgColor rgb="FFDD99FF"/>
        <bgColor rgb="FFDD99FF"/>
      </patternFill>
    </fill>
    <fill>
      <patternFill patternType="solid">
        <fgColor rgb="FFEEBBFF"/>
        <bgColor rgb="FFEEBB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</fills>
  <borders count="131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B7B7B7"/>
      </right>
      <top style="thin">
        <color rgb="FF999999"/>
      </top>
      <bottom style="thin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thin">
        <color rgb="FF999999"/>
      </left>
    </border>
    <border>
      <right style="thin">
        <color rgb="FF999999"/>
      </right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left style="medium">
        <color rgb="FF999999"/>
      </left>
      <right style="medium">
        <color rgb="FF999999"/>
      </right>
      <top style="medium">
        <color rgb="FF999999"/>
      </top>
    </border>
    <border>
      <left style="medium">
        <color rgb="FF999999"/>
      </left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right style="medium">
        <color rgb="FF999999"/>
      </right>
    </border>
    <border>
      <left style="medium">
        <color rgb="FF999999"/>
      </left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left style="medium">
        <color rgb="FF999999"/>
      </left>
      <right style="medium">
        <color rgb="FF999999"/>
      </right>
      <bottom style="medium">
        <color rgb="FF999999"/>
      </bottom>
    </border>
    <border>
      <left style="thin">
        <color rgb="FF999999"/>
      </left>
      <right style="thin">
        <color rgb="FF999999"/>
      </right>
      <bottom style="hair">
        <color rgb="FF999999"/>
      </bottom>
    </border>
    <border>
      <left style="thin">
        <color rgb="FF999999"/>
      </left>
      <right style="hair">
        <color rgb="FF999999"/>
      </right>
      <bottom style="hair">
        <color rgb="FF999999"/>
      </bottom>
    </border>
    <border>
      <left style="hair">
        <color rgb="FF999999"/>
      </left>
      <right style="thin">
        <color rgb="FF999999"/>
      </right>
      <bottom style="hair">
        <color rgb="FF999999"/>
      </bottom>
    </border>
    <border>
      <left style="thin">
        <color rgb="FF999999"/>
      </left>
      <right style="thin">
        <color rgb="FF999999"/>
      </right>
      <top style="hair">
        <color rgb="FF999999"/>
      </top>
      <bottom style="hair">
        <color rgb="FF999999"/>
      </bottom>
    </border>
    <border>
      <left style="thin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thin">
        <color rgb="FF999999"/>
      </right>
      <top style="hair">
        <color rgb="FF999999"/>
      </top>
      <bottom style="hair">
        <color rgb="FF999999"/>
      </bottom>
    </border>
    <border>
      <left style="thin">
        <color rgb="FF999999"/>
      </left>
      <right style="thin">
        <color rgb="FF999999"/>
      </right>
      <top style="hair">
        <color rgb="FF999999"/>
      </top>
      <bottom style="thin">
        <color rgb="FF999999"/>
      </bottom>
    </border>
    <border>
      <left style="thin">
        <color rgb="FF999999"/>
      </left>
      <right style="hair">
        <color rgb="FF999999"/>
      </right>
      <top style="hair">
        <color rgb="FF999999"/>
      </top>
      <bottom style="thin">
        <color rgb="FF999999"/>
      </bottom>
    </border>
    <border>
      <left style="hair">
        <color rgb="FF999999"/>
      </left>
      <right style="thin">
        <color rgb="FF999999"/>
      </right>
      <top style="hair">
        <color rgb="FF999999"/>
      </top>
      <bottom style="thin">
        <color rgb="FF999999"/>
      </bottom>
    </border>
    <border>
      <top style="thin">
        <color rgb="FF999999"/>
      </top>
    </border>
    <border>
      <top style="medium">
        <color rgb="FF999999"/>
      </top>
    </border>
    <border>
      <left style="thin">
        <color rgb="FF999999"/>
      </left>
      <right style="thin">
        <color rgb="FF999999"/>
      </right>
      <top style="hair">
        <color rgb="FF999999"/>
      </top>
    </border>
    <border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left style="hair">
        <color rgb="FF999999"/>
      </left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 style="hair">
        <color rgb="FF999999"/>
      </left>
      <top style="hair">
        <color rgb="FF999999"/>
      </top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999999"/>
      </right>
    </border>
    <border>
      <left style="medium">
        <color rgb="FF999999"/>
      </left>
    </border>
    <border>
      <left style="thin">
        <color rgb="FF999999"/>
      </left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thin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right style="thin">
        <color rgb="FF999999"/>
      </right>
      <top style="hair">
        <color rgb="FF999999"/>
      </top>
    </border>
    <border>
      <left style="thin">
        <color rgb="FF999999"/>
      </left>
      <bottom style="hair">
        <color rgb="FF999999"/>
      </bottom>
    </border>
    <border>
      <right style="thin">
        <color rgb="FF999999"/>
      </right>
      <bottom style="hair">
        <color rgb="FF999999"/>
      </bottom>
    </border>
    <border>
      <left style="thin">
        <color rgb="FF999999"/>
      </left>
      <top style="hair">
        <color rgb="FF999999"/>
      </top>
      <bottom style="hair">
        <color rgb="FF999999"/>
      </bottom>
    </border>
    <border>
      <right style="thin">
        <color rgb="FF999999"/>
      </right>
      <top style="hair">
        <color rgb="FF999999"/>
      </top>
      <bottom style="hair">
        <color rgb="FF999999"/>
      </bottom>
    </border>
    <border>
      <left style="thin">
        <color rgb="FF999999"/>
      </left>
      <top style="hair">
        <color rgb="FF999999"/>
      </top>
    </border>
    <border>
      <right style="thin">
        <color rgb="FF999999"/>
      </right>
      <top style="hair">
        <color rgb="FF999999"/>
      </top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dotted">
        <color rgb="FF000000"/>
      </right>
    </border>
    <border>
      <right style="medium">
        <color rgb="FF000000"/>
      </right>
    </border>
    <border>
      <top style="medium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dotted">
        <color rgb="FF000000"/>
      </bottom>
    </border>
    <border>
      <top style="hair">
        <color rgb="FF000000"/>
      </top>
    </border>
    <border>
      <bottom style="hair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</borders>
  <cellStyleXfs count="1">
    <xf borderId="0" fillId="0" fontId="0" numFmtId="0" applyAlignment="1" applyFont="1"/>
  </cellStyleXfs>
  <cellXfs count="5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right" readingOrder="0" shrinkToFit="0" vertical="center" wrapText="1"/>
    </xf>
    <xf borderId="1" fillId="0" fontId="4" numFmtId="0" xfId="0" applyAlignment="1" applyBorder="1" applyFont="1">
      <alignment horizontal="righ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6" numFmtId="0" xfId="0" applyBorder="1" applyFont="1"/>
    <xf borderId="3" fillId="0" fontId="6" numFmtId="0" xfId="0" applyBorder="1" applyFont="1"/>
    <xf borderId="0" fillId="0" fontId="4" numFmtId="0" xfId="0" applyAlignment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7" fillId="0" fontId="5" numFmtId="0" xfId="0" applyAlignment="1" applyBorder="1" applyFont="1">
      <alignment horizontal="left" readingOrder="0" shrinkToFit="0" vertical="top" wrapText="1"/>
    </xf>
    <xf borderId="8" fillId="0" fontId="6" numFmtId="0" xfId="0" applyBorder="1" applyFont="1"/>
    <xf borderId="7" fillId="0" fontId="6" numFmtId="0" xfId="0" applyBorder="1" applyFont="1"/>
    <xf borderId="9" fillId="0" fontId="6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3" fillId="0" fontId="6" numFmtId="0" xfId="0" applyBorder="1" applyFont="1"/>
    <xf borderId="14" fillId="0" fontId="6" numFmtId="0" xfId="0" applyBorder="1" applyFont="1"/>
    <xf borderId="10" fillId="0" fontId="6" numFmtId="0" xfId="0" applyBorder="1" applyFont="1"/>
    <xf borderId="15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7" fillId="0" fontId="6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21" fillId="0" fontId="6" numFmtId="0" xfId="0" applyBorder="1" applyFont="1"/>
    <xf borderId="21" fillId="0" fontId="4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left" readingOrder="0" shrinkToFit="0" vertical="top" wrapText="1"/>
    </xf>
    <xf borderId="22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top" wrapText="1"/>
    </xf>
    <xf borderId="23" fillId="0" fontId="5" numFmtId="0" xfId="0" applyAlignment="1" applyBorder="1" applyFont="1">
      <alignment horizontal="center" readingOrder="0" shrinkToFit="0" vertical="top" wrapText="1"/>
    </xf>
    <xf borderId="24" fillId="0" fontId="5" numFmtId="0" xfId="0" applyAlignment="1" applyBorder="1" applyFont="1">
      <alignment horizontal="center" readingOrder="0" shrinkToFit="0" vertical="top" wrapText="1"/>
    </xf>
    <xf borderId="25" fillId="0" fontId="5" numFmtId="0" xfId="0" applyAlignment="1" applyBorder="1" applyFont="1">
      <alignment horizontal="left" readingOrder="0" shrinkToFit="0" vertical="top" wrapText="1"/>
    </xf>
    <xf borderId="25" fillId="0" fontId="5" numFmtId="0" xfId="0" applyAlignment="1" applyBorder="1" applyFont="1">
      <alignment horizontal="center" readingOrder="0" shrinkToFit="0" vertical="center" wrapText="1"/>
    </xf>
    <xf borderId="25" fillId="0" fontId="5" numFmtId="0" xfId="0" applyAlignment="1" applyBorder="1" applyFont="1">
      <alignment horizontal="center" readingOrder="0" shrinkToFit="0" vertical="top" wrapText="1"/>
    </xf>
    <xf borderId="26" fillId="0" fontId="5" numFmtId="0" xfId="0" applyAlignment="1" applyBorder="1" applyFont="1">
      <alignment horizontal="center" readingOrder="0" shrinkToFit="0" vertical="top" wrapText="1"/>
    </xf>
    <xf borderId="27" fillId="0" fontId="5" numFmtId="0" xfId="0" applyAlignment="1" applyBorder="1" applyFont="1">
      <alignment horizontal="center" readingOrder="0" shrinkToFit="0" vertical="top" wrapText="1"/>
    </xf>
    <xf borderId="28" fillId="0" fontId="5" numFmtId="0" xfId="0" applyAlignment="1" applyBorder="1" applyFont="1">
      <alignment horizontal="left" readingOrder="0" shrinkToFit="0" vertical="top" wrapText="1"/>
    </xf>
    <xf borderId="28" fillId="0" fontId="5" numFmtId="0" xfId="0" applyAlignment="1" applyBorder="1" applyFont="1">
      <alignment horizontal="center" readingOrder="0" shrinkToFit="0" vertical="center" wrapText="1"/>
    </xf>
    <xf borderId="28" fillId="0" fontId="5" numFmtId="0" xfId="0" applyAlignment="1" applyBorder="1" applyFont="1">
      <alignment horizontal="center" readingOrder="0" shrinkToFit="0" vertical="top" wrapText="1"/>
    </xf>
    <xf borderId="29" fillId="0" fontId="5" numFmtId="0" xfId="0" applyAlignment="1" applyBorder="1" applyFont="1">
      <alignment horizontal="center" readingOrder="0" shrinkToFit="0" vertical="top" wrapText="1"/>
    </xf>
    <xf borderId="30" fillId="0" fontId="5" numFmtId="0" xfId="0" applyAlignment="1" applyBorder="1" applyFont="1">
      <alignment horizontal="center" readingOrder="0" shrinkToFit="0" vertical="top" wrapText="1"/>
    </xf>
    <xf borderId="31" fillId="0" fontId="4" numFmtId="0" xfId="0" applyAlignment="1" applyBorder="1" applyFont="1">
      <alignment horizontal="right" readingOrder="0" shrinkToFit="0" vertical="top" wrapText="1"/>
    </xf>
    <xf borderId="31" fillId="0" fontId="4" numFmtId="0" xfId="0" applyAlignment="1" applyBorder="1" applyFont="1">
      <alignment horizontal="center" readingOrder="0" shrinkToFit="0" vertical="center" wrapText="1"/>
    </xf>
    <xf borderId="32" fillId="0" fontId="6" numFmtId="0" xfId="0" applyBorder="1" applyFont="1"/>
    <xf borderId="4" fillId="2" fontId="4" numFmtId="0" xfId="0" applyAlignment="1" applyBorder="1" applyFont="1">
      <alignment horizontal="center" readingOrder="0" shrinkToFit="0" vertical="center" wrapText="1"/>
    </xf>
    <xf borderId="21" fillId="2" fontId="5" numFmtId="0" xfId="0" applyAlignment="1" applyBorder="1" applyFont="1">
      <alignment horizontal="left" readingOrder="0" shrinkToFit="0" vertical="center" wrapText="1"/>
    </xf>
    <xf borderId="22" fillId="2" fontId="5" numFmtId="0" xfId="0" applyAlignment="1" applyBorder="1" applyFont="1">
      <alignment horizontal="center" readingOrder="0" shrinkToFit="0" vertical="top" wrapText="1"/>
    </xf>
    <xf borderId="25" fillId="2" fontId="5" numFmtId="0" xfId="0" applyAlignment="1" applyBorder="1" applyFont="1">
      <alignment horizontal="center" readingOrder="0" shrinkToFit="0" vertical="top" wrapText="1"/>
    </xf>
    <xf borderId="33" fillId="0" fontId="5" numFmtId="0" xfId="0" applyAlignment="1" applyBorder="1" applyFont="1">
      <alignment horizontal="left" readingOrder="0" shrinkToFit="0" vertical="top" wrapText="1"/>
    </xf>
    <xf borderId="33" fillId="0" fontId="5" numFmtId="0" xfId="0" applyAlignment="1" applyBorder="1" applyFont="1">
      <alignment horizontal="center" readingOrder="0" shrinkToFit="0" vertical="center" wrapText="1"/>
    </xf>
    <xf borderId="33" fillId="0" fontId="5" numFmtId="0" xfId="0" applyAlignment="1" applyBorder="1" applyFont="1">
      <alignment horizontal="center" readingOrder="0" shrinkToFit="0" vertical="top" wrapText="1"/>
    </xf>
    <xf borderId="33" fillId="2" fontId="5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left" readingOrder="0" shrinkToFit="0" vertical="center" wrapText="1"/>
    </xf>
    <xf borderId="34" fillId="0" fontId="4" numFmtId="0" xfId="0" applyAlignment="1" applyBorder="1" applyFont="1">
      <alignment horizontal="left" readingOrder="0" shrinkToFit="0" vertical="top" wrapText="1"/>
    </xf>
    <xf borderId="34" fillId="0" fontId="6" numFmtId="0" xfId="0" applyBorder="1" applyFont="1"/>
    <xf borderId="35" fillId="0" fontId="6" numFmtId="0" xfId="0" applyBorder="1" applyFont="1"/>
    <xf borderId="36" fillId="0" fontId="4" numFmtId="0" xfId="0" applyAlignment="1" applyBorder="1" applyFont="1">
      <alignment horizontal="left" readingOrder="0" shrinkToFit="0" vertical="top" wrapText="1"/>
    </xf>
    <xf borderId="37" fillId="0" fontId="4" numFmtId="0" xfId="0" applyAlignment="1" applyBorder="1" applyFont="1">
      <alignment horizontal="left" readingOrder="0" shrinkToFit="0" vertical="top" wrapText="1"/>
    </xf>
    <xf borderId="37" fillId="0" fontId="6" numFmtId="0" xfId="0" applyBorder="1" applyFont="1"/>
    <xf borderId="38" fillId="0" fontId="6" numFmtId="0" xfId="0" applyBorder="1" applyFont="1"/>
    <xf borderId="39" fillId="0" fontId="4" numFmtId="0" xfId="0" applyAlignment="1" applyBorder="1" applyFont="1">
      <alignment horizontal="left" readingOrder="0" shrinkToFit="0" vertical="top" wrapText="1"/>
    </xf>
    <xf borderId="37" fillId="0" fontId="5" numFmtId="0" xfId="0" applyAlignment="1" applyBorder="1" applyFont="1">
      <alignment horizontal="left" readingOrder="0" shrinkToFit="0" vertical="top" wrapText="1"/>
    </xf>
    <xf borderId="39" fillId="0" fontId="5" numFmtId="0" xfId="0" applyAlignment="1" applyBorder="1" applyFont="1">
      <alignment horizontal="left" readingOrder="0" shrinkToFit="0" vertical="top" wrapText="1"/>
    </xf>
    <xf borderId="40" fillId="0" fontId="5" numFmtId="0" xfId="0" applyAlignment="1" applyBorder="1" applyFont="1">
      <alignment horizontal="left" readingOrder="0" shrinkToFit="0" vertical="top" wrapText="1"/>
    </xf>
    <xf borderId="40" fillId="0" fontId="6" numFmtId="0" xfId="0" applyBorder="1" applyFont="1"/>
    <xf borderId="41" fillId="0" fontId="6" numFmtId="0" xfId="0" applyBorder="1" applyFont="1"/>
    <xf borderId="42" fillId="0" fontId="5" numFmtId="0" xfId="0" applyAlignment="1" applyBorder="1" applyFont="1">
      <alignment horizontal="left" readingOrder="0" shrinkToFit="0" vertical="top" wrapText="1"/>
    </xf>
    <xf borderId="31" fillId="0" fontId="8" numFmtId="0" xfId="0" applyAlignment="1" applyBorder="1" applyFont="1">
      <alignment horizontal="center" readingOrder="0" shrinkToFit="0" vertical="bottom" wrapText="1"/>
    </xf>
    <xf borderId="31" fillId="0" fontId="6" numFmtId="0" xfId="0" applyBorder="1" applyFont="1"/>
    <xf borderId="0" fillId="0" fontId="5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right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43" fillId="0" fontId="5" numFmtId="0" xfId="0" applyAlignment="1" applyBorder="1" applyFont="1">
      <alignment horizontal="center" shrinkToFit="0" vertical="center" wrapText="1"/>
    </xf>
    <xf borderId="44" fillId="3" fontId="4" numFmtId="0" xfId="0" applyAlignment="1" applyBorder="1" applyFill="1" applyFont="1">
      <alignment horizontal="center" shrinkToFit="0" vertical="center" wrapText="1"/>
    </xf>
    <xf borderId="45" fillId="0" fontId="6" numFmtId="0" xfId="0" applyBorder="1" applyFont="1"/>
    <xf borderId="4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47" fillId="0" fontId="5" numFmtId="0" xfId="0" applyAlignment="1" applyBorder="1" applyFont="1">
      <alignment horizontal="center" shrinkToFit="0" vertical="center" wrapText="1"/>
    </xf>
    <xf borderId="48" fillId="0" fontId="5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11" fillId="0" fontId="10" numFmtId="164" xfId="0" applyAlignment="1" applyBorder="1" applyFont="1" applyNumberFormat="1">
      <alignment horizontal="center" readingOrder="0" shrinkToFit="0" vertical="center" wrapText="1"/>
    </xf>
    <xf borderId="11" fillId="0" fontId="10" numFmtId="165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47" fillId="0" fontId="10" numFmtId="0" xfId="0" applyAlignment="1" applyBorder="1" applyFont="1">
      <alignment horizontal="center" shrinkToFit="0" vertical="center" wrapText="1"/>
    </xf>
    <xf borderId="44" fillId="4" fontId="10" numFmtId="0" xfId="0" applyAlignment="1" applyBorder="1" applyFill="1" applyFont="1">
      <alignment horizontal="center" shrinkToFit="0" vertical="center" wrapText="1"/>
    </xf>
    <xf borderId="46" fillId="4" fontId="10" numFmtId="0" xfId="0" applyAlignment="1" applyBorder="1" applyFont="1">
      <alignment horizontal="center" shrinkToFit="0" vertical="center" wrapText="1"/>
    </xf>
    <xf borderId="49" fillId="0" fontId="10" numFmtId="0" xfId="0" applyAlignment="1" applyBorder="1" applyFont="1">
      <alignment horizontal="center" shrinkToFit="0" vertical="center" wrapText="1"/>
    </xf>
    <xf borderId="43" fillId="0" fontId="10" numFmtId="0" xfId="0" applyAlignment="1" applyBorder="1" applyFont="1">
      <alignment horizontal="center" shrinkToFit="0" vertical="center" wrapText="1"/>
    </xf>
    <xf borderId="11" fillId="0" fontId="10" numFmtId="165" xfId="0" applyAlignment="1" applyBorder="1" applyFont="1" applyNumberFormat="1">
      <alignment horizontal="center" shrinkToFit="0" vertical="center" wrapText="1"/>
    </xf>
    <xf borderId="50" fillId="0" fontId="10" numFmtId="165" xfId="0" applyAlignment="1" applyBorder="1" applyFont="1" applyNumberFormat="1">
      <alignment horizontal="center" shrinkToFit="0" vertical="center" wrapText="1"/>
    </xf>
    <xf borderId="48" fillId="0" fontId="10" numFmtId="165" xfId="0" applyAlignment="1" applyBorder="1" applyFont="1" applyNumberFormat="1">
      <alignment horizontal="center" shrinkToFit="0" vertical="center" wrapText="1"/>
    </xf>
    <xf borderId="44" fillId="5" fontId="4" numFmtId="0" xfId="0" applyAlignment="1" applyBorder="1" applyFill="1" applyFont="1">
      <alignment horizontal="center" shrinkToFit="0" vertical="center" wrapText="1"/>
    </xf>
    <xf borderId="46" fillId="5" fontId="4" numFmtId="0" xfId="0" applyAlignment="1" applyBorder="1" applyFont="1">
      <alignment horizontal="center" shrinkToFit="0" vertical="center" wrapText="1"/>
    </xf>
    <xf borderId="44" fillId="6" fontId="10" numFmtId="0" xfId="0" applyAlignment="1" applyBorder="1" applyFill="1" applyFont="1">
      <alignment horizontal="center" shrinkToFit="0" vertical="center" wrapText="1"/>
    </xf>
    <xf borderId="51" fillId="0" fontId="6" numFmtId="0" xfId="0" applyBorder="1" applyFont="1"/>
    <xf borderId="46" fillId="6" fontId="10" numFmtId="0" xfId="0" applyAlignment="1" applyBorder="1" applyFont="1">
      <alignment horizontal="center" shrinkToFit="0" vertical="center" wrapText="1"/>
    </xf>
    <xf borderId="44" fillId="7" fontId="10" numFmtId="0" xfId="0" applyAlignment="1" applyBorder="1" applyFill="1" applyFont="1">
      <alignment horizontal="center" shrinkToFit="0" vertical="center" wrapText="1"/>
    </xf>
    <xf borderId="46" fillId="7" fontId="10" numFmtId="0" xfId="0" applyAlignment="1" applyBorder="1" applyFont="1">
      <alignment horizontal="center" shrinkToFit="0" vertical="center" wrapText="1"/>
    </xf>
    <xf borderId="47" fillId="0" fontId="5" numFmtId="0" xfId="0" applyAlignment="1" applyBorder="1" applyFont="1">
      <alignment horizontal="center" readingOrder="0" shrinkToFit="0" vertical="center" wrapText="1"/>
    </xf>
    <xf borderId="44" fillId="8" fontId="10" numFmtId="0" xfId="0" applyAlignment="1" applyBorder="1" applyFill="1" applyFont="1">
      <alignment horizontal="center" shrinkToFit="0" vertical="center" wrapText="1"/>
    </xf>
    <xf borderId="46" fillId="8" fontId="10" numFmtId="0" xfId="0" applyAlignment="1" applyBorder="1" applyFont="1">
      <alignment horizontal="center" shrinkToFit="0" vertical="center" wrapText="1"/>
    </xf>
    <xf borderId="44" fillId="9" fontId="10" numFmtId="0" xfId="0" applyAlignment="1" applyBorder="1" applyFill="1" applyFont="1">
      <alignment horizontal="center" shrinkToFit="0" vertical="center" wrapText="1"/>
    </xf>
    <xf borderId="46" fillId="9" fontId="10" numFmtId="0" xfId="0" applyAlignment="1" applyBorder="1" applyFont="1">
      <alignment horizontal="center" shrinkToFit="0" vertical="center" wrapText="1"/>
    </xf>
    <xf borderId="44" fillId="10" fontId="10" numFmtId="0" xfId="0" applyAlignment="1" applyBorder="1" applyFill="1" applyFont="1">
      <alignment horizontal="center" shrinkToFit="0" vertical="center" wrapText="1"/>
    </xf>
    <xf borderId="46" fillId="10" fontId="10" numFmtId="0" xfId="0" applyAlignment="1" applyBorder="1" applyFont="1">
      <alignment horizontal="center" shrinkToFit="0" vertical="center" wrapText="1"/>
    </xf>
    <xf borderId="44" fillId="11" fontId="10" numFmtId="0" xfId="0" applyAlignment="1" applyBorder="1" applyFill="1" applyFont="1">
      <alignment horizontal="center" shrinkToFit="0" vertical="center" wrapText="1"/>
    </xf>
    <xf borderId="46" fillId="11" fontId="10" numFmtId="0" xfId="0" applyAlignment="1" applyBorder="1" applyFont="1">
      <alignment horizontal="center" shrinkToFit="0" vertical="center" wrapText="1"/>
    </xf>
    <xf borderId="44" fillId="12" fontId="10" numFmtId="0" xfId="0" applyAlignment="1" applyBorder="1" applyFill="1" applyFont="1">
      <alignment horizontal="center" shrinkToFit="0" vertical="center" wrapText="1"/>
    </xf>
    <xf borderId="46" fillId="12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47" fillId="0" fontId="10" numFmtId="0" xfId="0" applyAlignment="1" applyBorder="1" applyFont="1">
      <alignment horizontal="center" readingOrder="0" shrinkToFit="0" vertical="center" wrapText="1"/>
    </xf>
    <xf borderId="46" fillId="0" fontId="10" numFmtId="0" xfId="0" applyAlignment="1" applyBorder="1" applyFont="1">
      <alignment horizontal="center" readingOrder="0" shrinkToFit="0" vertical="center" wrapText="1"/>
    </xf>
    <xf borderId="49" fillId="0" fontId="10" numFmtId="0" xfId="0" applyAlignment="1" applyBorder="1" applyFont="1">
      <alignment horizontal="center" readingOrder="0" shrinkToFit="0" vertical="center" wrapText="1"/>
    </xf>
    <xf borderId="43" fillId="0" fontId="10" numFmtId="0" xfId="0" applyAlignment="1" applyBorder="1" applyFont="1">
      <alignment horizontal="center" readingOrder="0" shrinkToFit="0" vertical="center" wrapText="1"/>
    </xf>
    <xf borderId="44" fillId="13" fontId="10" numFmtId="0" xfId="0" applyAlignment="1" applyBorder="1" applyFill="1" applyFont="1">
      <alignment horizontal="center" shrinkToFit="0" vertical="center" wrapText="1"/>
    </xf>
    <xf borderId="46" fillId="13" fontId="10" numFmtId="0" xfId="0" applyAlignment="1" applyBorder="1" applyFont="1">
      <alignment horizontal="center" shrinkToFit="0" vertical="center" wrapText="1"/>
    </xf>
    <xf borderId="44" fillId="14" fontId="10" numFmtId="0" xfId="0" applyAlignment="1" applyBorder="1" applyFill="1" applyFont="1">
      <alignment horizontal="center" shrinkToFit="0" vertical="center" wrapText="1"/>
    </xf>
    <xf borderId="46" fillId="14" fontId="10" numFmtId="0" xfId="0" applyAlignment="1" applyBorder="1" applyFont="1">
      <alignment horizontal="center" shrinkToFit="0" vertical="center" wrapText="1"/>
    </xf>
    <xf borderId="50" fillId="0" fontId="10" numFmtId="0" xfId="0" applyAlignment="1" applyBorder="1" applyFont="1">
      <alignment horizontal="center" readingOrder="0" shrinkToFit="0" vertical="center" wrapText="1"/>
    </xf>
    <xf borderId="48" fillId="0" fontId="10" numFmtId="0" xfId="0" applyAlignment="1" applyBorder="1" applyFont="1">
      <alignment horizontal="center" readingOrder="0" shrinkToFit="0" vertical="center" wrapText="1"/>
    </xf>
    <xf borderId="44" fillId="15" fontId="10" numFmtId="0" xfId="0" applyAlignment="1" applyBorder="1" applyFill="1" applyFont="1">
      <alignment horizontal="center" shrinkToFit="0" vertical="center" wrapText="1"/>
    </xf>
    <xf borderId="46" fillId="15" fontId="10" numFmtId="0" xfId="0" applyAlignment="1" applyBorder="1" applyFont="1">
      <alignment horizontal="center" shrinkToFit="0" vertical="center" wrapText="1"/>
    </xf>
    <xf borderId="44" fillId="16" fontId="10" numFmtId="0" xfId="0" applyAlignment="1" applyBorder="1" applyFill="1" applyFont="1">
      <alignment horizontal="center" shrinkToFit="0" vertical="center" wrapText="1"/>
    </xf>
    <xf borderId="46" fillId="16" fontId="10" numFmtId="0" xfId="0" applyAlignment="1" applyBorder="1" applyFont="1">
      <alignment horizontal="center" shrinkToFit="0" vertical="center" wrapText="1"/>
    </xf>
    <xf borderId="44" fillId="17" fontId="4" numFmtId="0" xfId="0" applyAlignment="1" applyBorder="1" applyFill="1" applyFont="1">
      <alignment horizontal="center" shrinkToFit="0" vertical="center" wrapText="1"/>
    </xf>
    <xf borderId="46" fillId="17" fontId="4" numFmtId="0" xfId="0" applyAlignment="1" applyBorder="1" applyFont="1">
      <alignment horizontal="center" shrinkToFit="0" vertical="center" wrapText="1"/>
    </xf>
    <xf borderId="11" fillId="0" fontId="4" numFmtId="164" xfId="0" applyAlignment="1" applyBorder="1" applyFont="1" applyNumberFormat="1">
      <alignment horizontal="center" readingOrder="0" shrinkToFit="0" vertical="center" wrapText="1"/>
    </xf>
    <xf borderId="11" fillId="0" fontId="4" numFmtId="165" xfId="0" applyAlignment="1" applyBorder="1" applyFont="1" applyNumberFormat="1">
      <alignment horizontal="center" shrinkToFit="0" vertical="center" wrapText="1"/>
    </xf>
    <xf borderId="44" fillId="18" fontId="10" numFmtId="0" xfId="0" applyAlignment="1" applyBorder="1" applyFill="1" applyFont="1">
      <alignment horizontal="center" shrinkToFit="0" vertical="center" wrapText="1"/>
    </xf>
    <xf borderId="46" fillId="18" fontId="10" numFmtId="0" xfId="0" applyAlignment="1" applyBorder="1" applyFont="1">
      <alignment horizontal="center" shrinkToFit="0" vertical="center" wrapText="1"/>
    </xf>
    <xf borderId="11" fillId="0" fontId="4" numFmtId="165" xfId="0" applyAlignment="1" applyBorder="1" applyFont="1" applyNumberFormat="1">
      <alignment horizontal="center" shrinkToFit="0" vertical="center" wrapText="1"/>
    </xf>
    <xf borderId="44" fillId="19" fontId="4" numFmtId="0" xfId="0" applyAlignment="1" applyBorder="1" applyFill="1" applyFont="1">
      <alignment horizontal="center" shrinkToFit="0" vertical="center" wrapText="1"/>
    </xf>
    <xf borderId="46" fillId="19" fontId="4" numFmtId="0" xfId="0" applyAlignment="1" applyBorder="1" applyFont="1">
      <alignment horizontal="center" shrinkToFit="0" vertical="center" wrapText="1"/>
    </xf>
    <xf borderId="44" fillId="20" fontId="10" numFmtId="0" xfId="0" applyAlignment="1" applyBorder="1" applyFill="1" applyFont="1">
      <alignment horizontal="center" shrinkToFit="0" vertical="center" wrapText="1"/>
    </xf>
    <xf borderId="46" fillId="20" fontId="10" numFmtId="0" xfId="0" applyAlignment="1" applyBorder="1" applyFont="1">
      <alignment horizontal="center" shrinkToFit="0" vertical="center" wrapText="1"/>
    </xf>
    <xf borderId="44" fillId="21" fontId="10" numFmtId="0" xfId="0" applyAlignment="1" applyBorder="1" applyFill="1" applyFont="1">
      <alignment horizontal="center" shrinkToFit="0" vertical="center" wrapText="1"/>
    </xf>
    <xf borderId="46" fillId="21" fontId="10" numFmtId="0" xfId="0" applyAlignment="1" applyBorder="1" applyFont="1">
      <alignment horizontal="center" shrinkToFit="0" vertical="center" wrapText="1"/>
    </xf>
    <xf borderId="44" fillId="22" fontId="4" numFmtId="0" xfId="0" applyAlignment="1" applyBorder="1" applyFill="1" applyFont="1">
      <alignment horizontal="center" shrinkToFit="0" vertical="center" wrapText="1"/>
    </xf>
    <xf borderId="46" fillId="22" fontId="4" numFmtId="0" xfId="0" applyAlignment="1" applyBorder="1" applyFont="1">
      <alignment horizontal="center" shrinkToFit="0" vertical="center" wrapText="1"/>
    </xf>
    <xf borderId="44" fillId="23" fontId="10" numFmtId="0" xfId="0" applyAlignment="1" applyBorder="1" applyFill="1" applyFont="1">
      <alignment horizontal="center" shrinkToFit="0" vertical="center" wrapText="1"/>
    </xf>
    <xf borderId="46" fillId="23" fontId="10" numFmtId="0" xfId="0" applyAlignment="1" applyBorder="1" applyFont="1">
      <alignment horizontal="center" shrinkToFit="0" vertical="center" wrapText="1"/>
    </xf>
    <xf borderId="48" fillId="0" fontId="5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47" fillId="0" fontId="11" numFmtId="0" xfId="0" applyAlignment="1" applyBorder="1" applyFont="1">
      <alignment horizontal="center" shrinkToFit="0" vertical="center" wrapText="1"/>
    </xf>
    <xf borderId="43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48" fillId="0" fontId="1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right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52" fillId="0" fontId="5" numFmtId="0" xfId="0" applyAlignment="1" applyBorder="1" applyFont="1">
      <alignment horizontal="center" readingOrder="0" shrinkToFit="0" vertical="center" wrapText="1"/>
    </xf>
    <xf borderId="53" fillId="0" fontId="5" numFmtId="0" xfId="0" applyAlignment="1" applyBorder="1" applyFont="1">
      <alignment horizontal="center" readingOrder="0" shrinkToFit="0" vertical="center" wrapText="1"/>
    </xf>
    <xf borderId="52" fillId="0" fontId="4" numFmtId="0" xfId="0" applyAlignment="1" applyBorder="1" applyFont="1">
      <alignment horizontal="center" shrinkToFit="0" vertical="center" wrapText="1"/>
    </xf>
    <xf borderId="53" fillId="0" fontId="4" numFmtId="0" xfId="0" applyAlignment="1" applyBorder="1" applyFont="1">
      <alignment horizontal="center" shrinkToFit="0" vertical="center" wrapText="1"/>
    </xf>
    <xf borderId="46" fillId="10" fontId="4" numFmtId="0" xfId="0" applyAlignment="1" applyBorder="1" applyFont="1">
      <alignment horizontal="center" shrinkToFit="0" vertical="center" wrapText="1"/>
    </xf>
    <xf borderId="44" fillId="1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/>
    </xf>
    <xf borderId="11" fillId="0" fontId="4" numFmtId="164" xfId="0" applyAlignment="1" applyBorder="1" applyFont="1" applyNumberFormat="1">
      <alignment horizontal="center" readingOrder="0"/>
    </xf>
    <xf borderId="11" fillId="0" fontId="4" numFmtId="165" xfId="0" applyAlignment="1" applyBorder="1" applyFont="1" applyNumberFormat="1">
      <alignment horizontal="center"/>
    </xf>
    <xf borderId="11" fillId="0" fontId="4" numFmtId="0" xfId="0" applyAlignment="1" applyBorder="1" applyFont="1">
      <alignment horizontal="left" readingOrder="0"/>
    </xf>
    <xf borderId="52" fillId="0" fontId="13" numFmtId="0" xfId="0" applyAlignment="1" applyBorder="1" applyFont="1">
      <alignment horizontal="center"/>
    </xf>
    <xf borderId="53" fillId="0" fontId="13" numFmtId="0" xfId="0" applyAlignment="1" applyBorder="1" applyFont="1">
      <alignment horizontal="center"/>
    </xf>
    <xf borderId="54" fillId="0" fontId="4" numFmtId="0" xfId="0" applyAlignment="1" applyBorder="1" applyFont="1">
      <alignment horizontal="left" readingOrder="0"/>
    </xf>
    <xf borderId="49" fillId="0" fontId="6" numFmtId="0" xfId="0" applyBorder="1" applyFont="1"/>
    <xf borderId="12" fillId="0" fontId="4" numFmtId="0" xfId="0" applyAlignment="1" applyBorder="1" applyFont="1">
      <alignment horizontal="center" readingOrder="0"/>
    </xf>
    <xf borderId="12" fillId="0" fontId="4" numFmtId="164" xfId="0" applyAlignment="1" applyBorder="1" applyFont="1" applyNumberFormat="1">
      <alignment horizontal="center" readingOrder="0"/>
    </xf>
    <xf borderId="12" fillId="0" fontId="4" numFmtId="0" xfId="0" applyAlignment="1" applyBorder="1" applyFont="1">
      <alignment horizontal="left" readingOrder="0"/>
    </xf>
    <xf borderId="55" fillId="0" fontId="4" numFmtId="0" xfId="0" applyAlignment="1" applyBorder="1" applyFont="1">
      <alignment horizontal="left" readingOrder="0"/>
    </xf>
    <xf borderId="52" fillId="0" fontId="5" numFmtId="0" xfId="0" applyAlignment="1" applyBorder="1" applyFont="1">
      <alignment horizontal="center" shrinkToFit="0" vertical="center" wrapText="1"/>
    </xf>
    <xf borderId="53" fillId="0" fontId="5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/>
    </xf>
    <xf borderId="46" fillId="12" fontId="4" numFmtId="0" xfId="0" applyAlignment="1" applyBorder="1" applyFont="1">
      <alignment horizontal="center" shrinkToFit="0" vertical="center" wrapText="1"/>
    </xf>
    <xf borderId="44" fillId="12" fontId="4" numFmtId="0" xfId="0" applyAlignment="1" applyBorder="1" applyFont="1">
      <alignment horizontal="center" shrinkToFit="0" vertical="center" wrapText="1"/>
    </xf>
    <xf borderId="46" fillId="8" fontId="4" numFmtId="0" xfId="0" applyAlignment="1" applyBorder="1" applyFont="1">
      <alignment horizontal="center" shrinkToFit="0" vertical="center" wrapText="1"/>
    </xf>
    <xf borderId="44" fillId="8" fontId="4" numFmtId="0" xfId="0" applyAlignment="1" applyBorder="1" applyFont="1">
      <alignment horizontal="center" shrinkToFit="0" vertical="center" wrapText="1"/>
    </xf>
    <xf borderId="52" fillId="0" fontId="10" numFmtId="0" xfId="0" applyAlignment="1" applyBorder="1" applyFont="1">
      <alignment horizontal="center" shrinkToFit="0" vertical="center" wrapText="1"/>
    </xf>
    <xf borderId="53" fillId="0" fontId="10" numFmtId="0" xfId="0" applyAlignment="1" applyBorder="1" applyFont="1">
      <alignment horizontal="center" shrinkToFit="0" vertical="center" wrapText="1"/>
    </xf>
    <xf borderId="46" fillId="15" fontId="4" numFmtId="0" xfId="0" applyAlignment="1" applyBorder="1" applyFont="1">
      <alignment horizontal="center" shrinkToFit="0" vertical="center" wrapText="1"/>
    </xf>
    <xf borderId="44" fillId="15" fontId="4" numFmtId="0" xfId="0" applyAlignment="1" applyBorder="1" applyFont="1">
      <alignment horizontal="center" shrinkToFit="0" vertical="center" wrapText="1"/>
    </xf>
    <xf borderId="52" fillId="0" fontId="11" numFmtId="0" xfId="0" applyAlignment="1" applyBorder="1" applyFont="1">
      <alignment horizontal="center" shrinkToFit="0" vertical="center" wrapText="1"/>
    </xf>
    <xf borderId="53" fillId="0" fontId="11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wrapText="1"/>
    </xf>
    <xf borderId="2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wrapText="1"/>
    </xf>
    <xf borderId="0" fillId="0" fontId="15" numFmtId="0" xfId="0" applyFont="1"/>
    <xf borderId="10" fillId="0" fontId="13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shrinkToFit="0" vertical="center" wrapText="1"/>
    </xf>
    <xf borderId="16" fillId="0" fontId="4" numFmtId="0" xfId="0" applyAlignment="1" applyBorder="1" applyFont="1">
      <alignment horizontal="center" readingOrder="0" shrinkToFit="0" vertical="top" wrapText="1"/>
    </xf>
    <xf borderId="16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left" readingOrder="0" shrinkToFit="0" vertical="top" wrapText="1"/>
    </xf>
    <xf borderId="38" fillId="0" fontId="4" numFmtId="0" xfId="0" applyAlignment="1" applyBorder="1" applyFont="1">
      <alignment horizontal="center" readingOrder="0" shrinkToFit="0" vertical="center" wrapText="1"/>
    </xf>
    <xf borderId="56" fillId="0" fontId="5" numFmtId="0" xfId="0" applyAlignment="1" applyBorder="1" applyFont="1">
      <alignment horizontal="center" readingOrder="0" shrinkToFit="0" vertical="top" wrapText="1"/>
    </xf>
    <xf borderId="56" fillId="0" fontId="4" numFmtId="0" xfId="0" applyAlignment="1" applyBorder="1" applyFont="1">
      <alignment horizontal="center" readingOrder="0" shrinkToFit="0" vertical="top" wrapText="1"/>
    </xf>
    <xf borderId="24" fillId="0" fontId="4" numFmtId="0" xfId="0" applyAlignment="1" applyBorder="1" applyFont="1">
      <alignment horizontal="left" readingOrder="0" shrinkToFit="0" vertical="top" wrapText="1"/>
    </xf>
    <xf borderId="26" fillId="0" fontId="4" numFmtId="0" xfId="0" applyAlignment="1" applyBorder="1" applyFont="1">
      <alignment horizontal="left" readingOrder="0" shrinkToFit="0" vertical="top" wrapText="1"/>
    </xf>
    <xf borderId="57" fillId="0" fontId="4" numFmtId="0" xfId="0" applyAlignment="1" applyBorder="1" applyFont="1">
      <alignment horizontal="center" readingOrder="0" shrinkToFit="0" vertical="top" wrapText="1"/>
    </xf>
    <xf borderId="27" fillId="0" fontId="4" numFmtId="0" xfId="0" applyAlignment="1" applyBorder="1" applyFont="1">
      <alignment horizontal="center" readingOrder="0" shrinkToFit="0" vertical="top" wrapText="1"/>
    </xf>
    <xf borderId="58" fillId="0" fontId="4" numFmtId="0" xfId="0" applyAlignment="1" applyBorder="1" applyFont="1">
      <alignment horizontal="left" readingOrder="0" shrinkToFit="0" vertical="top" wrapText="1"/>
    </xf>
    <xf borderId="41" fillId="0" fontId="4" numFmtId="0" xfId="0" applyAlignment="1" applyBorder="1" applyFont="1">
      <alignment horizontal="center" readingOrder="0" shrinkToFit="0" vertical="center" wrapText="1"/>
    </xf>
    <xf borderId="59" fillId="0" fontId="4" numFmtId="0" xfId="0" applyAlignment="1" applyBorder="1" applyFont="1">
      <alignment horizontal="center" readingOrder="0" shrinkToFit="0" vertical="top" wrapText="1"/>
    </xf>
    <xf borderId="60" fillId="0" fontId="4" numFmtId="0" xfId="0" applyAlignment="1" applyBorder="1" applyFont="1">
      <alignment horizontal="center" readingOrder="0" shrinkToFit="0" vertical="top" wrapText="1"/>
    </xf>
    <xf borderId="1" fillId="2" fontId="15" numFmtId="0" xfId="0" applyAlignment="1" applyBorder="1" applyFont="1">
      <alignment vertical="center"/>
    </xf>
    <xf borderId="35" fillId="0" fontId="4" numFmtId="0" xfId="0" applyAlignment="1" applyBorder="1" applyFont="1">
      <alignment horizontal="center" readingOrder="0" shrinkToFit="0" vertical="center" wrapText="1"/>
    </xf>
    <xf borderId="56" fillId="2" fontId="4" numFmtId="0" xfId="0" applyAlignment="1" applyBorder="1" applyFont="1">
      <alignment horizontal="center" readingOrder="0" shrinkToFit="0" vertical="top" wrapText="1"/>
    </xf>
    <xf borderId="24" fillId="0" fontId="4" numFmtId="0" xfId="0" applyAlignment="1" applyBorder="1" applyFont="1">
      <alignment horizontal="center" readingOrder="0" shrinkToFit="0" vertical="top" wrapText="1"/>
    </xf>
    <xf borderId="57" fillId="2" fontId="4" numFmtId="0" xfId="0" applyAlignment="1" applyBorder="1" applyFont="1">
      <alignment horizontal="center" readingOrder="0" shrinkToFit="0" vertical="top" wrapText="1"/>
    </xf>
    <xf borderId="59" fillId="2" fontId="4" numFmtId="0" xfId="0" applyAlignment="1" applyBorder="1" applyFont="1">
      <alignment horizontal="center" readingOrder="0" shrinkToFit="0" vertical="top" wrapText="1"/>
    </xf>
    <xf borderId="61" fillId="0" fontId="4" numFmtId="0" xfId="0" applyAlignment="1" applyBorder="1" applyFont="1">
      <alignment horizontal="left" readingOrder="0" shrinkToFit="0" vertical="top" wrapText="1"/>
    </xf>
    <xf borderId="62" fillId="0" fontId="6" numFmtId="0" xfId="0" applyBorder="1" applyFont="1"/>
    <xf borderId="63" fillId="0" fontId="4" numFmtId="0" xfId="0" applyAlignment="1" applyBorder="1" applyFont="1">
      <alignment horizontal="left" readingOrder="0" shrinkToFit="0" vertical="top" wrapText="1"/>
    </xf>
    <xf borderId="64" fillId="0" fontId="6" numFmtId="0" xfId="0" applyBorder="1" applyFont="1"/>
    <xf borderId="63" fillId="0" fontId="5" numFmtId="0" xfId="0" applyAlignment="1" applyBorder="1" applyFont="1">
      <alignment horizontal="left" readingOrder="0" shrinkToFit="0" vertical="top" wrapText="1"/>
    </xf>
    <xf borderId="65" fillId="0" fontId="5" numFmtId="0" xfId="0" applyAlignment="1" applyBorder="1" applyFont="1">
      <alignment horizontal="left" readingOrder="0" shrinkToFit="0" vertical="top" wrapText="1"/>
    </xf>
    <xf borderId="66" fillId="0" fontId="6" numFmtId="0" xfId="0" applyBorder="1" applyFont="1"/>
    <xf borderId="4" fillId="2" fontId="4" numFmtId="0" xfId="0" applyAlignment="1" applyBorder="1" applyFont="1">
      <alignment horizontal="center" shrinkToFit="0" vertical="center" wrapText="1"/>
    </xf>
    <xf quotePrefix="1" borderId="12" fillId="0" fontId="16" numFmtId="0" xfId="0" applyAlignment="1" applyBorder="1" applyFont="1">
      <alignment horizontal="left" readingOrder="0"/>
    </xf>
    <xf borderId="12" fillId="0" fontId="16" numFmtId="0" xfId="0" applyAlignment="1" applyBorder="1" applyFont="1">
      <alignment horizontal="right" readingOrder="0"/>
    </xf>
    <xf borderId="4" fillId="2" fontId="10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top" wrapText="1"/>
    </xf>
    <xf borderId="4" fillId="2" fontId="4" numFmtId="0" xfId="0" applyAlignment="1" applyBorder="1" applyFont="1">
      <alignment horizontal="center" shrinkToFit="0" wrapText="1"/>
    </xf>
    <xf borderId="12" fillId="0" fontId="16" numFmtId="0" xfId="0" applyAlignment="1" applyBorder="1" applyFont="1">
      <alignment horizontal="center" readingOrder="0"/>
    </xf>
    <xf borderId="11" fillId="0" fontId="13" numFmtId="0" xfId="0" applyAlignment="1" applyBorder="1" applyFont="1">
      <alignment horizontal="left" readingOrder="0"/>
    </xf>
    <xf borderId="13" fillId="0" fontId="13" numFmtId="0" xfId="0" applyAlignment="1" applyBorder="1" applyFont="1">
      <alignment horizontal="left" readingOrder="0"/>
    </xf>
    <xf borderId="12" fillId="0" fontId="16" numFmtId="0" xfId="0" applyAlignment="1" applyBorder="1" applyFont="1">
      <alignment horizontal="center"/>
    </xf>
    <xf borderId="12" fillId="0" fontId="13" numFmtId="0" xfId="0" applyAlignment="1" applyBorder="1" applyFont="1">
      <alignment horizontal="left" readingOrder="0"/>
    </xf>
    <xf borderId="55" fillId="0" fontId="13" numFmtId="0" xfId="0" applyAlignment="1" applyBorder="1" applyFont="1">
      <alignment horizontal="left" readingOrder="0"/>
    </xf>
    <xf borderId="0" fillId="0" fontId="5" numFmtId="0" xfId="0" applyAlignment="1" applyFont="1">
      <alignment horizontal="center" shrinkToFit="0" wrapText="1"/>
    </xf>
    <xf borderId="11" fillId="0" fontId="16" numFmtId="0" xfId="0" applyAlignment="1" applyBorder="1" applyFont="1">
      <alignment horizontal="center" readingOrder="0"/>
    </xf>
    <xf quotePrefix="1" borderId="11" fillId="0" fontId="16" numFmtId="0" xfId="0" applyAlignment="1" applyBorder="1" applyFont="1">
      <alignment horizontal="left" readingOrder="0"/>
    </xf>
    <xf borderId="11" fillId="0" fontId="16" numFmtId="0" xfId="0" applyAlignment="1" applyBorder="1" applyFont="1">
      <alignment horizontal="right" readingOrder="0"/>
    </xf>
    <xf borderId="52" fillId="0" fontId="13" numFmtId="0" xfId="0" applyAlignment="1" applyBorder="1" applyFont="1">
      <alignment horizontal="center"/>
    </xf>
    <xf borderId="53" fillId="0" fontId="13" numFmtId="0" xfId="0" applyAlignment="1" applyBorder="1" applyFont="1">
      <alignment horizontal="center"/>
    </xf>
    <xf borderId="0" fillId="0" fontId="19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19" numFmtId="0" xfId="0" applyAlignment="1" applyFont="1">
      <alignment horizontal="right" readingOrder="0" vertical="center"/>
    </xf>
    <xf borderId="0" fillId="0" fontId="19" numFmtId="0" xfId="0" applyAlignment="1" applyFont="1">
      <alignment horizontal="left" readingOrder="0" vertical="center"/>
    </xf>
    <xf borderId="46" fillId="24" fontId="19" numFmtId="0" xfId="0" applyAlignment="1" applyBorder="1" applyFill="1" applyFont="1">
      <alignment horizontal="center" readingOrder="0" vertical="center"/>
    </xf>
    <xf quotePrefix="1" borderId="45" fillId="24" fontId="19" numFmtId="0" xfId="0" applyAlignment="1" applyBorder="1" applyFont="1">
      <alignment horizontal="center" readingOrder="0" vertical="center"/>
    </xf>
    <xf borderId="67" fillId="24" fontId="6" numFmtId="0" xfId="0" applyBorder="1" applyFont="1"/>
    <xf borderId="45" fillId="24" fontId="19" numFmtId="0" xfId="0" applyAlignment="1" applyBorder="1" applyFont="1">
      <alignment horizontal="center" readingOrder="0" vertical="center"/>
    </xf>
    <xf borderId="51" fillId="24" fontId="6" numFmtId="0" xfId="0" applyBorder="1" applyFont="1"/>
    <xf borderId="68" fillId="25" fontId="19" numFmtId="0" xfId="0" applyAlignment="1" applyBorder="1" applyFill="1" applyFont="1">
      <alignment horizontal="left" readingOrder="0" vertical="center"/>
    </xf>
    <xf borderId="0" fillId="25" fontId="13" numFmtId="0" xfId="0" applyAlignment="1" applyFont="1">
      <alignment horizontal="left" readingOrder="0" vertical="center"/>
    </xf>
    <xf borderId="69" fillId="25" fontId="13" numFmtId="0" xfId="0" applyAlignment="1" applyBorder="1" applyFont="1">
      <alignment horizontal="left" readingOrder="0" vertical="center"/>
    </xf>
    <xf borderId="69" fillId="25" fontId="19" numFmtId="0" xfId="0" applyAlignment="1" applyBorder="1" applyFont="1">
      <alignment horizontal="left" readingOrder="0" vertical="center"/>
    </xf>
    <xf borderId="0" fillId="25" fontId="19" numFmtId="0" xfId="0" applyAlignment="1" applyFont="1">
      <alignment horizontal="left" readingOrder="0" vertical="center"/>
    </xf>
    <xf borderId="70" fillId="25" fontId="13" numFmtId="0" xfId="0" applyAlignment="1" applyBorder="1" applyFont="1">
      <alignment horizontal="left" readingOrder="0" vertical="center"/>
    </xf>
    <xf borderId="68" fillId="24" fontId="19" numFmtId="0" xfId="0" applyAlignment="1" applyBorder="1" applyFont="1">
      <alignment horizontal="left" readingOrder="0" vertical="center"/>
    </xf>
    <xf borderId="0" fillId="24" fontId="13" numFmtId="0" xfId="0" applyAlignment="1" applyFont="1">
      <alignment horizontal="left" readingOrder="0" vertical="center"/>
    </xf>
    <xf borderId="69" fillId="24" fontId="13" numFmtId="0" xfId="0" applyAlignment="1" applyBorder="1" applyFont="1">
      <alignment horizontal="left" readingOrder="0" vertical="center"/>
    </xf>
    <xf borderId="69" fillId="24" fontId="19" numFmtId="0" xfId="0" applyAlignment="1" applyBorder="1" applyFont="1">
      <alignment horizontal="left" readingOrder="0" vertical="center"/>
    </xf>
    <xf borderId="0" fillId="24" fontId="19" numFmtId="0" xfId="0" applyAlignment="1" applyFont="1">
      <alignment horizontal="left" readingOrder="0" vertical="center"/>
    </xf>
    <xf borderId="70" fillId="24" fontId="13" numFmtId="0" xfId="0" applyAlignment="1" applyBorder="1" applyFont="1">
      <alignment horizontal="left" readingOrder="0" vertical="center"/>
    </xf>
    <xf borderId="71" fillId="0" fontId="8" numFmtId="0" xfId="0" applyAlignment="1" applyBorder="1" applyFont="1">
      <alignment horizontal="center" readingOrder="0" shrinkToFit="0" vertical="bottom" wrapText="1"/>
    </xf>
    <xf borderId="71" fillId="0" fontId="6" numFmtId="0" xfId="0" applyBorder="1" applyFont="1"/>
    <xf borderId="72" fillId="26" fontId="19" numFmtId="0" xfId="0" applyAlignment="1" applyBorder="1" applyFill="1" applyFont="1">
      <alignment horizontal="center" readingOrder="0" shrinkToFit="0" vertical="center" wrapText="1"/>
    </xf>
    <xf borderId="73" fillId="26" fontId="19" numFmtId="0" xfId="0" applyAlignment="1" applyBorder="1" applyFont="1">
      <alignment horizontal="center" readingOrder="0" shrinkToFit="0" vertical="center" wrapText="1"/>
    </xf>
    <xf borderId="74" fillId="26" fontId="19" numFmtId="0" xfId="0" applyAlignment="1" applyBorder="1" applyFont="1">
      <alignment horizontal="center" readingOrder="0" shrinkToFit="0" vertical="center" wrapText="1"/>
    </xf>
    <xf borderId="75" fillId="26" fontId="6" numFmtId="0" xfId="0" applyBorder="1" applyFont="1"/>
    <xf borderId="76" fillId="26" fontId="6" numFmtId="0" xfId="0" applyBorder="1" applyFont="1"/>
    <xf borderId="77" fillId="26" fontId="19" numFmtId="2" xfId="0" applyAlignment="1" applyBorder="1" applyFont="1" applyNumberFormat="1">
      <alignment horizontal="center" readingOrder="0" shrinkToFit="0" vertical="center" wrapText="1"/>
    </xf>
    <xf borderId="78" fillId="25" fontId="20" numFmtId="0" xfId="0" applyAlignment="1" applyBorder="1" applyFont="1">
      <alignment horizontal="center" readingOrder="0" shrinkToFit="0" vertical="center" wrapText="1"/>
    </xf>
    <xf borderId="79" fillId="25" fontId="21" numFmtId="0" xfId="0" applyAlignment="1" applyBorder="1" applyFont="1">
      <alignment horizontal="center" readingOrder="0" shrinkToFit="0" vertical="center" wrapText="1"/>
    </xf>
    <xf borderId="78" fillId="25" fontId="21" numFmtId="0" xfId="0" applyAlignment="1" applyBorder="1" applyFont="1">
      <alignment horizontal="center" readingOrder="0" shrinkToFit="0" vertical="center" wrapText="1"/>
    </xf>
    <xf borderId="80" fillId="25" fontId="21" numFmtId="0" xfId="0" applyAlignment="1" applyBorder="1" applyFont="1">
      <alignment horizontal="center" readingOrder="0" shrinkToFit="0" vertical="center" wrapText="1"/>
    </xf>
    <xf borderId="81" fillId="25" fontId="21" numFmtId="166" xfId="0" applyAlignment="1" applyBorder="1" applyFont="1" applyNumberFormat="1">
      <alignment horizontal="center" readingOrder="0" shrinkToFit="0" vertical="center" wrapText="1"/>
    </xf>
    <xf borderId="82" fillId="26" fontId="13" numFmtId="0" xfId="0" applyAlignment="1" applyBorder="1" applyFont="1">
      <alignment horizontal="center" shrinkToFit="0" vertical="center" wrapText="1"/>
    </xf>
    <xf borderId="83" fillId="26" fontId="13" numFmtId="167" xfId="0" applyAlignment="1" applyBorder="1" applyFont="1" applyNumberFormat="1">
      <alignment horizontal="right" readingOrder="0" shrinkToFit="0" vertical="center" wrapText="1"/>
    </xf>
    <xf borderId="82" fillId="26" fontId="13" numFmtId="168" xfId="0" applyAlignment="1" applyBorder="1" applyFont="1" applyNumberFormat="1">
      <alignment horizontal="right" readingOrder="0" shrinkToFit="0" vertical="center" wrapText="1"/>
    </xf>
    <xf borderId="84" fillId="26" fontId="13" numFmtId="169" xfId="0" applyAlignment="1" applyBorder="1" applyFont="1" applyNumberFormat="1">
      <alignment horizontal="right" shrinkToFit="0" vertical="center" wrapText="1"/>
    </xf>
    <xf borderId="84" fillId="26" fontId="13" numFmtId="170" xfId="0" applyAlignment="1" applyBorder="1" applyFont="1" applyNumberFormat="1">
      <alignment horizontal="center" readingOrder="0" shrinkToFit="0" vertical="center" wrapText="1"/>
    </xf>
    <xf borderId="84" fillId="26" fontId="13" numFmtId="171" xfId="0" applyAlignment="1" applyBorder="1" applyFont="1" applyNumberFormat="1">
      <alignment horizontal="right" shrinkToFit="0" vertical="center" wrapText="1"/>
    </xf>
    <xf borderId="84" fillId="26" fontId="13" numFmtId="172" xfId="0" applyAlignment="1" applyBorder="1" applyFont="1" applyNumberFormat="1">
      <alignment horizontal="right" shrinkToFit="0" vertical="center" wrapText="1"/>
    </xf>
    <xf borderId="83" fillId="26" fontId="13" numFmtId="173" xfId="0" applyAlignment="1" applyBorder="1" applyFont="1" applyNumberFormat="1">
      <alignment horizontal="right" shrinkToFit="0" vertical="center" wrapText="1"/>
    </xf>
    <xf borderId="82" fillId="26" fontId="13" numFmtId="174" xfId="0" applyAlignment="1" applyBorder="1" applyFont="1" applyNumberFormat="1">
      <alignment horizontal="right" shrinkToFit="0" vertical="center" wrapText="1"/>
    </xf>
    <xf borderId="83" fillId="26" fontId="13" numFmtId="175" xfId="0" applyAlignment="1" applyBorder="1" applyFont="1" applyNumberFormat="1">
      <alignment horizontal="right" shrinkToFit="0" vertical="center" wrapText="1"/>
    </xf>
    <xf borderId="82" fillId="26" fontId="13" numFmtId="174" xfId="0" applyAlignment="1" applyBorder="1" applyFont="1" applyNumberFormat="1">
      <alignment horizontal="right" shrinkToFit="0" vertical="center" wrapText="1"/>
    </xf>
    <xf borderId="83" fillId="26" fontId="13" numFmtId="175" xfId="0" applyAlignment="1" applyBorder="1" applyFont="1" applyNumberFormat="1">
      <alignment horizontal="right" shrinkToFit="0" vertical="center" wrapText="1"/>
    </xf>
    <xf borderId="85" fillId="26" fontId="13" numFmtId="3" xfId="0" applyAlignment="1" applyBorder="1" applyFont="1" applyNumberFormat="1">
      <alignment horizontal="right" shrinkToFit="0" vertical="center" wrapText="1"/>
    </xf>
    <xf borderId="82" fillId="25" fontId="13" numFmtId="0" xfId="0" applyAlignment="1" applyBorder="1" applyFont="1">
      <alignment horizontal="center" shrinkToFit="0" vertical="center" wrapText="1"/>
    </xf>
    <xf borderId="83" fillId="25" fontId="13" numFmtId="167" xfId="0" applyAlignment="1" applyBorder="1" applyFont="1" applyNumberFormat="1">
      <alignment horizontal="right" readingOrder="0" shrinkToFit="0" vertical="center" wrapText="1"/>
    </xf>
    <xf borderId="82" fillId="25" fontId="13" numFmtId="168" xfId="0" applyAlignment="1" applyBorder="1" applyFont="1" applyNumberFormat="1">
      <alignment horizontal="right" readingOrder="0" shrinkToFit="0" vertical="center" wrapText="1"/>
    </xf>
    <xf borderId="84" fillId="25" fontId="13" numFmtId="169" xfId="0" applyAlignment="1" applyBorder="1" applyFont="1" applyNumberFormat="1">
      <alignment horizontal="right" shrinkToFit="0" vertical="center" wrapText="1"/>
    </xf>
    <xf borderId="84" fillId="25" fontId="13" numFmtId="170" xfId="0" applyAlignment="1" applyBorder="1" applyFont="1" applyNumberFormat="1">
      <alignment horizontal="center" readingOrder="0" shrinkToFit="0" vertical="center" wrapText="1"/>
    </xf>
    <xf borderId="84" fillId="25" fontId="13" numFmtId="171" xfId="0" applyAlignment="1" applyBorder="1" applyFont="1" applyNumberFormat="1">
      <alignment horizontal="right" shrinkToFit="0" vertical="center" wrapText="1"/>
    </xf>
    <xf borderId="84" fillId="25" fontId="13" numFmtId="172" xfId="0" applyAlignment="1" applyBorder="1" applyFont="1" applyNumberFormat="1">
      <alignment horizontal="right" shrinkToFit="0" vertical="center" wrapText="1"/>
    </xf>
    <xf borderId="83" fillId="25" fontId="13" numFmtId="173" xfId="0" applyAlignment="1" applyBorder="1" applyFont="1" applyNumberFormat="1">
      <alignment horizontal="right" shrinkToFit="0" vertical="center" wrapText="1"/>
    </xf>
    <xf borderId="82" fillId="25" fontId="13" numFmtId="174" xfId="0" applyAlignment="1" applyBorder="1" applyFont="1" applyNumberFormat="1">
      <alignment horizontal="right" shrinkToFit="0" vertical="center" wrapText="1"/>
    </xf>
    <xf borderId="83" fillId="25" fontId="13" numFmtId="175" xfId="0" applyAlignment="1" applyBorder="1" applyFont="1" applyNumberFormat="1">
      <alignment horizontal="right" shrinkToFit="0" vertical="center" wrapText="1"/>
    </xf>
    <xf borderId="82" fillId="25" fontId="13" numFmtId="174" xfId="0" applyAlignment="1" applyBorder="1" applyFont="1" applyNumberFormat="1">
      <alignment horizontal="right" shrinkToFit="0" vertical="center" wrapText="1"/>
    </xf>
    <xf borderId="83" fillId="25" fontId="13" numFmtId="175" xfId="0" applyAlignment="1" applyBorder="1" applyFont="1" applyNumberFormat="1">
      <alignment horizontal="right" shrinkToFit="0" vertical="center" wrapText="1"/>
    </xf>
    <xf borderId="85" fillId="25" fontId="13" numFmtId="3" xfId="0" applyAlignment="1" applyBorder="1" applyFont="1" applyNumberFormat="1">
      <alignment horizontal="right" shrinkToFit="0" vertical="center" wrapText="1"/>
    </xf>
    <xf borderId="82" fillId="26" fontId="13" numFmtId="176" xfId="0" applyAlignment="1" applyBorder="1" applyFont="1" applyNumberFormat="1">
      <alignment horizontal="right" readingOrder="0" shrinkToFit="0" vertical="center" wrapText="1"/>
    </xf>
    <xf borderId="82" fillId="25" fontId="13" numFmtId="176" xfId="0" applyAlignment="1" applyBorder="1" applyFont="1" applyNumberFormat="1">
      <alignment horizontal="right" readingOrder="0" shrinkToFit="0" vertical="center" wrapText="1"/>
    </xf>
    <xf borderId="84" fillId="25" fontId="13" numFmtId="177" xfId="0" applyAlignment="1" applyBorder="1" applyFont="1" applyNumberFormat="1">
      <alignment horizontal="right" shrinkToFit="0" vertical="center" wrapText="1"/>
    </xf>
    <xf borderId="84" fillId="25" fontId="13" numFmtId="178" xfId="0" applyAlignment="1" applyBorder="1" applyFont="1" applyNumberFormat="1">
      <alignment horizontal="center" readingOrder="0" shrinkToFit="0" vertical="center" wrapText="1"/>
    </xf>
    <xf borderId="82" fillId="25" fontId="13" numFmtId="179" xfId="0" applyAlignment="1" applyBorder="1" applyFont="1" applyNumberFormat="1">
      <alignment horizontal="right" shrinkToFit="0" vertical="center" wrapText="1"/>
    </xf>
    <xf borderId="82" fillId="26" fontId="13" numFmtId="180" xfId="0" applyAlignment="1" applyBorder="1" applyFont="1" applyNumberFormat="1">
      <alignment horizontal="right" readingOrder="0" shrinkToFit="0" vertical="center" wrapText="1"/>
    </xf>
    <xf borderId="84" fillId="26" fontId="13" numFmtId="177" xfId="0" applyAlignment="1" applyBorder="1" applyFont="1" applyNumberFormat="1">
      <alignment horizontal="right" shrinkToFit="0" vertical="center" wrapText="1"/>
    </xf>
    <xf borderId="84" fillId="26" fontId="13" numFmtId="178" xfId="0" applyAlignment="1" applyBorder="1" applyFont="1" applyNumberFormat="1">
      <alignment horizontal="center" readingOrder="0" shrinkToFit="0" vertical="center" wrapText="1"/>
    </xf>
    <xf borderId="82" fillId="25" fontId="13" numFmtId="180" xfId="0" applyAlignment="1" applyBorder="1" applyFont="1" applyNumberFormat="1">
      <alignment horizontal="right" readingOrder="0" shrinkToFit="0" vertical="center" wrapText="1"/>
    </xf>
    <xf borderId="84" fillId="25" fontId="13" numFmtId="181" xfId="0" applyAlignment="1" applyBorder="1" applyFont="1" applyNumberFormat="1">
      <alignment horizontal="right" shrinkToFit="0" vertical="center" wrapText="1"/>
    </xf>
    <xf borderId="84" fillId="25" fontId="13" numFmtId="182" xfId="0" applyAlignment="1" applyBorder="1" applyFont="1" applyNumberFormat="1">
      <alignment horizontal="center" readingOrder="0" shrinkToFit="0" vertical="center" wrapText="1"/>
    </xf>
    <xf borderId="84" fillId="26" fontId="13" numFmtId="181" xfId="0" applyAlignment="1" applyBorder="1" applyFont="1" applyNumberFormat="1">
      <alignment horizontal="right" shrinkToFit="0" vertical="center" wrapText="1"/>
    </xf>
    <xf borderId="84" fillId="26" fontId="13" numFmtId="182" xfId="0" applyAlignment="1" applyBorder="1" applyFont="1" applyNumberFormat="1">
      <alignment horizontal="center" readingOrder="0" shrinkToFit="0" vertical="center" wrapText="1"/>
    </xf>
    <xf borderId="84" fillId="26" fontId="13" numFmtId="183" xfId="0" applyAlignment="1" applyBorder="1" applyFont="1" applyNumberFormat="1">
      <alignment horizontal="right" shrinkToFit="0" vertical="center" wrapText="1"/>
    </xf>
    <xf borderId="83" fillId="26" fontId="13" numFmtId="184" xfId="0" applyAlignment="1" applyBorder="1" applyFont="1" applyNumberFormat="1">
      <alignment horizontal="right" shrinkToFit="0" vertical="center" wrapText="1"/>
    </xf>
    <xf borderId="82" fillId="26" fontId="13" numFmtId="179" xfId="0" applyAlignment="1" applyBorder="1" applyFont="1" applyNumberFormat="1">
      <alignment horizontal="right" shrinkToFit="0" vertical="center" wrapText="1"/>
    </xf>
    <xf borderId="83" fillId="26" fontId="13" numFmtId="185" xfId="0" applyAlignment="1" applyBorder="1" applyFont="1" applyNumberFormat="1">
      <alignment horizontal="right" shrinkToFit="0" vertical="center" wrapText="1"/>
    </xf>
    <xf borderId="83" fillId="25" fontId="13" numFmtId="184" xfId="0" applyAlignment="1" applyBorder="1" applyFont="1" applyNumberFormat="1">
      <alignment horizontal="right" shrinkToFit="0" vertical="center" wrapText="1"/>
    </xf>
    <xf borderId="84" fillId="25" fontId="13" numFmtId="186" xfId="0" applyAlignment="1" applyBorder="1" applyFont="1" applyNumberFormat="1">
      <alignment horizontal="right" shrinkToFit="0" vertical="center" wrapText="1"/>
    </xf>
    <xf borderId="84" fillId="25" fontId="13" numFmtId="187" xfId="0" applyAlignment="1" applyBorder="1" applyFont="1" applyNumberFormat="1">
      <alignment horizontal="center" readingOrder="0" shrinkToFit="0" vertical="center" wrapText="1"/>
    </xf>
    <xf borderId="83" fillId="25" fontId="13" numFmtId="185" xfId="0" applyAlignment="1" applyBorder="1" applyFont="1" applyNumberFormat="1">
      <alignment horizontal="right" shrinkToFit="0" vertical="center" wrapText="1"/>
    </xf>
    <xf borderId="84" fillId="26" fontId="13" numFmtId="186" xfId="0" applyAlignment="1" applyBorder="1" applyFont="1" applyNumberFormat="1">
      <alignment horizontal="right" shrinkToFit="0" vertical="center" wrapText="1"/>
    </xf>
    <xf borderId="84" fillId="26" fontId="13" numFmtId="187" xfId="0" applyAlignment="1" applyBorder="1" applyFont="1" applyNumberFormat="1">
      <alignment horizontal="center" readingOrder="0" shrinkToFit="0" vertical="center" wrapText="1"/>
    </xf>
    <xf borderId="82" fillId="25" fontId="13" numFmtId="188" xfId="0" applyAlignment="1" applyBorder="1" applyFont="1" applyNumberFormat="1">
      <alignment horizontal="right" readingOrder="0" shrinkToFit="0" vertical="center" wrapText="1"/>
    </xf>
    <xf borderId="84" fillId="25" fontId="13" numFmtId="183" xfId="0" applyAlignment="1" applyBorder="1" applyFont="1" applyNumberFormat="1">
      <alignment horizontal="right" shrinkToFit="0" vertical="center" wrapText="1"/>
    </xf>
    <xf borderId="82" fillId="26" fontId="13" numFmtId="188" xfId="0" applyAlignment="1" applyBorder="1" applyFont="1" applyNumberFormat="1">
      <alignment horizontal="right" readingOrder="0" shrinkToFit="0" vertical="center" wrapText="1"/>
    </xf>
    <xf borderId="84" fillId="26" fontId="13" numFmtId="49" xfId="0" applyAlignment="1" applyBorder="1" applyFont="1" applyNumberFormat="1">
      <alignment horizontal="right" readingOrder="0" shrinkToFit="0" vertical="center" wrapText="1"/>
    </xf>
    <xf borderId="85" fillId="26" fontId="13" numFmtId="189" xfId="0" applyAlignment="1" applyBorder="1" applyFont="1" applyNumberFormat="1">
      <alignment horizontal="right" shrinkToFit="0" vertical="center" wrapText="1"/>
    </xf>
    <xf borderId="84" fillId="25" fontId="13" numFmtId="49" xfId="0" applyAlignment="1" applyBorder="1" applyFont="1" applyNumberFormat="1">
      <alignment horizontal="right" readingOrder="0" shrinkToFit="0" vertical="center" wrapText="1"/>
    </xf>
    <xf borderId="85" fillId="25" fontId="13" numFmtId="189" xfId="0" applyAlignment="1" applyBorder="1" applyFont="1" applyNumberFormat="1">
      <alignment horizontal="right" shrinkToFit="0" vertical="center" wrapText="1"/>
    </xf>
    <xf borderId="82" fillId="26" fontId="13" numFmtId="190" xfId="0" applyAlignment="1" applyBorder="1" applyFont="1" applyNumberFormat="1">
      <alignment horizontal="right" readingOrder="0" shrinkToFit="0" vertical="center" wrapText="1"/>
    </xf>
    <xf borderId="82" fillId="25" fontId="13" numFmtId="191" xfId="0" applyAlignment="1" applyBorder="1" applyFont="1" applyNumberFormat="1">
      <alignment horizontal="right" readingOrder="0" shrinkToFit="0" vertical="center" wrapText="1"/>
    </xf>
    <xf borderId="82" fillId="26" fontId="13" numFmtId="191" xfId="0" applyAlignment="1" applyBorder="1" applyFont="1" applyNumberFormat="1">
      <alignment horizontal="right" readingOrder="0" shrinkToFit="0" vertical="center" wrapText="1"/>
    </xf>
    <xf borderId="86" fillId="25" fontId="19" numFmtId="0" xfId="0" applyAlignment="1" applyBorder="1" applyFont="1">
      <alignment horizontal="center" readingOrder="0" shrinkToFit="0" vertical="center" wrapText="1"/>
    </xf>
    <xf borderId="87" fillId="25" fontId="19" numFmtId="3" xfId="0" applyAlignment="1" applyBorder="1" applyFont="1" applyNumberFormat="1">
      <alignment horizontal="right" readingOrder="0" shrinkToFit="0" vertical="center" wrapText="1"/>
    </xf>
    <xf borderId="86" fillId="25" fontId="19" numFmtId="190" xfId="0" applyAlignment="1" applyBorder="1" applyFont="1" applyNumberFormat="1">
      <alignment horizontal="right" readingOrder="0" shrinkToFit="0" vertical="center" wrapText="1"/>
    </xf>
    <xf borderId="88" fillId="25" fontId="19" numFmtId="186" xfId="0" applyAlignment="1" applyBorder="1" applyFont="1" applyNumberFormat="1">
      <alignment horizontal="right" shrinkToFit="0" vertical="center" wrapText="1"/>
    </xf>
    <xf borderId="88" fillId="25" fontId="19" numFmtId="192" xfId="0" applyAlignment="1" applyBorder="1" applyFont="1" applyNumberFormat="1">
      <alignment horizontal="right" readingOrder="0" shrinkToFit="0" vertical="center" wrapText="1"/>
    </xf>
    <xf borderId="88" fillId="25" fontId="19" numFmtId="193" xfId="0" applyAlignment="1" applyBorder="1" applyFont="1" applyNumberFormat="1">
      <alignment horizontal="right" shrinkToFit="0" vertical="center" wrapText="1"/>
    </xf>
    <xf borderId="88" fillId="25" fontId="19" numFmtId="194" xfId="0" applyAlignment="1" applyBorder="1" applyFont="1" applyNumberFormat="1">
      <alignment horizontal="right" shrinkToFit="0" vertical="center" wrapText="1"/>
    </xf>
    <xf borderId="87" fillId="25" fontId="19" numFmtId="184" xfId="0" applyAlignment="1" applyBorder="1" applyFont="1" applyNumberFormat="1">
      <alignment horizontal="right" readingOrder="0" shrinkToFit="0" vertical="center" wrapText="1"/>
    </xf>
    <xf borderId="86" fillId="25" fontId="19" numFmtId="179" xfId="0" applyAlignment="1" applyBorder="1" applyFont="1" applyNumberFormat="1">
      <alignment horizontal="right" shrinkToFit="0" vertical="center" wrapText="1"/>
    </xf>
    <xf borderId="87" fillId="25" fontId="19" numFmtId="185" xfId="0" applyAlignment="1" applyBorder="1" applyFont="1" applyNumberFormat="1">
      <alignment horizontal="right" shrinkToFit="0" vertical="center" wrapText="1"/>
    </xf>
    <xf borderId="89" fillId="25" fontId="19" numFmtId="0" xfId="0" applyAlignment="1" applyBorder="1" applyFont="1">
      <alignment horizontal="right" shrinkToFit="0" vertical="center" wrapText="1"/>
    </xf>
    <xf borderId="83" fillId="26" fontId="13" numFmtId="184" xfId="0" applyAlignment="1" applyBorder="1" applyFont="1" applyNumberFormat="1">
      <alignment horizontal="center" readingOrder="0" shrinkToFit="0" vertical="center" wrapText="1"/>
    </xf>
    <xf borderId="82" fillId="25" fontId="13" numFmtId="190" xfId="0" applyAlignment="1" applyBorder="1" applyFont="1" applyNumberFormat="1">
      <alignment horizontal="right" readingOrder="0" shrinkToFit="0" vertical="center" wrapText="1"/>
    </xf>
    <xf borderId="84" fillId="25" fontId="13" numFmtId="194" xfId="0" applyAlignment="1" applyBorder="1" applyFont="1" applyNumberFormat="1">
      <alignment horizontal="right" shrinkToFit="0" vertical="center" wrapText="1"/>
    </xf>
    <xf borderId="83" fillId="25" fontId="13" numFmtId="184" xfId="0" applyAlignment="1" applyBorder="1" applyFont="1" applyNumberFormat="1">
      <alignment horizontal="center" readingOrder="0" shrinkToFit="0" vertical="center" wrapText="1"/>
    </xf>
    <xf borderId="84" fillId="26" fontId="13" numFmtId="194" xfId="0" applyAlignment="1" applyBorder="1" applyFont="1" applyNumberFormat="1">
      <alignment horizontal="right" shrinkToFit="0" vertical="center" wrapText="1"/>
    </xf>
    <xf borderId="83" fillId="25" fontId="13" numFmtId="3" xfId="0" applyAlignment="1" applyBorder="1" applyFont="1" applyNumberFormat="1">
      <alignment horizontal="right" readingOrder="0" shrinkToFit="0" vertical="center" wrapText="1"/>
    </xf>
    <xf borderId="84" fillId="25" fontId="13" numFmtId="186" xfId="0" applyAlignment="1" applyBorder="1" applyFont="1" applyNumberFormat="1">
      <alignment horizontal="center" readingOrder="0" shrinkToFit="0" vertical="center" wrapText="1"/>
    </xf>
    <xf borderId="84" fillId="25" fontId="13" numFmtId="49" xfId="0" applyAlignment="1" applyBorder="1" applyFont="1" applyNumberFormat="1">
      <alignment horizontal="center" readingOrder="0" shrinkToFit="0" vertical="center" wrapText="1"/>
    </xf>
    <xf borderId="84" fillId="25" fontId="13" numFmtId="195" xfId="0" applyAlignment="1" applyBorder="1" applyFont="1" applyNumberFormat="1">
      <alignment horizontal="right" shrinkToFit="0" vertical="center" wrapText="1"/>
    </xf>
    <xf borderId="83" fillId="26" fontId="13" numFmtId="3" xfId="0" applyAlignment="1" applyBorder="1" applyFont="1" applyNumberFormat="1">
      <alignment horizontal="right" readingOrder="0" shrinkToFit="0" vertical="center" wrapText="1"/>
    </xf>
    <xf borderId="84" fillId="26" fontId="13" numFmtId="186" xfId="0" applyAlignment="1" applyBorder="1" applyFont="1" applyNumberFormat="1">
      <alignment horizontal="center" readingOrder="0" shrinkToFit="0" vertical="center" wrapText="1"/>
    </xf>
    <xf borderId="84" fillId="26" fontId="13" numFmtId="49" xfId="0" applyAlignment="1" applyBorder="1" applyFont="1" applyNumberFormat="1">
      <alignment horizontal="center" readingOrder="0" shrinkToFit="0" vertical="center" wrapText="1"/>
    </xf>
    <xf borderId="84" fillId="26" fontId="13" numFmtId="195" xfId="0" applyAlignment="1" applyBorder="1" applyFont="1" applyNumberFormat="1">
      <alignment horizontal="right" shrinkToFit="0" vertical="center" wrapText="1"/>
    </xf>
    <xf borderId="84" fillId="25" fontId="13" numFmtId="193" xfId="0" applyAlignment="1" applyBorder="1" applyFont="1" applyNumberFormat="1">
      <alignment horizontal="right" shrinkToFit="0" vertical="center" wrapText="1"/>
    </xf>
    <xf borderId="84" fillId="25" fontId="13" numFmtId="194" xfId="0" applyAlignment="1" applyBorder="1" applyFont="1" applyNumberFormat="1">
      <alignment horizontal="center" readingOrder="0" shrinkToFit="0" vertical="center" wrapText="1"/>
    </xf>
    <xf borderId="84" fillId="26" fontId="13" numFmtId="193" xfId="0" applyAlignment="1" applyBorder="1" applyFont="1" applyNumberFormat="1">
      <alignment horizontal="right" shrinkToFit="0" vertical="center" wrapText="1"/>
    </xf>
    <xf borderId="84" fillId="26" fontId="13" numFmtId="194" xfId="0" applyAlignment="1" applyBorder="1" applyFont="1" applyNumberFormat="1">
      <alignment horizontal="center" readingOrder="0" shrinkToFit="0" vertical="center" wrapText="1"/>
    </xf>
    <xf borderId="75" fillId="0" fontId="8" numFmtId="0" xfId="0" applyAlignment="1" applyBorder="1" applyFont="1">
      <alignment horizontal="center" readingOrder="0" shrinkToFit="0" vertical="bottom" wrapText="1"/>
    </xf>
    <xf borderId="75" fillId="0" fontId="6" numFmtId="0" xfId="0" applyBorder="1" applyFont="1"/>
    <xf borderId="90" fillId="0" fontId="6" numFmtId="0" xfId="0" applyBorder="1" applyFont="1"/>
    <xf borderId="91" fillId="0" fontId="4" numFmtId="0" xfId="0" applyAlignment="1" applyBorder="1" applyFont="1">
      <alignment horizontal="center" readingOrder="0" shrinkToFit="0" vertical="center" wrapText="1"/>
    </xf>
    <xf borderId="92" fillId="0" fontId="6" numFmtId="0" xfId="0" applyBorder="1" applyFont="1"/>
    <xf borderId="93" fillId="0" fontId="6" numFmtId="0" xfId="0" applyBorder="1" applyFont="1"/>
    <xf borderId="94" fillId="25" fontId="20" numFmtId="0" xfId="0" applyAlignment="1" applyBorder="1" applyFont="1">
      <alignment horizontal="center" readingOrder="0" shrinkToFit="0" vertical="center" wrapText="1"/>
    </xf>
    <xf borderId="95" fillId="25" fontId="21" numFmtId="0" xfId="0" applyAlignment="1" applyBorder="1" applyFont="1">
      <alignment horizontal="center" readingOrder="0" shrinkToFit="0" vertical="center" wrapText="1"/>
    </xf>
    <xf borderId="94" fillId="25" fontId="21" numFmtId="0" xfId="0" applyAlignment="1" applyBorder="1" applyFont="1">
      <alignment horizontal="center" readingOrder="0" shrinkToFit="0" vertical="center" wrapText="1"/>
    </xf>
    <xf borderId="96" fillId="25" fontId="21" numFmtId="0" xfId="0" applyAlignment="1" applyBorder="1" applyFont="1">
      <alignment horizontal="center" readingOrder="0" shrinkToFit="0" vertical="center" wrapText="1"/>
    </xf>
    <xf borderId="97" fillId="25" fontId="21" numFmtId="166" xfId="0" applyAlignment="1" applyBorder="1" applyFont="1" applyNumberFormat="1">
      <alignment horizontal="center" readingOrder="0" shrinkToFit="0" vertical="center" wrapText="1"/>
    </xf>
    <xf borderId="98" fillId="26" fontId="20" numFmtId="0" xfId="0" applyAlignment="1" applyBorder="1" applyFont="1">
      <alignment horizontal="center" readingOrder="0" shrinkToFit="0" vertical="center" wrapText="1"/>
    </xf>
    <xf borderId="99" fillId="26" fontId="6" numFmtId="0" xfId="0" applyBorder="1" applyFont="1"/>
    <xf borderId="100" fillId="26" fontId="21" numFmtId="0" xfId="0" applyAlignment="1" applyBorder="1" applyFont="1">
      <alignment horizontal="center" readingOrder="0" shrinkToFit="0" vertical="center" wrapText="1"/>
    </xf>
    <xf borderId="100" fillId="26" fontId="21" numFmtId="1" xfId="0" applyAlignment="1" applyBorder="1" applyFont="1" applyNumberFormat="1">
      <alignment horizontal="center" readingOrder="0" shrinkToFit="0" vertical="center" wrapText="1"/>
    </xf>
    <xf borderId="82" fillId="25" fontId="13" numFmtId="196" xfId="0" applyAlignment="1" applyBorder="1" applyFont="1" applyNumberFormat="1">
      <alignment horizontal="right" readingOrder="0" shrinkToFit="0" vertical="center" wrapText="1"/>
    </xf>
    <xf borderId="84" fillId="25" fontId="13" numFmtId="197" xfId="0" applyAlignment="1" applyBorder="1" applyFont="1" applyNumberFormat="1">
      <alignment horizontal="right" shrinkToFit="0" vertical="center" wrapText="1"/>
    </xf>
    <xf borderId="84" fillId="25" fontId="13" numFmtId="198" xfId="0" applyAlignment="1" applyBorder="1" applyFont="1" applyNumberFormat="1">
      <alignment horizontal="right" shrinkToFit="0" vertical="center" wrapText="1"/>
    </xf>
    <xf borderId="84" fillId="25" fontId="13" numFmtId="199" xfId="0" applyAlignment="1" applyBorder="1" applyFont="1" applyNumberFormat="1">
      <alignment horizontal="right" shrinkToFit="0" vertical="center" wrapText="1"/>
    </xf>
    <xf borderId="83" fillId="25" fontId="13" numFmtId="200" xfId="0" applyAlignment="1" applyBorder="1" applyFont="1" applyNumberFormat="1">
      <alignment horizontal="right" shrinkToFit="0" vertical="center" wrapText="1"/>
    </xf>
    <xf borderId="82" fillId="25" fontId="13" numFmtId="201" xfId="0" applyAlignment="1" applyBorder="1" applyFont="1" applyNumberFormat="1">
      <alignment horizontal="right" shrinkToFit="0" vertical="center" wrapText="1"/>
    </xf>
    <xf borderId="83" fillId="25" fontId="13" numFmtId="202" xfId="0" applyAlignment="1" applyBorder="1" applyFont="1" applyNumberFormat="1">
      <alignment horizontal="right" shrinkToFit="0" vertical="center" wrapText="1"/>
    </xf>
    <xf borderId="82" fillId="25" fontId="13" numFmtId="201" xfId="0" applyAlignment="1" applyBorder="1" applyFont="1" applyNumberFormat="1">
      <alignment horizontal="right" shrinkToFit="0" vertical="center" wrapText="1"/>
    </xf>
    <xf borderId="83" fillId="25" fontId="13" numFmtId="202" xfId="0" applyAlignment="1" applyBorder="1" applyFont="1" applyNumberFormat="1">
      <alignment horizontal="right" shrinkToFit="0" vertical="center" wrapText="1"/>
    </xf>
    <xf borderId="85" fillId="25" fontId="13" numFmtId="167" xfId="0" applyAlignment="1" applyBorder="1" applyFont="1" applyNumberFormat="1">
      <alignment horizontal="right" shrinkToFit="0" vertical="center" wrapText="1"/>
    </xf>
    <xf borderId="82" fillId="26" fontId="13" numFmtId="196" xfId="0" applyAlignment="1" applyBorder="1" applyFont="1" applyNumberFormat="1">
      <alignment horizontal="right" readingOrder="0" shrinkToFit="0" vertical="center" wrapText="1"/>
    </xf>
    <xf borderId="84" fillId="26" fontId="13" numFmtId="197" xfId="0" applyAlignment="1" applyBorder="1" applyFont="1" applyNumberFormat="1">
      <alignment horizontal="right" shrinkToFit="0" vertical="center" wrapText="1"/>
    </xf>
    <xf borderId="84" fillId="26" fontId="13" numFmtId="198" xfId="0" applyAlignment="1" applyBorder="1" applyFont="1" applyNumberFormat="1">
      <alignment horizontal="right" shrinkToFit="0" vertical="center" wrapText="1"/>
    </xf>
    <xf borderId="84" fillId="26" fontId="13" numFmtId="199" xfId="0" applyAlignment="1" applyBorder="1" applyFont="1" applyNumberFormat="1">
      <alignment horizontal="right" shrinkToFit="0" vertical="center" wrapText="1"/>
    </xf>
    <xf borderId="83" fillId="26" fontId="13" numFmtId="200" xfId="0" applyAlignment="1" applyBorder="1" applyFont="1" applyNumberFormat="1">
      <alignment horizontal="right" shrinkToFit="0" vertical="center" wrapText="1"/>
    </xf>
    <xf borderId="82" fillId="26" fontId="13" numFmtId="201" xfId="0" applyAlignment="1" applyBorder="1" applyFont="1" applyNumberFormat="1">
      <alignment horizontal="right" shrinkToFit="0" vertical="center" wrapText="1"/>
    </xf>
    <xf borderId="83" fillId="26" fontId="13" numFmtId="202" xfId="0" applyAlignment="1" applyBorder="1" applyFont="1" applyNumberFormat="1">
      <alignment horizontal="right" shrinkToFit="0" vertical="center" wrapText="1"/>
    </xf>
    <xf borderId="82" fillId="26" fontId="13" numFmtId="201" xfId="0" applyAlignment="1" applyBorder="1" applyFont="1" applyNumberFormat="1">
      <alignment horizontal="right" shrinkToFit="0" vertical="center" wrapText="1"/>
    </xf>
    <xf borderId="83" fillId="26" fontId="13" numFmtId="202" xfId="0" applyAlignment="1" applyBorder="1" applyFont="1" applyNumberFormat="1">
      <alignment horizontal="right" shrinkToFit="0" vertical="center" wrapText="1"/>
    </xf>
    <xf borderId="85" fillId="26" fontId="13" numFmtId="167" xfId="0" applyAlignment="1" applyBorder="1" applyFont="1" applyNumberFormat="1">
      <alignment horizontal="right" shrinkToFit="0" vertical="center" wrapText="1"/>
    </xf>
    <xf borderId="86" fillId="26" fontId="19" numFmtId="0" xfId="0" applyAlignment="1" applyBorder="1" applyFont="1">
      <alignment horizontal="center" readingOrder="0" shrinkToFit="0" vertical="center" wrapText="1"/>
    </xf>
    <xf borderId="87" fillId="26" fontId="19" numFmtId="3" xfId="0" applyAlignment="1" applyBorder="1" applyFont="1" applyNumberFormat="1">
      <alignment horizontal="right" readingOrder="0" shrinkToFit="0" vertical="center" wrapText="1"/>
    </xf>
    <xf borderId="100" fillId="26" fontId="19" numFmtId="196" xfId="0" applyAlignment="1" applyBorder="1" applyFont="1" applyNumberFormat="1">
      <alignment horizontal="right" readingOrder="0" shrinkToFit="0" vertical="center" wrapText="1"/>
    </xf>
    <xf borderId="101" fillId="26" fontId="19" numFmtId="197" xfId="0" applyAlignment="1" applyBorder="1" applyFont="1" applyNumberFormat="1">
      <alignment horizontal="right" shrinkToFit="0" vertical="center" wrapText="1"/>
    </xf>
    <xf borderId="87" fillId="26" fontId="19" numFmtId="49" xfId="0" applyAlignment="1" applyBorder="1" applyFont="1" applyNumberFormat="1">
      <alignment horizontal="right" readingOrder="0" shrinkToFit="0" vertical="center" wrapText="1"/>
    </xf>
    <xf borderId="100" fillId="26" fontId="19" numFmtId="198" xfId="0" applyAlignment="1" applyBorder="1" applyFont="1" applyNumberFormat="1">
      <alignment horizontal="right" shrinkToFit="0" vertical="center" wrapText="1"/>
    </xf>
    <xf borderId="101" fillId="26" fontId="19" numFmtId="199" xfId="0" applyAlignment="1" applyBorder="1" applyFont="1" applyNumberFormat="1">
      <alignment horizontal="right" shrinkToFit="0" vertical="center" wrapText="1"/>
    </xf>
    <xf borderId="87" fillId="26" fontId="19" numFmtId="200" xfId="0" applyAlignment="1" applyBorder="1" applyFont="1" applyNumberFormat="1">
      <alignment horizontal="right" readingOrder="0" shrinkToFit="0" vertical="center" wrapText="1"/>
    </xf>
    <xf borderId="100" fillId="26" fontId="19" numFmtId="201" xfId="0" applyAlignment="1" applyBorder="1" applyFont="1" applyNumberFormat="1">
      <alignment horizontal="right" shrinkToFit="0" vertical="center" wrapText="1"/>
    </xf>
    <xf borderId="100" fillId="26" fontId="19" numFmtId="202" xfId="0" applyAlignment="1" applyBorder="1" applyFont="1" applyNumberFormat="1">
      <alignment horizontal="right" shrinkToFit="0" vertical="center" wrapText="1"/>
    </xf>
    <xf borderId="100" fillId="26" fontId="19" numFmtId="201" xfId="0" applyAlignment="1" applyBorder="1" applyFont="1" applyNumberFormat="1">
      <alignment horizontal="right" shrinkToFit="0" vertical="center" wrapText="1"/>
    </xf>
    <xf borderId="100" fillId="26" fontId="19" numFmtId="202" xfId="0" applyAlignment="1" applyBorder="1" applyFont="1" applyNumberFormat="1">
      <alignment horizontal="right" shrinkToFit="0" vertical="center" wrapText="1"/>
    </xf>
    <xf borderId="100" fillId="26" fontId="19" numFmtId="167" xfId="0" applyAlignment="1" applyBorder="1" applyFont="1" applyNumberFormat="1">
      <alignment horizontal="right" readingOrder="0" shrinkToFit="0" vertical="center" wrapText="1"/>
    </xf>
    <xf borderId="0" fillId="0" fontId="13" numFmtId="0" xfId="0" applyAlignment="1" applyFont="1">
      <alignment horizontal="center" shrinkToFit="0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102" fillId="0" fontId="19" numFmtId="0" xfId="0" applyAlignment="1" applyBorder="1" applyFont="1">
      <alignment horizontal="left" readingOrder="0" shrinkToFit="0" vertical="top" wrapText="1"/>
    </xf>
    <xf borderId="103" fillId="0" fontId="19" numFmtId="0" xfId="0" applyAlignment="1" applyBorder="1" applyFont="1">
      <alignment horizontal="left" readingOrder="0" shrinkToFit="0" vertical="top" wrapText="1"/>
    </xf>
    <xf borderId="104" fillId="0" fontId="19" numFmtId="0" xfId="0" applyAlignment="1" applyBorder="1" applyFont="1">
      <alignment horizontal="left" readingOrder="0" shrinkToFit="0" vertical="top" wrapText="1"/>
    </xf>
    <xf borderId="105" fillId="0" fontId="13" numFmtId="0" xfId="0" applyAlignment="1" applyBorder="1" applyFont="1">
      <alignment horizontal="left" readingOrder="0" shrinkToFit="0" vertical="top" wrapText="1"/>
    </xf>
    <xf borderId="106" fillId="0" fontId="13" numFmtId="0" xfId="0" applyAlignment="1" applyBorder="1" applyFont="1">
      <alignment horizontal="left" readingOrder="0" shrinkToFit="0" vertical="top" wrapText="1"/>
    </xf>
    <xf borderId="107" fillId="0" fontId="1" numFmtId="0" xfId="0" applyAlignment="1" applyBorder="1" applyFont="1">
      <alignment horizontal="left" readingOrder="0" shrinkToFit="0" vertical="top" wrapText="1"/>
    </xf>
    <xf borderId="106" fillId="0" fontId="13" numFmtId="203" xfId="0" applyAlignment="1" applyBorder="1" applyFont="1" applyNumberFormat="1">
      <alignment horizontal="left" readingOrder="0" shrinkToFit="0" vertical="top" wrapText="1"/>
    </xf>
    <xf borderId="107" fillId="0" fontId="1" numFmtId="0" xfId="0" applyAlignment="1" applyBorder="1" applyFont="1">
      <alignment horizontal="left" readingOrder="0" shrinkToFit="0" vertical="top" wrapText="1"/>
    </xf>
    <xf borderId="107" fillId="0" fontId="13" numFmtId="0" xfId="0" applyAlignment="1" applyBorder="1" applyFont="1">
      <alignment horizontal="left" readingOrder="0" shrinkToFit="0" vertical="top" wrapText="1"/>
    </xf>
    <xf borderId="107" fillId="0" fontId="13" numFmtId="0" xfId="0" applyAlignment="1" applyBorder="1" applyFont="1">
      <alignment horizontal="left" readingOrder="0" shrinkToFit="0" vertical="center" wrapText="1"/>
    </xf>
    <xf borderId="108" fillId="0" fontId="13" numFmtId="0" xfId="0" applyAlignment="1" applyBorder="1" applyFont="1">
      <alignment horizontal="left" readingOrder="0" shrinkToFit="0" vertical="top" wrapText="1"/>
    </xf>
    <xf borderId="109" fillId="0" fontId="13" numFmtId="0" xfId="0" applyAlignment="1" applyBorder="1" applyFont="1">
      <alignment horizontal="left" readingOrder="0" shrinkToFit="0" vertical="top" wrapText="1"/>
    </xf>
    <xf borderId="109" fillId="0" fontId="13" numFmtId="203" xfId="0" applyAlignment="1" applyBorder="1" applyFont="1" applyNumberFormat="1">
      <alignment horizontal="left" readingOrder="0" shrinkToFit="0" vertical="top" wrapText="1"/>
    </xf>
    <xf borderId="110" fillId="0" fontId="13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5" fontId="0" numFmtId="0" xfId="0" applyAlignment="1" applyFont="1">
      <alignment horizontal="left" readingOrder="0" shrinkToFit="0" vertical="center" wrapText="1"/>
    </xf>
    <xf borderId="47" fillId="0" fontId="13" numFmtId="0" xfId="0" applyAlignment="1" applyBorder="1" applyFont="1">
      <alignment horizontal="center" readingOrder="0" shrinkToFit="0" vertical="center" wrapText="1"/>
    </xf>
    <xf borderId="84" fillId="0" fontId="13" numFmtId="0" xfId="0" applyAlignment="1" applyBorder="1" applyFont="1">
      <alignment horizontal="center" readingOrder="0" shrinkToFit="0" vertical="center" wrapText="1"/>
    </xf>
    <xf borderId="47" fillId="0" fontId="13" numFmtId="0" xfId="0" applyAlignment="1" applyBorder="1" applyFont="1">
      <alignment readingOrder="0" shrinkToFit="0" vertical="center" wrapText="1"/>
    </xf>
    <xf borderId="84" fillId="0" fontId="13" numFmtId="0" xfId="0" applyAlignment="1" applyBorder="1" applyFont="1">
      <alignment readingOrder="0" shrinkToFit="0" vertical="center" wrapText="1"/>
    </xf>
    <xf borderId="111" fillId="0" fontId="13" numFmtId="0" xfId="0" applyAlignment="1" applyBorder="1" applyFont="1">
      <alignment readingOrder="0" shrinkToFit="0" vertical="center" wrapText="1"/>
    </xf>
    <xf borderId="111" fillId="0" fontId="13" numFmtId="0" xfId="0" applyAlignment="1" applyBorder="1" applyFont="1">
      <alignment horizontal="center" readingOrder="0" shrinkToFit="0" vertical="center" wrapText="1"/>
    </xf>
    <xf borderId="112" fillId="0" fontId="13" numFmtId="0" xfId="0" applyAlignment="1" applyBorder="1" applyFont="1">
      <alignment readingOrder="0" shrinkToFit="0" vertical="center" wrapText="1"/>
    </xf>
    <xf borderId="112" fillId="0" fontId="13" numFmtId="0" xfId="0" applyAlignment="1" applyBorder="1" applyFont="1">
      <alignment horizontal="center" readingOrder="0" shrinkToFit="0" vertical="center" wrapText="1"/>
    </xf>
    <xf borderId="113" fillId="0" fontId="13" numFmtId="0" xfId="0" applyAlignment="1" applyBorder="1" applyFont="1">
      <alignment readingOrder="0" shrinkToFit="0" vertical="center" wrapText="1"/>
    </xf>
    <xf borderId="113" fillId="0" fontId="13" numFmtId="0" xfId="0" applyAlignment="1" applyBorder="1" applyFont="1">
      <alignment horizontal="center" readingOrder="0" shrinkToFit="0" vertical="center" wrapText="1"/>
    </xf>
    <xf borderId="114" fillId="0" fontId="13" numFmtId="0" xfId="0" applyAlignment="1" applyBorder="1" applyFont="1">
      <alignment readingOrder="0" shrinkToFit="0" vertical="center" wrapText="1"/>
    </xf>
    <xf borderId="114" fillId="0" fontId="13" numFmtId="0" xfId="0" applyAlignment="1" applyBorder="1" applyFont="1">
      <alignment horizontal="center" readingOrder="0" shrinkToFit="0" vertical="center" wrapText="1"/>
    </xf>
    <xf borderId="115" fillId="0" fontId="13" numFmtId="0" xfId="0" applyAlignment="1" applyBorder="1" applyFont="1">
      <alignment readingOrder="0" shrinkToFit="0" vertical="center" wrapText="1"/>
    </xf>
    <xf borderId="115" fillId="0" fontId="13" numFmtId="0" xfId="0" applyAlignment="1" applyBorder="1" applyFont="1">
      <alignment horizontal="center" readingOrder="0" shrinkToFit="0" vertical="center" wrapText="1"/>
    </xf>
    <xf borderId="116" fillId="0" fontId="13" numFmtId="0" xfId="0" applyAlignment="1" applyBorder="1" applyFont="1">
      <alignment readingOrder="0" shrinkToFit="0" vertical="center" wrapText="1"/>
    </xf>
    <xf borderId="116" fillId="0" fontId="13" numFmtId="0" xfId="0" applyAlignment="1" applyBorder="1" applyFont="1">
      <alignment horizontal="center" readingOrder="0" shrinkToFit="0" vertical="center" wrapText="1"/>
    </xf>
    <xf borderId="117" fillId="0" fontId="13" numFmtId="0" xfId="0" applyAlignment="1" applyBorder="1" applyFont="1">
      <alignment readingOrder="0" shrinkToFit="0" vertical="center" wrapText="1"/>
    </xf>
    <xf borderId="117" fillId="0" fontId="13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/>
    </xf>
    <xf borderId="0" fillId="0" fontId="13" numFmtId="4" xfId="0" applyAlignment="1" applyFont="1" applyNumberFormat="1">
      <alignment horizontal="center" readingOrder="0"/>
    </xf>
    <xf borderId="0" fillId="0" fontId="13" numFmtId="0" xfId="0" applyFont="1"/>
    <xf borderId="0" fillId="0" fontId="13" numFmtId="204" xfId="0" applyFont="1" applyNumberFormat="1"/>
    <xf borderId="118" fillId="0" fontId="13" numFmtId="0" xfId="0" applyBorder="1" applyFont="1"/>
    <xf borderId="118" fillId="0" fontId="13" numFmtId="205" xfId="0" applyBorder="1" applyFont="1" applyNumberFormat="1"/>
    <xf borderId="0" fillId="0" fontId="13" numFmtId="205" xfId="0" applyFont="1" applyNumberFormat="1"/>
    <xf borderId="118" fillId="0" fontId="13" numFmtId="206" xfId="0" applyBorder="1" applyFont="1" applyNumberFormat="1"/>
    <xf borderId="0" fillId="0" fontId="13" numFmtId="206" xfId="0" applyFont="1" applyNumberFormat="1"/>
    <xf borderId="0" fillId="0" fontId="13" numFmtId="206" xfId="0" applyAlignment="1" applyFont="1" applyNumberFormat="1">
      <alignment readingOrder="0"/>
    </xf>
    <xf borderId="0" fillId="27" fontId="13" numFmtId="0" xfId="0" applyFill="1" applyFont="1"/>
    <xf borderId="0" fillId="27" fontId="13" numFmtId="3" xfId="0" applyFont="1" applyNumberFormat="1"/>
    <xf borderId="0" fillId="0" fontId="13" numFmtId="4" xfId="0" applyFont="1" applyNumberFormat="1"/>
    <xf borderId="0" fillId="0" fontId="13" numFmtId="207" xfId="0" applyFont="1" applyNumberFormat="1"/>
    <xf borderId="0" fillId="0" fontId="13" numFmtId="3" xfId="0" applyFont="1" applyNumberFormat="1"/>
    <xf borderId="119" fillId="0" fontId="13" numFmtId="0" xfId="0" applyBorder="1" applyFont="1"/>
    <xf borderId="119" fillId="0" fontId="13" numFmtId="3" xfId="0" applyBorder="1" applyFont="1" applyNumberFormat="1"/>
    <xf borderId="0" fillId="0" fontId="13" numFmtId="0" xfId="0" applyAlignment="1" applyFont="1">
      <alignment horizontal="center" readingOrder="0" shrinkToFit="0" vertical="center" wrapText="1"/>
    </xf>
    <xf borderId="83" fillId="0" fontId="13" numFmtId="0" xfId="0" applyAlignment="1" applyBorder="1" applyFont="1">
      <alignment readingOrder="0" shrinkToFit="0" vertical="center" wrapText="1"/>
    </xf>
    <xf borderId="120" fillId="0" fontId="13" numFmtId="0" xfId="0" applyAlignment="1" applyBorder="1" applyFont="1">
      <alignment readingOrder="0" shrinkToFit="0" vertical="center" wrapText="1"/>
    </xf>
    <xf borderId="121" fillId="0" fontId="13" numFmtId="0" xfId="0" applyAlignment="1" applyBorder="1" applyFont="1">
      <alignment readingOrder="0" shrinkToFit="0" vertical="center" wrapText="1"/>
    </xf>
    <xf borderId="87" fillId="0" fontId="13" numFmtId="0" xfId="0" applyAlignment="1" applyBorder="1" applyFont="1">
      <alignment readingOrder="0" shrinkToFit="0" vertical="center" wrapText="1"/>
    </xf>
    <xf borderId="83" fillId="0" fontId="13" numFmtId="0" xfId="0" applyAlignment="1" applyBorder="1" applyFont="1">
      <alignment shrinkToFit="0" vertical="center" wrapText="1"/>
    </xf>
    <xf borderId="95" fillId="0" fontId="13" numFmtId="0" xfId="0" applyAlignment="1" applyBorder="1" applyFont="1">
      <alignment readingOrder="0" shrinkToFit="0" vertical="center" wrapText="1"/>
    </xf>
    <xf borderId="122" fillId="0" fontId="13" numFmtId="0" xfId="0" applyAlignment="1" applyBorder="1" applyFont="1">
      <alignment readingOrder="0" shrinkToFit="0" vertical="center" wrapText="1"/>
    </xf>
    <xf borderId="123" fillId="0" fontId="13" numFmtId="0" xfId="0" applyAlignment="1" applyBorder="1" applyFont="1">
      <alignment readingOrder="0" shrinkToFit="0" vertical="center" wrapText="1"/>
    </xf>
    <xf borderId="124" fillId="0" fontId="13" numFmtId="0" xfId="0" applyAlignment="1" applyBorder="1" applyFont="1">
      <alignment readingOrder="0" shrinkToFit="0" vertical="center" wrapText="1"/>
    </xf>
    <xf borderId="125" fillId="0" fontId="13" numFmtId="0" xfId="0" applyAlignment="1" applyBorder="1" applyFont="1">
      <alignment readingOrder="0" shrinkToFit="0" vertical="center" wrapText="1"/>
    </xf>
    <xf borderId="126" fillId="0" fontId="13" numFmtId="0" xfId="0" applyAlignment="1" applyBorder="1" applyFont="1">
      <alignment readingOrder="0" shrinkToFit="0" vertical="center" wrapText="1"/>
    </xf>
    <xf borderId="127" fillId="0" fontId="13" numFmtId="0" xfId="0" applyAlignment="1" applyBorder="1" applyFont="1">
      <alignment readingOrder="0" shrinkToFit="0" vertical="center" wrapText="1"/>
    </xf>
    <xf borderId="128" fillId="0" fontId="13" numFmtId="0" xfId="0" applyAlignment="1" applyBorder="1" applyFont="1">
      <alignment readingOrder="0" shrinkToFit="0" vertical="center" wrapText="1"/>
    </xf>
    <xf quotePrefix="1" borderId="69" fillId="0" fontId="13" numFmtId="0" xfId="0" applyAlignment="1" applyBorder="1" applyFont="1">
      <alignment horizontal="center" readingOrder="0" shrinkToFit="0" vertical="center" wrapText="1"/>
    </xf>
    <xf quotePrefix="1" borderId="129" fillId="0" fontId="13" numFmtId="0" xfId="0" applyAlignment="1" applyBorder="1" applyFont="1">
      <alignment horizontal="center" readingOrder="0" shrinkToFit="0" vertical="center" wrapText="1"/>
    </xf>
    <xf borderId="129" fillId="0" fontId="13" numFmtId="0" xfId="0" applyAlignment="1" applyBorder="1" applyFont="1">
      <alignment horizontal="center" readingOrder="0" shrinkToFit="0" vertical="center" wrapText="1"/>
    </xf>
    <xf borderId="130" fillId="0" fontId="13" numFmtId="0" xfId="0" applyAlignment="1" applyBorder="1" applyFont="1">
      <alignment horizontal="center" readingOrder="0" shrinkToFit="0" vertical="center" wrapText="1"/>
    </xf>
    <xf borderId="69" fillId="0" fontId="13" numFmtId="0" xfId="0" applyAlignment="1" applyBorder="1" applyFont="1">
      <alignment readingOrder="0" shrinkToFit="0" vertical="center" wrapText="1"/>
    </xf>
    <xf borderId="129" fillId="0" fontId="13" numFmtId="0" xfId="0" applyAlignment="1" applyBorder="1" applyFont="1">
      <alignment readingOrder="0" shrinkToFit="0" vertical="center" wrapText="1"/>
    </xf>
    <xf borderId="130" fillId="0" fontId="1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6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E7E7"/>
          <bgColor rgb="FFE7E7E7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5">
    <tableStyle count="2" pivot="0" name="Changelog-style">
      <tableStyleElement dxfId="3" type="firstRowStripe"/>
      <tableStyleElement dxfId="4" type="secondRowStripe"/>
    </tableStyle>
    <tableStyle count="2" pivot="0" name="stats-style">
      <tableStyleElement dxfId="3" type="firstRowStripe"/>
      <tableStyleElement dxfId="5" type="secondRowStripe"/>
    </tableStyle>
    <tableStyle count="2" pivot="0" name="scaling-style">
      <tableStyleElement dxfId="3" type="firstRowStripe"/>
      <tableStyleElement dxfId="5" type="secondRowStripe"/>
    </tableStyle>
    <tableStyle count="2" pivot="0" name="skillName-style">
      <tableStyleElement dxfId="3" type="firstRowStripe"/>
      <tableStyleElement dxfId="5" type="secondRowStripe"/>
    </tableStyle>
    <tableStyle count="2" pivot="0" name="traitName-style">
      <tableStyleElement dxfId="3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10668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hangelog-style" showColumnStripes="0" showFirstColumn="1" showLastColumn="1" showRowStripes="1"/>
</table>
</file>

<file path=xl/tables/table2.xml><?xml version="1.0" encoding="utf-8"?>
<table xmlns="http://schemas.openxmlformats.org/spreadsheetml/2006/main" headerRowCount="0" ref="A1:D18" displayName="Table_2" id="2">
  <tableColumns count="4">
    <tableColumn name="Column1" id="1"/>
    <tableColumn name="Column2" id="2"/>
    <tableColumn name="Column3" id="3"/>
    <tableColumn name="Column4" id="4"/>
  </tableColumns>
  <tableStyleInfo name="stat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B102" displayName="Table_3" id="3">
  <tableColumns count="2">
    <tableColumn name="Column1" id="1"/>
    <tableColumn name="Column2" id="2"/>
  </tableColumns>
  <tableStyleInfo name="scaling-style" showColumnStripes="0" showFirstColumn="1" showLastColumn="1" showRowStripes="1"/>
</table>
</file>

<file path=xl/tables/table4.xml><?xml version="1.0" encoding="utf-8"?>
<table xmlns="http://schemas.openxmlformats.org/spreadsheetml/2006/main" headerRowCount="0" ref="A1:B41" displayName="Table_4" id="4">
  <tableColumns count="2">
    <tableColumn name="Column1" id="1"/>
    <tableColumn name="Column2" id="2"/>
  </tableColumns>
  <tableStyleInfo name="skillName-style" showColumnStripes="0" showFirstColumn="1" showLastColumn="1" showRowStripes="1"/>
</table>
</file>

<file path=xl/tables/table5.xml><?xml version="1.0" encoding="utf-8"?>
<table xmlns="http://schemas.openxmlformats.org/spreadsheetml/2006/main" headerRowCount="0" ref="A1:H31" display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raitNa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-nc-sa/4.0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i0UDX2f8aMg9MAPPGzFBmBiDwQyURgkFFnE2QvkkfA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2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3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4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5"/>
    <col customWidth="1" min="2" max="2" width="7.63"/>
    <col customWidth="1" min="3" max="3" width="17.0"/>
    <col customWidth="1" min="4" max="17" width="7.0"/>
    <col customWidth="1" min="18" max="18" width="12.63"/>
    <col customWidth="1" min="19" max="19" width="40.13"/>
  </cols>
  <sheetData>
    <row r="1">
      <c r="A1" s="1">
        <f t="shared" ref="A1:S1" si="1">GetColumnWidth(COLUMN((A3)))</f>
        <v>115</v>
      </c>
      <c r="B1" s="1">
        <f t="shared" si="1"/>
        <v>60</v>
      </c>
      <c r="C1" s="1">
        <f t="shared" si="1"/>
        <v>135</v>
      </c>
      <c r="D1" s="1">
        <f t="shared" si="1"/>
        <v>55</v>
      </c>
      <c r="E1" s="1">
        <f t="shared" si="1"/>
        <v>55</v>
      </c>
      <c r="F1" s="1">
        <f t="shared" si="1"/>
        <v>55</v>
      </c>
      <c r="G1" s="1">
        <f t="shared" si="1"/>
        <v>55</v>
      </c>
      <c r="H1" s="1">
        <f t="shared" si="1"/>
        <v>55</v>
      </c>
      <c r="I1" s="1">
        <f t="shared" si="1"/>
        <v>55</v>
      </c>
      <c r="J1" s="1">
        <f t="shared" si="1"/>
        <v>55</v>
      </c>
      <c r="K1" s="1">
        <f t="shared" si="1"/>
        <v>55</v>
      </c>
      <c r="L1" s="1">
        <f t="shared" si="1"/>
        <v>55</v>
      </c>
      <c r="M1" s="1">
        <f t="shared" si="1"/>
        <v>55</v>
      </c>
      <c r="N1" s="1">
        <f t="shared" si="1"/>
        <v>55</v>
      </c>
      <c r="O1" s="1">
        <f t="shared" si="1"/>
        <v>55</v>
      </c>
      <c r="P1" s="1">
        <f t="shared" si="1"/>
        <v>55</v>
      </c>
      <c r="Q1" s="1">
        <f t="shared" si="1"/>
        <v>55</v>
      </c>
      <c r="R1" s="1">
        <f t="shared" si="1"/>
        <v>100</v>
      </c>
      <c r="S1" s="1">
        <f t="shared" si="1"/>
        <v>320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>
        <f>K2-L2</f>
        <v>0</v>
      </c>
      <c r="K2" s="1">
        <f>SUM(A1:K1)</f>
        <v>750</v>
      </c>
      <c r="L2" s="1">
        <f>SUM(L1:S1)</f>
        <v>750</v>
      </c>
      <c r="M2" s="1">
        <f>-J2</f>
        <v>0</v>
      </c>
      <c r="N2" s="1"/>
      <c r="O2" s="1"/>
      <c r="P2" s="1"/>
      <c r="Q2" s="1"/>
      <c r="R2" s="1"/>
      <c r="S2" s="1"/>
    </row>
    <row r="3" ht="22.5" customHeight="1">
      <c r="A3" s="2" t="str">
        <f>systemData_systemLogo</f>
        <v/>
      </c>
      <c r="B3" s="2"/>
      <c r="C3" s="2"/>
      <c r="D3" s="2" t="str">
        <f>systemData_versionTitle</f>
        <v>Fractal RPG v0.5.0.0 (Pantsless Robot)</v>
      </c>
      <c r="S3" s="2"/>
    </row>
    <row r="4" ht="45.0" customHeight="1">
      <c r="B4" s="3"/>
      <c r="C4" s="3"/>
      <c r="D4" s="3" t="s">
        <v>0</v>
      </c>
      <c r="S4" s="3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5" t="s">
        <v>1</v>
      </c>
      <c r="B6" s="6"/>
      <c r="C6" s="7"/>
      <c r="D6" s="7"/>
      <c r="E6" s="7"/>
      <c r="F6" s="7"/>
      <c r="G6" s="7"/>
      <c r="H6" s="7"/>
      <c r="I6" s="7"/>
      <c r="J6" s="8"/>
      <c r="K6" s="9"/>
      <c r="L6" s="10" t="s">
        <v>2</v>
      </c>
      <c r="M6" s="11"/>
      <c r="N6" s="11"/>
      <c r="O6" s="11"/>
      <c r="P6" s="11"/>
      <c r="Q6" s="11"/>
      <c r="R6" s="11"/>
      <c r="S6" s="12"/>
    </row>
    <row r="7">
      <c r="A7" s="5" t="s">
        <v>3</v>
      </c>
      <c r="B7" s="6"/>
      <c r="C7" s="7"/>
      <c r="D7" s="7"/>
      <c r="E7" s="7"/>
      <c r="F7" s="7"/>
      <c r="G7" s="7"/>
      <c r="H7" s="7"/>
      <c r="I7" s="7"/>
      <c r="J7" s="8"/>
      <c r="K7" s="9"/>
      <c r="L7" s="13"/>
      <c r="S7" s="14"/>
    </row>
    <row r="8">
      <c r="A8" s="5" t="s">
        <v>4</v>
      </c>
      <c r="B8" s="6"/>
      <c r="C8" s="7"/>
      <c r="D8" s="7"/>
      <c r="E8" s="7"/>
      <c r="F8" s="7"/>
      <c r="G8" s="7"/>
      <c r="H8" s="7"/>
      <c r="I8" s="7"/>
      <c r="J8" s="8"/>
      <c r="K8" s="9"/>
      <c r="L8" s="15"/>
      <c r="S8" s="14"/>
    </row>
    <row r="9">
      <c r="A9" s="5" t="s">
        <v>5</v>
      </c>
      <c r="B9" s="6"/>
      <c r="C9" s="7"/>
      <c r="D9" s="7"/>
      <c r="E9" s="7"/>
      <c r="F9" s="7"/>
      <c r="G9" s="7"/>
      <c r="H9" s="7"/>
      <c r="I9" s="7"/>
      <c r="J9" s="8"/>
      <c r="K9" s="9"/>
      <c r="L9" s="15"/>
      <c r="S9" s="14"/>
    </row>
    <row r="10">
      <c r="A10" s="5" t="s">
        <v>6</v>
      </c>
      <c r="B10" s="6"/>
      <c r="C10" s="7"/>
      <c r="D10" s="7"/>
      <c r="E10" s="7"/>
      <c r="F10" s="7"/>
      <c r="G10" s="7"/>
      <c r="H10" s="7"/>
      <c r="I10" s="7"/>
      <c r="J10" s="8"/>
      <c r="K10" s="9"/>
      <c r="L10" s="15"/>
      <c r="S10" s="14"/>
    </row>
    <row r="11">
      <c r="A11" s="5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9"/>
      <c r="L11" s="15"/>
      <c r="S11" s="14"/>
    </row>
    <row r="12">
      <c r="A12" s="5" t="s">
        <v>8</v>
      </c>
      <c r="B12" s="6"/>
      <c r="C12" s="7"/>
      <c r="D12" s="7"/>
      <c r="E12" s="7"/>
      <c r="F12" s="7"/>
      <c r="G12" s="7"/>
      <c r="H12" s="7"/>
      <c r="I12" s="7"/>
      <c r="J12" s="16"/>
      <c r="K12" s="9"/>
      <c r="L12" s="15"/>
      <c r="S12" s="14"/>
    </row>
    <row r="13">
      <c r="A13" s="5" t="s">
        <v>9</v>
      </c>
      <c r="B13" s="6"/>
      <c r="C13" s="7"/>
      <c r="D13" s="7"/>
      <c r="E13" s="7"/>
      <c r="F13" s="7"/>
      <c r="G13" s="7"/>
      <c r="H13" s="7"/>
      <c r="I13" s="7"/>
      <c r="J13" s="16"/>
      <c r="K13" s="9"/>
      <c r="L13" s="15"/>
      <c r="S13" s="14"/>
    </row>
    <row r="14">
      <c r="A14" s="5" t="s">
        <v>10</v>
      </c>
      <c r="B14" s="6">
        <v>1.0</v>
      </c>
      <c r="C14" s="7"/>
      <c r="D14" s="7"/>
      <c r="E14" s="7"/>
      <c r="F14" s="7"/>
      <c r="G14" s="7"/>
      <c r="H14" s="7"/>
      <c r="I14" s="7"/>
      <c r="J14" s="16"/>
      <c r="K14" s="17"/>
      <c r="L14" s="15"/>
      <c r="S14" s="14"/>
    </row>
    <row r="15" ht="30.0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S15" s="14"/>
    </row>
    <row r="16">
      <c r="A16" s="19"/>
      <c r="B16" s="19"/>
      <c r="C16" s="19"/>
      <c r="D16" s="10" t="str">
        <f>PROPER(stat_blanketTerm_resource)&amp;"s"</f>
        <v>Vitals</v>
      </c>
      <c r="E16" s="12"/>
      <c r="F16" s="17"/>
      <c r="G16" s="4"/>
      <c r="H16" s="10" t="s">
        <v>11</v>
      </c>
      <c r="I16" s="12"/>
      <c r="J16" s="17"/>
      <c r="K16" s="17"/>
      <c r="L16" s="15"/>
      <c r="S16" s="14"/>
    </row>
    <row r="17">
      <c r="A17" s="19"/>
      <c r="B17" s="19"/>
      <c r="C17" s="19"/>
      <c r="D17" s="20" t="s">
        <v>12</v>
      </c>
      <c r="E17" s="20" t="s">
        <v>13</v>
      </c>
      <c r="F17" s="17"/>
      <c r="G17" s="4"/>
      <c r="H17" s="20" t="s">
        <v>14</v>
      </c>
      <c r="I17" s="20" t="s">
        <v>15</v>
      </c>
      <c r="J17" s="17"/>
      <c r="K17" s="17"/>
      <c r="L17" s="15"/>
      <c r="S17" s="14"/>
    </row>
    <row r="18">
      <c r="A18" s="19"/>
      <c r="B18" s="4"/>
      <c r="C18" s="5" t="str">
        <f>PROPER(stat_resource_physical)&amp;" Points ("&amp;UPPER(LEFT(stat_resource_physical,1))&amp;"P)"</f>
        <v>Health Points (HP)</v>
      </c>
      <c r="D18" s="21"/>
      <c r="E18" s="22">
        <f>charStats_level*statValue_perLevel_resource_physical</f>
        <v>0</v>
      </c>
      <c r="F18" s="23"/>
      <c r="G18" s="5" t="str">
        <f>PROPER(stat_scale_physical_size)</f>
        <v>Size</v>
      </c>
      <c r="H18" s="24">
        <v>0.0</v>
      </c>
      <c r="I18" s="25"/>
      <c r="J18" s="23"/>
      <c r="K18" s="23"/>
      <c r="L18" s="15"/>
      <c r="S18" s="14"/>
    </row>
    <row r="19">
      <c r="A19" s="19"/>
      <c r="B19" s="4"/>
      <c r="C19" s="5" t="str">
        <f>PROPER(stat_resource_mental)&amp;" Points ("&amp;UPPER(LEFT(stat_resource_mental,1))&amp;"P)"</f>
        <v>Sanity Points (SP)</v>
      </c>
      <c r="D19" s="21"/>
      <c r="E19" s="26">
        <f>charStats_level*statValue_perLevel_resource_mental</f>
        <v>0</v>
      </c>
      <c r="F19" s="23"/>
      <c r="G19" s="5" t="str">
        <f>PROPER(stat_scale_physical_mass)</f>
        <v>Mass</v>
      </c>
      <c r="H19" s="27">
        <v>0.0</v>
      </c>
      <c r="I19" s="28"/>
      <c r="J19" s="23"/>
      <c r="K19" s="23"/>
      <c r="L19" s="15"/>
      <c r="S19" s="14"/>
    </row>
    <row r="20">
      <c r="A20" s="19"/>
      <c r="B20" s="4"/>
      <c r="C20" s="5" t="str">
        <f>PROPER(stat_resource_spiritual)&amp;" Points ("&amp;UPPER(LEFT(stat_resource_spiritual,1))&amp;"P)"</f>
        <v>Essence Points (EP)</v>
      </c>
      <c r="D20" s="21"/>
      <c r="E20" s="26">
        <f>charStats_level*statValue_perLevel_resource_spiritual</f>
        <v>0</v>
      </c>
      <c r="F20" s="23"/>
      <c r="G20" s="5" t="str">
        <f>PROPER(stat_scale_physical_strength)</f>
        <v>Brawn</v>
      </c>
      <c r="H20" s="27">
        <v>0.0</v>
      </c>
      <c r="I20" s="28"/>
      <c r="J20" s="23"/>
      <c r="K20" s="23"/>
      <c r="L20" s="15"/>
      <c r="S20" s="14"/>
    </row>
    <row r="21">
      <c r="A21" s="19"/>
      <c r="B21" s="4"/>
      <c r="C21" s="5" t="str">
        <f>PROPER(stat_resource_consciousness)&amp;" Points ("&amp;UPPER(LEFT(stat_resource_consciousness,1))&amp;"P)"</f>
        <v>Cognizance Points (CP)</v>
      </c>
      <c r="D21" s="21"/>
      <c r="E21" s="26">
        <f>charStats_level*statValue_perLevel_resource_consciousness</f>
        <v>0</v>
      </c>
      <c r="F21" s="23"/>
      <c r="G21" s="5" t="str">
        <f>PROPER(stat_scale_mental)</f>
        <v>Wit</v>
      </c>
      <c r="H21" s="27">
        <v>0.0</v>
      </c>
      <c r="I21" s="17"/>
      <c r="J21" s="23"/>
      <c r="K21" s="23"/>
      <c r="L21" s="15"/>
      <c r="S21" s="14"/>
    </row>
    <row r="22">
      <c r="A22" s="19"/>
      <c r="B22" s="4"/>
      <c r="C22" s="5" t="str">
        <f>PROPER(stat_defense_physical)&amp;" Points ("&amp;UPPER(LEFT(stat_defense_physical,1))&amp;"P)"</f>
        <v>Barrier Points (BP)</v>
      </c>
      <c r="D22" s="29">
        <f t="shared" ref="D22:E22" si="2">SUM(H45:H54)</f>
        <v>0</v>
      </c>
      <c r="E22" s="29">
        <f t="shared" si="2"/>
        <v>0</v>
      </c>
      <c r="F22" s="17"/>
      <c r="G22" s="5" t="str">
        <f>PROPER(stat_scale_spiritual)</f>
        <v>Prowess</v>
      </c>
      <c r="H22" s="27">
        <v>0.0</v>
      </c>
      <c r="I22" s="17"/>
      <c r="J22" s="17"/>
      <c r="K22" s="17"/>
      <c r="L22" s="15"/>
      <c r="S22" s="14"/>
    </row>
    <row r="23">
      <c r="A23" s="19"/>
      <c r="B23" s="4"/>
      <c r="C23" s="5" t="str">
        <f>PROPER(stat_defense_mental)&amp;" Points ("&amp;UPPER(LEFT(stat_defense_mental,1))&amp;"P)"</f>
        <v>Resistance Points (RP)</v>
      </c>
      <c r="D23" s="29">
        <f t="shared" ref="D23:E23" si="3">SUM(J45:J54)</f>
        <v>0</v>
      </c>
      <c r="E23" s="29">
        <f t="shared" si="3"/>
        <v>0</v>
      </c>
      <c r="F23" s="17"/>
      <c r="G23" s="17"/>
      <c r="H23" s="17"/>
      <c r="I23" s="17"/>
      <c r="J23" s="17"/>
      <c r="K23" s="17"/>
      <c r="L23" s="15"/>
      <c r="S23" s="14"/>
    </row>
    <row r="24">
      <c r="A24" s="19"/>
      <c r="B24" s="4"/>
      <c r="C24" s="5" t="str">
        <f>PROPER(stat_defense_spiritual)&amp;" Points ("&amp;UPPER(LEFT(stat_defense_spiritual,1))&amp;"P)"</f>
        <v>Warding Points (WP)</v>
      </c>
      <c r="D24" s="29">
        <f t="shared" ref="D24:E24" si="4">SUM(L45:L54)</f>
        <v>0</v>
      </c>
      <c r="E24" s="29">
        <f t="shared" si="4"/>
        <v>0</v>
      </c>
      <c r="F24" s="17"/>
      <c r="G24" s="17"/>
      <c r="H24" s="17"/>
      <c r="I24" s="17"/>
      <c r="J24" s="17"/>
      <c r="K24" s="17"/>
      <c r="L24" s="30"/>
      <c r="M24" s="31"/>
      <c r="N24" s="31"/>
      <c r="O24" s="31"/>
      <c r="P24" s="31"/>
      <c r="Q24" s="31"/>
      <c r="R24" s="31"/>
      <c r="S24" s="32"/>
    </row>
    <row r="25" ht="30.0" customHeight="1">
      <c r="A25" s="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10" t="s">
        <v>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>
      <c r="A27" s="33" t="s">
        <v>17</v>
      </c>
      <c r="B27" s="33" t="s">
        <v>18</v>
      </c>
      <c r="C27" s="33" t="s">
        <v>19</v>
      </c>
      <c r="D27" s="33" t="s">
        <v>20</v>
      </c>
      <c r="E27" s="33" t="s">
        <v>21</v>
      </c>
      <c r="F27" s="34" t="s">
        <v>22</v>
      </c>
      <c r="G27" s="35"/>
      <c r="H27" s="36" t="str">
        <f>PROPER(stat_blanketTerm_damage)&amp;" Points ("&amp;UPPER(LEFT(stat_blanketTerm_damage,1))&amp;"P)"</f>
        <v>Attack Points (AP)</v>
      </c>
      <c r="I27" s="11"/>
      <c r="J27" s="11"/>
      <c r="K27" s="11"/>
      <c r="L27" s="11"/>
      <c r="M27" s="11"/>
      <c r="N27" s="11"/>
      <c r="O27" s="12"/>
      <c r="P27" s="37" t="s">
        <v>23</v>
      </c>
      <c r="Q27" s="37" t="s">
        <v>9</v>
      </c>
      <c r="R27" s="37" t="s">
        <v>24</v>
      </c>
      <c r="S27" s="37" t="s">
        <v>2</v>
      </c>
    </row>
    <row r="28">
      <c r="A28" s="38"/>
      <c r="B28" s="38"/>
      <c r="C28" s="38"/>
      <c r="D28" s="38"/>
      <c r="E28" s="38"/>
      <c r="F28" s="39"/>
      <c r="G28" s="40"/>
      <c r="H28" s="41" t="str">
        <f>UPPER(LEFT(stat_resource_physical,1))&amp;"P"</f>
        <v>HP</v>
      </c>
      <c r="I28" s="12"/>
      <c r="J28" s="41" t="str">
        <f>UPPER(LEFT(stat_resource_mental,1))&amp;"P"</f>
        <v>SP</v>
      </c>
      <c r="K28" s="12"/>
      <c r="L28" s="41" t="str">
        <f>UPPER(LEFT(stat_resource_spiritual,1))&amp;"P"</f>
        <v>EP</v>
      </c>
      <c r="M28" s="12"/>
      <c r="N28" s="41" t="str">
        <f>UPPER(LEFT(stat_resource_consciousness,1))&amp;"P"</f>
        <v>CP</v>
      </c>
      <c r="O28" s="12"/>
      <c r="P28" s="38"/>
      <c r="Q28" s="38"/>
      <c r="R28" s="38"/>
      <c r="S28" s="38"/>
    </row>
    <row r="29">
      <c r="A29" s="42"/>
      <c r="B29" s="42"/>
      <c r="C29" s="42"/>
      <c r="D29" s="42"/>
      <c r="E29" s="42"/>
      <c r="F29" s="43" t="s">
        <v>12</v>
      </c>
      <c r="G29" s="20" t="s">
        <v>13</v>
      </c>
      <c r="H29" s="43" t="s">
        <v>12</v>
      </c>
      <c r="I29" s="20" t="s">
        <v>13</v>
      </c>
      <c r="J29" s="43" t="s">
        <v>12</v>
      </c>
      <c r="K29" s="20" t="s">
        <v>13</v>
      </c>
      <c r="L29" s="43" t="s">
        <v>12</v>
      </c>
      <c r="M29" s="20" t="s">
        <v>13</v>
      </c>
      <c r="N29" s="43" t="s">
        <v>12</v>
      </c>
      <c r="O29" s="20" t="s">
        <v>13</v>
      </c>
      <c r="P29" s="42"/>
      <c r="Q29" s="42"/>
      <c r="R29" s="42"/>
      <c r="S29" s="42"/>
    </row>
    <row r="30">
      <c r="A30" s="44"/>
      <c r="B30" s="45" t="b">
        <v>0</v>
      </c>
      <c r="C30" s="46"/>
      <c r="D30" s="46"/>
      <c r="E30" s="46"/>
      <c r="F30" s="47"/>
      <c r="G30" s="48"/>
      <c r="H30" s="47"/>
      <c r="I30" s="48"/>
      <c r="J30" s="47"/>
      <c r="K30" s="48"/>
      <c r="L30" s="47"/>
      <c r="M30" s="48"/>
      <c r="N30" s="47"/>
      <c r="O30" s="48"/>
      <c r="P30" s="46"/>
      <c r="Q30" s="46"/>
      <c r="R30" s="46"/>
      <c r="S30" s="44"/>
    </row>
    <row r="31">
      <c r="A31" s="49"/>
      <c r="B31" s="50" t="b">
        <v>0</v>
      </c>
      <c r="C31" s="51"/>
      <c r="D31" s="51"/>
      <c r="E31" s="51"/>
      <c r="F31" s="52"/>
      <c r="G31" s="53"/>
      <c r="H31" s="52"/>
      <c r="I31" s="53"/>
      <c r="J31" s="52"/>
      <c r="K31" s="53"/>
      <c r="L31" s="52"/>
      <c r="M31" s="53"/>
      <c r="N31" s="52"/>
      <c r="O31" s="53"/>
      <c r="P31" s="51"/>
      <c r="Q31" s="51"/>
      <c r="R31" s="51"/>
      <c r="S31" s="49"/>
    </row>
    <row r="32">
      <c r="A32" s="49"/>
      <c r="B32" s="50" t="b">
        <v>0</v>
      </c>
      <c r="C32" s="51"/>
      <c r="D32" s="51"/>
      <c r="E32" s="51"/>
      <c r="F32" s="52"/>
      <c r="G32" s="53"/>
      <c r="H32" s="52"/>
      <c r="I32" s="53"/>
      <c r="J32" s="52"/>
      <c r="K32" s="53"/>
      <c r="L32" s="52"/>
      <c r="M32" s="53"/>
      <c r="N32" s="52"/>
      <c r="O32" s="53"/>
      <c r="P32" s="51"/>
      <c r="Q32" s="51"/>
      <c r="R32" s="51"/>
      <c r="S32" s="49"/>
    </row>
    <row r="33">
      <c r="A33" s="49"/>
      <c r="B33" s="50" t="b">
        <v>0</v>
      </c>
      <c r="C33" s="51"/>
      <c r="D33" s="51"/>
      <c r="E33" s="51"/>
      <c r="F33" s="52"/>
      <c r="G33" s="53"/>
      <c r="H33" s="52"/>
      <c r="I33" s="53"/>
      <c r="J33" s="52"/>
      <c r="K33" s="53"/>
      <c r="L33" s="52"/>
      <c r="M33" s="53"/>
      <c r="N33" s="52"/>
      <c r="O33" s="53"/>
      <c r="P33" s="51"/>
      <c r="Q33" s="51"/>
      <c r="R33" s="51"/>
      <c r="S33" s="49"/>
    </row>
    <row r="34">
      <c r="A34" s="49"/>
      <c r="B34" s="50" t="b">
        <v>0</v>
      </c>
      <c r="C34" s="51"/>
      <c r="D34" s="51"/>
      <c r="E34" s="51"/>
      <c r="F34" s="52"/>
      <c r="G34" s="53"/>
      <c r="H34" s="52"/>
      <c r="I34" s="53"/>
      <c r="J34" s="52"/>
      <c r="K34" s="53"/>
      <c r="L34" s="52"/>
      <c r="M34" s="53"/>
      <c r="N34" s="52"/>
      <c r="O34" s="53"/>
      <c r="P34" s="51"/>
      <c r="Q34" s="51"/>
      <c r="R34" s="51"/>
      <c r="S34" s="49"/>
    </row>
    <row r="35">
      <c r="A35" s="49"/>
      <c r="B35" s="50" t="b">
        <v>0</v>
      </c>
      <c r="C35" s="51"/>
      <c r="D35" s="51"/>
      <c r="E35" s="51"/>
      <c r="F35" s="52"/>
      <c r="G35" s="53"/>
      <c r="H35" s="52"/>
      <c r="I35" s="53"/>
      <c r="J35" s="52"/>
      <c r="K35" s="53"/>
      <c r="L35" s="52"/>
      <c r="M35" s="53"/>
      <c r="N35" s="52"/>
      <c r="O35" s="53"/>
      <c r="P35" s="51"/>
      <c r="Q35" s="51"/>
      <c r="R35" s="51"/>
      <c r="S35" s="49"/>
    </row>
    <row r="36">
      <c r="A36" s="49"/>
      <c r="B36" s="50" t="b">
        <v>0</v>
      </c>
      <c r="C36" s="51"/>
      <c r="D36" s="51"/>
      <c r="E36" s="51"/>
      <c r="F36" s="52"/>
      <c r="G36" s="53"/>
      <c r="H36" s="52"/>
      <c r="I36" s="53"/>
      <c r="J36" s="52"/>
      <c r="K36" s="53"/>
      <c r="L36" s="52"/>
      <c r="M36" s="53"/>
      <c r="N36" s="52"/>
      <c r="O36" s="53"/>
      <c r="P36" s="51"/>
      <c r="Q36" s="51"/>
      <c r="R36" s="51"/>
      <c r="S36" s="49"/>
    </row>
    <row r="37">
      <c r="A37" s="49"/>
      <c r="B37" s="50" t="b">
        <v>0</v>
      </c>
      <c r="C37" s="51"/>
      <c r="D37" s="51"/>
      <c r="E37" s="51"/>
      <c r="F37" s="52"/>
      <c r="G37" s="53"/>
      <c r="H37" s="52"/>
      <c r="I37" s="53"/>
      <c r="J37" s="52"/>
      <c r="K37" s="53"/>
      <c r="L37" s="52"/>
      <c r="M37" s="53"/>
      <c r="N37" s="52"/>
      <c r="O37" s="53"/>
      <c r="P37" s="51"/>
      <c r="Q37" s="51"/>
      <c r="R37" s="51"/>
      <c r="S37" s="49"/>
    </row>
    <row r="38">
      <c r="A38" s="49"/>
      <c r="B38" s="50" t="b">
        <v>0</v>
      </c>
      <c r="C38" s="51"/>
      <c r="D38" s="51"/>
      <c r="E38" s="51"/>
      <c r="F38" s="52"/>
      <c r="G38" s="53"/>
      <c r="H38" s="52"/>
      <c r="I38" s="53"/>
      <c r="J38" s="52"/>
      <c r="K38" s="53"/>
      <c r="L38" s="52"/>
      <c r="M38" s="53"/>
      <c r="N38" s="52"/>
      <c r="O38" s="53"/>
      <c r="P38" s="51"/>
      <c r="Q38" s="51"/>
      <c r="R38" s="51"/>
      <c r="S38" s="49"/>
    </row>
    <row r="39">
      <c r="A39" s="54"/>
      <c r="B39" s="55" t="b">
        <v>0</v>
      </c>
      <c r="C39" s="56"/>
      <c r="D39" s="56"/>
      <c r="E39" s="56"/>
      <c r="F39" s="57"/>
      <c r="G39" s="58"/>
      <c r="H39" s="57"/>
      <c r="I39" s="58"/>
      <c r="J39" s="57"/>
      <c r="K39" s="58"/>
      <c r="L39" s="57"/>
      <c r="M39" s="58"/>
      <c r="N39" s="57"/>
      <c r="O39" s="58"/>
      <c r="P39" s="56"/>
      <c r="Q39" s="56"/>
      <c r="R39" s="56"/>
      <c r="S39" s="54"/>
    </row>
    <row r="40" ht="30.0" customHeight="1">
      <c r="A40" s="59"/>
      <c r="B40" s="60"/>
      <c r="C40" s="60"/>
      <c r="D40" s="60"/>
      <c r="E40" s="60"/>
      <c r="F40" s="60"/>
      <c r="G40" s="60"/>
      <c r="H40" s="17"/>
      <c r="I40" s="17"/>
      <c r="J40" s="17"/>
      <c r="K40" s="17"/>
      <c r="L40" s="17"/>
      <c r="M40" s="17"/>
      <c r="N40" s="17"/>
      <c r="O40" s="17"/>
      <c r="P40" s="60"/>
      <c r="Q40" s="60"/>
      <c r="R40" s="60"/>
      <c r="S40" s="60"/>
    </row>
    <row r="41">
      <c r="A41" s="34" t="s">
        <v>25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35"/>
    </row>
    <row r="42">
      <c r="A42" s="33" t="s">
        <v>17</v>
      </c>
      <c r="B42" s="33" t="s">
        <v>18</v>
      </c>
      <c r="C42" s="33" t="s">
        <v>19</v>
      </c>
      <c r="D42" s="33" t="s">
        <v>20</v>
      </c>
      <c r="E42" s="33" t="s">
        <v>21</v>
      </c>
      <c r="F42" s="34" t="s">
        <v>26</v>
      </c>
      <c r="G42" s="35"/>
      <c r="H42" s="36" t="str">
        <f>PROPER(stat_blanketTerm_defense)&amp;" Points ("&amp;UPPER(LEFT(stat_blanketTerm_defense,1))&amp;"P)"</f>
        <v>Defense Points (DP)</v>
      </c>
      <c r="I42" s="11"/>
      <c r="J42" s="11"/>
      <c r="K42" s="11"/>
      <c r="L42" s="11"/>
      <c r="M42" s="11"/>
      <c r="N42" s="11"/>
      <c r="O42" s="12"/>
      <c r="P42" s="33" t="s">
        <v>23</v>
      </c>
      <c r="Q42" s="33" t="s">
        <v>9</v>
      </c>
      <c r="R42" s="33" t="s">
        <v>24</v>
      </c>
      <c r="S42" s="33" t="s">
        <v>2</v>
      </c>
    </row>
    <row r="43">
      <c r="A43" s="38"/>
      <c r="B43" s="38"/>
      <c r="C43" s="38"/>
      <c r="D43" s="38"/>
      <c r="E43" s="38"/>
      <c r="F43" s="39"/>
      <c r="G43" s="40"/>
      <c r="H43" s="10" t="str">
        <f>UPPER(LEFT(stat_defense_physical,1))&amp;"P"</f>
        <v>BP</v>
      </c>
      <c r="I43" s="12"/>
      <c r="J43" s="10" t="str">
        <f>UPPER(LEFT(stat_defense_mental,1))&amp;"P"</f>
        <v>RP</v>
      </c>
      <c r="K43" s="12"/>
      <c r="L43" s="10" t="str">
        <f>UPPER(LEFT(stat_defense_spiritual,1))&amp;"P"</f>
        <v>WP</v>
      </c>
      <c r="M43" s="12"/>
      <c r="N43" s="62"/>
      <c r="O43" s="12"/>
      <c r="P43" s="38"/>
      <c r="Q43" s="38"/>
      <c r="R43" s="38"/>
      <c r="S43" s="38"/>
    </row>
    <row r="44">
      <c r="A44" s="42"/>
      <c r="B44" s="42"/>
      <c r="C44" s="42"/>
      <c r="D44" s="42"/>
      <c r="E44" s="42"/>
      <c r="F44" s="20" t="s">
        <v>12</v>
      </c>
      <c r="G44" s="20" t="s">
        <v>13</v>
      </c>
      <c r="H44" s="20" t="s">
        <v>12</v>
      </c>
      <c r="I44" s="20" t="s">
        <v>13</v>
      </c>
      <c r="J44" s="20" t="s">
        <v>12</v>
      </c>
      <c r="K44" s="20" t="s">
        <v>13</v>
      </c>
      <c r="L44" s="20" t="s">
        <v>12</v>
      </c>
      <c r="M44" s="20" t="s">
        <v>13</v>
      </c>
      <c r="N44" s="63"/>
      <c r="O44" s="63"/>
      <c r="P44" s="42"/>
      <c r="Q44" s="42"/>
      <c r="R44" s="42"/>
      <c r="S44" s="42"/>
    </row>
    <row r="45">
      <c r="A45" s="44"/>
      <c r="B45" s="45" t="b">
        <v>0</v>
      </c>
      <c r="C45" s="46"/>
      <c r="D45" s="46"/>
      <c r="E45" s="46"/>
      <c r="F45" s="47"/>
      <c r="G45" s="48"/>
      <c r="H45" s="47"/>
      <c r="I45" s="48"/>
      <c r="J45" s="47"/>
      <c r="K45" s="48"/>
      <c r="L45" s="47"/>
      <c r="M45" s="48"/>
      <c r="N45" s="64"/>
      <c r="O45" s="64"/>
      <c r="P45" s="46"/>
      <c r="Q45" s="46"/>
      <c r="R45" s="46"/>
      <c r="S45" s="44"/>
    </row>
    <row r="46">
      <c r="A46" s="49"/>
      <c r="B46" s="50" t="b">
        <v>0</v>
      </c>
      <c r="C46" s="51"/>
      <c r="D46" s="51"/>
      <c r="E46" s="51"/>
      <c r="F46" s="52"/>
      <c r="G46" s="53"/>
      <c r="H46" s="52"/>
      <c r="I46" s="53"/>
      <c r="J46" s="52"/>
      <c r="K46" s="53"/>
      <c r="L46" s="52"/>
      <c r="M46" s="53"/>
      <c r="N46" s="65"/>
      <c r="O46" s="65"/>
      <c r="P46" s="51"/>
      <c r="Q46" s="51"/>
      <c r="R46" s="51"/>
      <c r="S46" s="49"/>
    </row>
    <row r="47">
      <c r="A47" s="49"/>
      <c r="B47" s="50" t="b">
        <v>0</v>
      </c>
      <c r="C47" s="51"/>
      <c r="D47" s="51"/>
      <c r="E47" s="51"/>
      <c r="F47" s="52"/>
      <c r="G47" s="53"/>
      <c r="H47" s="52"/>
      <c r="I47" s="53"/>
      <c r="J47" s="52"/>
      <c r="K47" s="53"/>
      <c r="L47" s="52"/>
      <c r="M47" s="53"/>
      <c r="N47" s="65"/>
      <c r="O47" s="65"/>
      <c r="P47" s="51"/>
      <c r="Q47" s="51"/>
      <c r="R47" s="51"/>
      <c r="S47" s="49"/>
    </row>
    <row r="48">
      <c r="A48" s="49"/>
      <c r="B48" s="50" t="b">
        <v>0</v>
      </c>
      <c r="C48" s="51"/>
      <c r="D48" s="51"/>
      <c r="E48" s="51"/>
      <c r="F48" s="52"/>
      <c r="G48" s="53"/>
      <c r="H48" s="52"/>
      <c r="I48" s="53"/>
      <c r="J48" s="52"/>
      <c r="K48" s="53"/>
      <c r="L48" s="52"/>
      <c r="M48" s="53"/>
      <c r="N48" s="65"/>
      <c r="O48" s="65"/>
      <c r="P48" s="51"/>
      <c r="Q48" s="51"/>
      <c r="R48" s="51"/>
      <c r="S48" s="49"/>
    </row>
    <row r="49">
      <c r="A49" s="66"/>
      <c r="B49" s="67" t="b">
        <v>0</v>
      </c>
      <c r="C49" s="68"/>
      <c r="D49" s="68"/>
      <c r="E49" s="68"/>
      <c r="F49" s="52"/>
      <c r="G49" s="53"/>
      <c r="H49" s="52"/>
      <c r="I49" s="53"/>
      <c r="J49" s="52"/>
      <c r="K49" s="53"/>
      <c r="L49" s="52"/>
      <c r="M49" s="53"/>
      <c r="N49" s="69"/>
      <c r="O49" s="69"/>
      <c r="P49" s="68"/>
      <c r="Q49" s="68"/>
      <c r="R49" s="68"/>
      <c r="S49" s="66"/>
    </row>
    <row r="50">
      <c r="A50" s="49"/>
      <c r="B50" s="50" t="b">
        <v>0</v>
      </c>
      <c r="C50" s="51"/>
      <c r="D50" s="51"/>
      <c r="E50" s="51"/>
      <c r="F50" s="52"/>
      <c r="G50" s="53"/>
      <c r="H50" s="52"/>
      <c r="I50" s="53"/>
      <c r="J50" s="52"/>
      <c r="K50" s="53"/>
      <c r="L50" s="52"/>
      <c r="M50" s="53"/>
      <c r="N50" s="65"/>
      <c r="O50" s="65"/>
      <c r="P50" s="51"/>
      <c r="Q50" s="51"/>
      <c r="R50" s="51"/>
      <c r="S50" s="49"/>
    </row>
    <row r="51">
      <c r="A51" s="49"/>
      <c r="B51" s="50" t="b">
        <v>0</v>
      </c>
      <c r="C51" s="51"/>
      <c r="D51" s="51"/>
      <c r="E51" s="51"/>
      <c r="F51" s="52"/>
      <c r="G51" s="53"/>
      <c r="H51" s="52"/>
      <c r="I51" s="53"/>
      <c r="J51" s="52"/>
      <c r="K51" s="53"/>
      <c r="L51" s="52"/>
      <c r="M51" s="53"/>
      <c r="N51" s="65"/>
      <c r="O51" s="65"/>
      <c r="P51" s="51"/>
      <c r="Q51" s="51"/>
      <c r="R51" s="51"/>
      <c r="S51" s="49"/>
    </row>
    <row r="52">
      <c r="A52" s="49"/>
      <c r="B52" s="50" t="b">
        <v>0</v>
      </c>
      <c r="C52" s="51"/>
      <c r="D52" s="51"/>
      <c r="E52" s="51"/>
      <c r="F52" s="52"/>
      <c r="G52" s="53"/>
      <c r="H52" s="52"/>
      <c r="I52" s="53"/>
      <c r="J52" s="52"/>
      <c r="K52" s="53"/>
      <c r="L52" s="52"/>
      <c r="M52" s="53"/>
      <c r="N52" s="65"/>
      <c r="O52" s="65"/>
      <c r="P52" s="51"/>
      <c r="Q52" s="51"/>
      <c r="R52" s="51"/>
      <c r="S52" s="49"/>
    </row>
    <row r="53">
      <c r="A53" s="49"/>
      <c r="B53" s="50" t="b">
        <v>0</v>
      </c>
      <c r="C53" s="51"/>
      <c r="D53" s="51"/>
      <c r="E53" s="51"/>
      <c r="F53" s="52"/>
      <c r="G53" s="53"/>
      <c r="H53" s="52"/>
      <c r="I53" s="53"/>
      <c r="J53" s="52"/>
      <c r="K53" s="53"/>
      <c r="L53" s="52"/>
      <c r="M53" s="53"/>
      <c r="N53" s="65"/>
      <c r="O53" s="65"/>
      <c r="P53" s="51"/>
      <c r="Q53" s="51"/>
      <c r="R53" s="51"/>
      <c r="S53" s="49"/>
    </row>
    <row r="54">
      <c r="A54" s="49"/>
      <c r="B54" s="50" t="b">
        <v>0</v>
      </c>
      <c r="C54" s="51"/>
      <c r="D54" s="51"/>
      <c r="E54" s="51"/>
      <c r="F54" s="52"/>
      <c r="G54" s="53"/>
      <c r="H54" s="52"/>
      <c r="I54" s="53"/>
      <c r="J54" s="52"/>
      <c r="K54" s="53"/>
      <c r="L54" s="52"/>
      <c r="M54" s="53"/>
      <c r="N54" s="65"/>
      <c r="O54" s="65"/>
      <c r="P54" s="51"/>
      <c r="Q54" s="51"/>
      <c r="R54" s="51"/>
      <c r="S54" s="49"/>
    </row>
    <row r="55" ht="30.0" customHeight="1">
      <c r="A55" s="59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</row>
    <row r="56">
      <c r="A56" s="70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>
      <c r="A57" s="71" t="s">
        <v>28</v>
      </c>
      <c r="B57" s="7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</row>
    <row r="58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5"/>
      <c r="L58" s="76"/>
      <c r="M58" s="74"/>
      <c r="N58" s="74"/>
      <c r="O58" s="74"/>
      <c r="P58" s="74"/>
      <c r="Q58" s="74"/>
      <c r="R58" s="74"/>
      <c r="S58" s="75"/>
    </row>
    <row r="59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9"/>
      <c r="L59" s="80"/>
      <c r="M59" s="78"/>
      <c r="N59" s="78"/>
      <c r="O59" s="78"/>
      <c r="P59" s="78"/>
      <c r="Q59" s="78"/>
      <c r="R59" s="78"/>
      <c r="S59" s="79"/>
    </row>
    <row r="60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9"/>
      <c r="L60" s="80"/>
      <c r="M60" s="78"/>
      <c r="N60" s="78"/>
      <c r="O60" s="78"/>
      <c r="P60" s="78"/>
      <c r="Q60" s="78"/>
      <c r="R60" s="78"/>
      <c r="S60" s="79"/>
    </row>
    <row r="61">
      <c r="A61" s="77"/>
      <c r="B61" s="78"/>
      <c r="C61" s="78"/>
      <c r="D61" s="78"/>
      <c r="E61" s="78"/>
      <c r="F61" s="78"/>
      <c r="G61" s="78"/>
      <c r="H61" s="78"/>
      <c r="I61" s="78"/>
      <c r="J61" s="78"/>
      <c r="K61" s="79"/>
      <c r="L61" s="80"/>
      <c r="M61" s="78"/>
      <c r="N61" s="78"/>
      <c r="O61" s="78"/>
      <c r="P61" s="78"/>
      <c r="Q61" s="78"/>
      <c r="R61" s="78"/>
      <c r="S61" s="79"/>
    </row>
    <row r="62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9"/>
      <c r="L62" s="80"/>
      <c r="M62" s="78"/>
      <c r="N62" s="78"/>
      <c r="O62" s="78"/>
      <c r="P62" s="78"/>
      <c r="Q62" s="78"/>
      <c r="R62" s="78"/>
      <c r="S62" s="79"/>
    </row>
    <row r="63">
      <c r="A63" s="77"/>
      <c r="B63" s="78"/>
      <c r="C63" s="78"/>
      <c r="D63" s="78"/>
      <c r="E63" s="78"/>
      <c r="F63" s="78"/>
      <c r="G63" s="78"/>
      <c r="H63" s="78"/>
      <c r="I63" s="78"/>
      <c r="J63" s="78"/>
      <c r="K63" s="79"/>
      <c r="L63" s="80"/>
      <c r="M63" s="78"/>
      <c r="N63" s="78"/>
      <c r="O63" s="78"/>
      <c r="P63" s="78"/>
      <c r="Q63" s="78"/>
      <c r="R63" s="78"/>
      <c r="S63" s="79"/>
    </row>
    <row r="64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9"/>
      <c r="L64" s="80"/>
      <c r="M64" s="78"/>
      <c r="N64" s="78"/>
      <c r="O64" s="78"/>
      <c r="P64" s="78"/>
      <c r="Q64" s="78"/>
      <c r="R64" s="78"/>
      <c r="S64" s="79"/>
    </row>
    <row r="65">
      <c r="A65" s="77"/>
      <c r="B65" s="78"/>
      <c r="C65" s="78"/>
      <c r="D65" s="78"/>
      <c r="E65" s="78"/>
      <c r="F65" s="78"/>
      <c r="G65" s="78"/>
      <c r="H65" s="78"/>
      <c r="I65" s="78"/>
      <c r="J65" s="78"/>
      <c r="K65" s="79"/>
      <c r="L65" s="80"/>
      <c r="M65" s="78"/>
      <c r="N65" s="78"/>
      <c r="O65" s="78"/>
      <c r="P65" s="78"/>
      <c r="Q65" s="78"/>
      <c r="R65" s="78"/>
      <c r="S65" s="79"/>
    </row>
    <row r="66">
      <c r="A66" s="77"/>
      <c r="B66" s="78"/>
      <c r="C66" s="78"/>
      <c r="D66" s="78"/>
      <c r="E66" s="78"/>
      <c r="F66" s="78"/>
      <c r="G66" s="78"/>
      <c r="H66" s="78"/>
      <c r="I66" s="78"/>
      <c r="J66" s="78"/>
      <c r="K66" s="79"/>
      <c r="L66" s="80"/>
      <c r="M66" s="78"/>
      <c r="N66" s="78"/>
      <c r="O66" s="78"/>
      <c r="P66" s="78"/>
      <c r="Q66" s="78"/>
      <c r="R66" s="78"/>
      <c r="S66" s="79"/>
    </row>
    <row r="67">
      <c r="A67" s="77"/>
      <c r="B67" s="78"/>
      <c r="C67" s="78"/>
      <c r="D67" s="78"/>
      <c r="E67" s="78"/>
      <c r="F67" s="78"/>
      <c r="G67" s="78"/>
      <c r="H67" s="78"/>
      <c r="I67" s="78"/>
      <c r="J67" s="78"/>
      <c r="K67" s="79"/>
      <c r="L67" s="80"/>
      <c r="M67" s="78"/>
      <c r="N67" s="78"/>
      <c r="O67" s="78"/>
      <c r="P67" s="78"/>
      <c r="Q67" s="78"/>
      <c r="R67" s="78"/>
      <c r="S67" s="79"/>
    </row>
    <row r="68">
      <c r="A68" s="77"/>
      <c r="B68" s="78"/>
      <c r="C68" s="78"/>
      <c r="D68" s="78"/>
      <c r="E68" s="78"/>
      <c r="F68" s="78"/>
      <c r="G68" s="78"/>
      <c r="H68" s="78"/>
      <c r="I68" s="78"/>
      <c r="J68" s="78"/>
      <c r="K68" s="79"/>
      <c r="L68" s="80"/>
      <c r="M68" s="78"/>
      <c r="N68" s="78"/>
      <c r="O68" s="78"/>
      <c r="P68" s="78"/>
      <c r="Q68" s="78"/>
      <c r="R68" s="78"/>
      <c r="S68" s="79"/>
    </row>
    <row r="69">
      <c r="A69" s="77"/>
      <c r="B69" s="78"/>
      <c r="C69" s="78"/>
      <c r="D69" s="78"/>
      <c r="E69" s="78"/>
      <c r="F69" s="78"/>
      <c r="G69" s="78"/>
      <c r="H69" s="78"/>
      <c r="I69" s="78"/>
      <c r="J69" s="78"/>
      <c r="K69" s="79"/>
      <c r="L69" s="80"/>
      <c r="M69" s="78"/>
      <c r="N69" s="78"/>
      <c r="O69" s="78"/>
      <c r="P69" s="78"/>
      <c r="Q69" s="78"/>
      <c r="R69" s="78"/>
      <c r="S69" s="79"/>
    </row>
    <row r="70">
      <c r="A70" s="77"/>
      <c r="B70" s="78"/>
      <c r="C70" s="78"/>
      <c r="D70" s="78"/>
      <c r="E70" s="78"/>
      <c r="F70" s="78"/>
      <c r="G70" s="78"/>
      <c r="H70" s="78"/>
      <c r="I70" s="78"/>
      <c r="J70" s="78"/>
      <c r="K70" s="79"/>
      <c r="L70" s="80"/>
      <c r="M70" s="78"/>
      <c r="N70" s="78"/>
      <c r="O70" s="78"/>
      <c r="P70" s="78"/>
      <c r="Q70" s="78"/>
      <c r="R70" s="78"/>
      <c r="S70" s="79"/>
    </row>
    <row r="71">
      <c r="A71" s="77"/>
      <c r="B71" s="78"/>
      <c r="C71" s="78"/>
      <c r="D71" s="78"/>
      <c r="E71" s="78"/>
      <c r="F71" s="78"/>
      <c r="G71" s="78"/>
      <c r="H71" s="78"/>
      <c r="I71" s="78"/>
      <c r="J71" s="78"/>
      <c r="K71" s="79"/>
      <c r="L71" s="80"/>
      <c r="M71" s="78"/>
      <c r="N71" s="78"/>
      <c r="O71" s="78"/>
      <c r="P71" s="78"/>
      <c r="Q71" s="78"/>
      <c r="R71" s="78"/>
      <c r="S71" s="79"/>
    </row>
    <row r="72">
      <c r="A72" s="77"/>
      <c r="B72" s="78"/>
      <c r="C72" s="78"/>
      <c r="D72" s="78"/>
      <c r="E72" s="78"/>
      <c r="F72" s="78"/>
      <c r="G72" s="78"/>
      <c r="H72" s="78"/>
      <c r="I72" s="78"/>
      <c r="J72" s="78"/>
      <c r="K72" s="79"/>
      <c r="L72" s="80"/>
      <c r="M72" s="78"/>
      <c r="N72" s="78"/>
      <c r="O72" s="78"/>
      <c r="P72" s="78"/>
      <c r="Q72" s="78"/>
      <c r="R72" s="78"/>
      <c r="S72" s="79"/>
    </row>
    <row r="73">
      <c r="A73" s="77"/>
      <c r="B73" s="78"/>
      <c r="C73" s="78"/>
      <c r="D73" s="78"/>
      <c r="E73" s="78"/>
      <c r="F73" s="78"/>
      <c r="G73" s="78"/>
      <c r="H73" s="78"/>
      <c r="I73" s="78"/>
      <c r="J73" s="78"/>
      <c r="K73" s="79"/>
      <c r="L73" s="80"/>
      <c r="M73" s="78"/>
      <c r="N73" s="78"/>
      <c r="O73" s="78"/>
      <c r="P73" s="78"/>
      <c r="Q73" s="78"/>
      <c r="R73" s="78"/>
      <c r="S73" s="79"/>
    </row>
    <row r="74">
      <c r="A74" s="77"/>
      <c r="B74" s="78"/>
      <c r="C74" s="78"/>
      <c r="D74" s="78"/>
      <c r="E74" s="78"/>
      <c r="F74" s="78"/>
      <c r="G74" s="78"/>
      <c r="H74" s="78"/>
      <c r="I74" s="78"/>
      <c r="J74" s="78"/>
      <c r="K74" s="79"/>
      <c r="L74" s="80"/>
      <c r="M74" s="78"/>
      <c r="N74" s="78"/>
      <c r="O74" s="78"/>
      <c r="P74" s="78"/>
      <c r="Q74" s="78"/>
      <c r="R74" s="78"/>
      <c r="S74" s="79"/>
    </row>
    <row r="75">
      <c r="A75" s="77"/>
      <c r="B75" s="78"/>
      <c r="C75" s="78"/>
      <c r="D75" s="78"/>
      <c r="E75" s="78"/>
      <c r="F75" s="78"/>
      <c r="G75" s="78"/>
      <c r="H75" s="78"/>
      <c r="I75" s="78"/>
      <c r="J75" s="78"/>
      <c r="K75" s="79"/>
      <c r="L75" s="80"/>
      <c r="M75" s="78"/>
      <c r="N75" s="78"/>
      <c r="O75" s="78"/>
      <c r="P75" s="78"/>
      <c r="Q75" s="78"/>
      <c r="R75" s="78"/>
      <c r="S75" s="79"/>
    </row>
    <row r="76">
      <c r="A76" s="77"/>
      <c r="B76" s="78"/>
      <c r="C76" s="78"/>
      <c r="D76" s="78"/>
      <c r="E76" s="78"/>
      <c r="F76" s="78"/>
      <c r="G76" s="78"/>
      <c r="H76" s="78"/>
      <c r="I76" s="78"/>
      <c r="J76" s="78"/>
      <c r="K76" s="79"/>
      <c r="L76" s="80"/>
      <c r="M76" s="78"/>
      <c r="N76" s="78"/>
      <c r="O76" s="78"/>
      <c r="P76" s="78"/>
      <c r="Q76" s="78"/>
      <c r="R76" s="78"/>
      <c r="S76" s="79"/>
    </row>
    <row r="77">
      <c r="A77" s="77"/>
      <c r="B77" s="78"/>
      <c r="C77" s="78"/>
      <c r="D77" s="78"/>
      <c r="E77" s="78"/>
      <c r="F77" s="78"/>
      <c r="G77" s="78"/>
      <c r="H77" s="78"/>
      <c r="I77" s="78"/>
      <c r="J77" s="78"/>
      <c r="K77" s="79"/>
      <c r="L77" s="80"/>
      <c r="M77" s="78"/>
      <c r="N77" s="78"/>
      <c r="O77" s="78"/>
      <c r="P77" s="78"/>
      <c r="Q77" s="78"/>
      <c r="R77" s="78"/>
      <c r="S77" s="79"/>
    </row>
    <row r="78">
      <c r="A78" s="77"/>
      <c r="B78" s="78"/>
      <c r="C78" s="78"/>
      <c r="D78" s="78"/>
      <c r="E78" s="78"/>
      <c r="F78" s="78"/>
      <c r="G78" s="78"/>
      <c r="H78" s="78"/>
      <c r="I78" s="78"/>
      <c r="J78" s="78"/>
      <c r="K78" s="79"/>
      <c r="L78" s="80"/>
      <c r="M78" s="78"/>
      <c r="N78" s="78"/>
      <c r="O78" s="78"/>
      <c r="P78" s="78"/>
      <c r="Q78" s="78"/>
      <c r="R78" s="78"/>
      <c r="S78" s="79"/>
    </row>
    <row r="79">
      <c r="A79" s="77"/>
      <c r="B79" s="78"/>
      <c r="C79" s="78"/>
      <c r="D79" s="78"/>
      <c r="E79" s="78"/>
      <c r="F79" s="78"/>
      <c r="G79" s="78"/>
      <c r="H79" s="78"/>
      <c r="I79" s="78"/>
      <c r="J79" s="78"/>
      <c r="K79" s="79"/>
      <c r="L79" s="80"/>
      <c r="M79" s="78"/>
      <c r="N79" s="78"/>
      <c r="O79" s="78"/>
      <c r="P79" s="78"/>
      <c r="Q79" s="78"/>
      <c r="R79" s="78"/>
      <c r="S79" s="79"/>
    </row>
    <row r="80">
      <c r="A80" s="77"/>
      <c r="B80" s="78"/>
      <c r="C80" s="78"/>
      <c r="D80" s="78"/>
      <c r="E80" s="78"/>
      <c r="F80" s="78"/>
      <c r="G80" s="78"/>
      <c r="H80" s="78"/>
      <c r="I80" s="78"/>
      <c r="J80" s="78"/>
      <c r="K80" s="79"/>
      <c r="L80" s="80"/>
      <c r="M80" s="78"/>
      <c r="N80" s="78"/>
      <c r="O80" s="78"/>
      <c r="P80" s="78"/>
      <c r="Q80" s="78"/>
      <c r="R80" s="78"/>
      <c r="S80" s="79"/>
    </row>
    <row r="81">
      <c r="A81" s="77"/>
      <c r="B81" s="78"/>
      <c r="C81" s="78"/>
      <c r="D81" s="78"/>
      <c r="E81" s="78"/>
      <c r="F81" s="78"/>
      <c r="G81" s="78"/>
      <c r="H81" s="78"/>
      <c r="I81" s="78"/>
      <c r="J81" s="78"/>
      <c r="K81" s="79"/>
      <c r="L81" s="80"/>
      <c r="M81" s="78"/>
      <c r="N81" s="78"/>
      <c r="O81" s="78"/>
      <c r="P81" s="78"/>
      <c r="Q81" s="78"/>
      <c r="R81" s="78"/>
      <c r="S81" s="79"/>
    </row>
    <row r="82">
      <c r="A82" s="77"/>
      <c r="B82" s="78"/>
      <c r="C82" s="78"/>
      <c r="D82" s="78"/>
      <c r="E82" s="78"/>
      <c r="F82" s="78"/>
      <c r="G82" s="78"/>
      <c r="H82" s="78"/>
      <c r="I82" s="78"/>
      <c r="J82" s="78"/>
      <c r="K82" s="79"/>
      <c r="L82" s="80"/>
      <c r="M82" s="78"/>
      <c r="N82" s="78"/>
      <c r="O82" s="78"/>
      <c r="P82" s="78"/>
      <c r="Q82" s="78"/>
      <c r="R82" s="78"/>
      <c r="S82" s="79"/>
    </row>
    <row r="83">
      <c r="A83" s="77"/>
      <c r="B83" s="78"/>
      <c r="C83" s="78"/>
      <c r="D83" s="78"/>
      <c r="E83" s="78"/>
      <c r="F83" s="78"/>
      <c r="G83" s="78"/>
      <c r="H83" s="78"/>
      <c r="I83" s="78"/>
      <c r="J83" s="78"/>
      <c r="K83" s="79"/>
      <c r="L83" s="80"/>
      <c r="M83" s="78"/>
      <c r="N83" s="78"/>
      <c r="O83" s="78"/>
      <c r="P83" s="78"/>
      <c r="Q83" s="78"/>
      <c r="R83" s="78"/>
      <c r="S83" s="79"/>
    </row>
    <row r="84">
      <c r="A84" s="77"/>
      <c r="B84" s="78"/>
      <c r="C84" s="78"/>
      <c r="D84" s="78"/>
      <c r="E84" s="78"/>
      <c r="F84" s="78"/>
      <c r="G84" s="78"/>
      <c r="H84" s="78"/>
      <c r="I84" s="78"/>
      <c r="J84" s="78"/>
      <c r="K84" s="79"/>
      <c r="L84" s="80"/>
      <c r="M84" s="78"/>
      <c r="N84" s="78"/>
      <c r="O84" s="78"/>
      <c r="P84" s="78"/>
      <c r="Q84" s="78"/>
      <c r="R84" s="78"/>
      <c r="S84" s="79"/>
    </row>
    <row r="85">
      <c r="A85" s="81"/>
      <c r="B85" s="78"/>
      <c r="C85" s="78"/>
      <c r="D85" s="78"/>
      <c r="E85" s="78"/>
      <c r="F85" s="78"/>
      <c r="G85" s="78"/>
      <c r="H85" s="78"/>
      <c r="I85" s="78"/>
      <c r="J85" s="78"/>
      <c r="K85" s="79"/>
      <c r="L85" s="82"/>
      <c r="M85" s="78"/>
      <c r="N85" s="78"/>
      <c r="O85" s="78"/>
      <c r="P85" s="78"/>
      <c r="Q85" s="78"/>
      <c r="R85" s="78"/>
      <c r="S85" s="79"/>
    </row>
    <row r="86">
      <c r="A86" s="81"/>
      <c r="B86" s="78"/>
      <c r="C86" s="78"/>
      <c r="D86" s="78"/>
      <c r="E86" s="78"/>
      <c r="F86" s="78"/>
      <c r="G86" s="78"/>
      <c r="H86" s="78"/>
      <c r="I86" s="78"/>
      <c r="J86" s="78"/>
      <c r="K86" s="79"/>
      <c r="L86" s="82"/>
      <c r="M86" s="78"/>
      <c r="N86" s="78"/>
      <c r="O86" s="78"/>
      <c r="P86" s="78"/>
      <c r="Q86" s="78"/>
      <c r="R86" s="78"/>
      <c r="S86" s="79"/>
    </row>
    <row r="87">
      <c r="A87" s="83"/>
      <c r="B87" s="84"/>
      <c r="C87" s="84"/>
      <c r="D87" s="84"/>
      <c r="E87" s="84"/>
      <c r="F87" s="84"/>
      <c r="G87" s="84"/>
      <c r="H87" s="84"/>
      <c r="I87" s="84"/>
      <c r="J87" s="84"/>
      <c r="K87" s="85"/>
      <c r="L87" s="86"/>
      <c r="M87" s="84"/>
      <c r="N87" s="84"/>
      <c r="O87" s="84"/>
      <c r="P87" s="84"/>
      <c r="Q87" s="84"/>
      <c r="R87" s="84"/>
      <c r="S87" s="85"/>
    </row>
    <row r="88" ht="30.0" customHeight="1">
      <c r="A88" s="87" t="str">
        <f>systemData_copyrightMessage</f>
        <v>Fractal RPG v0.5.0.0 (Squishy Meatloaf | Pantsless Robot) 2019 - 202X SparkliTwizzl
Licensed under CC BY-NC-SA 4.0</v>
      </c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</row>
  </sheetData>
  <mergeCells count="111">
    <mergeCell ref="B8:J8"/>
    <mergeCell ref="B9:J9"/>
    <mergeCell ref="B10:J10"/>
    <mergeCell ref="B11:J11"/>
    <mergeCell ref="B12:J12"/>
    <mergeCell ref="B13:J13"/>
    <mergeCell ref="B14:J14"/>
    <mergeCell ref="D16:E16"/>
    <mergeCell ref="H16:I16"/>
    <mergeCell ref="A3:A4"/>
    <mergeCell ref="A27:A29"/>
    <mergeCell ref="B27:B29"/>
    <mergeCell ref="C27:C29"/>
    <mergeCell ref="D27:D29"/>
    <mergeCell ref="E27:E29"/>
    <mergeCell ref="D3:R3"/>
    <mergeCell ref="D4:R4"/>
    <mergeCell ref="B6:J6"/>
    <mergeCell ref="L6:S6"/>
    <mergeCell ref="B7:J7"/>
    <mergeCell ref="L7:S24"/>
    <mergeCell ref="A26:S26"/>
    <mergeCell ref="J28:K28"/>
    <mergeCell ref="L28:M28"/>
    <mergeCell ref="A64:K64"/>
    <mergeCell ref="L64:S64"/>
    <mergeCell ref="A65:K65"/>
    <mergeCell ref="L65:S65"/>
    <mergeCell ref="A66:K66"/>
    <mergeCell ref="L66:S66"/>
    <mergeCell ref="L67:S67"/>
    <mergeCell ref="A67:K67"/>
    <mergeCell ref="A68:K68"/>
    <mergeCell ref="L68:S68"/>
    <mergeCell ref="A69:K69"/>
    <mergeCell ref="L69:S69"/>
    <mergeCell ref="A70:K70"/>
    <mergeCell ref="L70:S70"/>
    <mergeCell ref="A71:K71"/>
    <mergeCell ref="L71:S71"/>
    <mergeCell ref="A72:K72"/>
    <mergeCell ref="L72:S72"/>
    <mergeCell ref="A73:K73"/>
    <mergeCell ref="L73:S73"/>
    <mergeCell ref="L74:S74"/>
    <mergeCell ref="A74:K74"/>
    <mergeCell ref="A75:K75"/>
    <mergeCell ref="L75:S75"/>
    <mergeCell ref="A76:K76"/>
    <mergeCell ref="L76:S76"/>
    <mergeCell ref="A77:K77"/>
    <mergeCell ref="L77:S77"/>
    <mergeCell ref="A78:K78"/>
    <mergeCell ref="L78:S78"/>
    <mergeCell ref="A79:K79"/>
    <mergeCell ref="L79:S79"/>
    <mergeCell ref="A80:K80"/>
    <mergeCell ref="L80:S80"/>
    <mergeCell ref="L81:S81"/>
    <mergeCell ref="A85:K85"/>
    <mergeCell ref="L85:S85"/>
    <mergeCell ref="A86:K86"/>
    <mergeCell ref="L86:S86"/>
    <mergeCell ref="A87:K87"/>
    <mergeCell ref="L87:S87"/>
    <mergeCell ref="A88:S88"/>
    <mergeCell ref="A81:K81"/>
    <mergeCell ref="A82:K82"/>
    <mergeCell ref="L82:S82"/>
    <mergeCell ref="A83:K83"/>
    <mergeCell ref="L83:S83"/>
    <mergeCell ref="A84:K84"/>
    <mergeCell ref="L84:S84"/>
    <mergeCell ref="F27:G28"/>
    <mergeCell ref="H27:O27"/>
    <mergeCell ref="P27:P29"/>
    <mergeCell ref="Q27:Q29"/>
    <mergeCell ref="R27:R29"/>
    <mergeCell ref="S27:S29"/>
    <mergeCell ref="H28:I28"/>
    <mergeCell ref="F42:G43"/>
    <mergeCell ref="H42:O42"/>
    <mergeCell ref="H43:I43"/>
    <mergeCell ref="J43:K43"/>
    <mergeCell ref="L43:M43"/>
    <mergeCell ref="N43:O43"/>
    <mergeCell ref="P42:P44"/>
    <mergeCell ref="Q42:Q44"/>
    <mergeCell ref="R42:R44"/>
    <mergeCell ref="S42:S44"/>
    <mergeCell ref="N28:O28"/>
    <mergeCell ref="A41:S41"/>
    <mergeCell ref="A42:A44"/>
    <mergeCell ref="B42:B44"/>
    <mergeCell ref="C42:C44"/>
    <mergeCell ref="D42:D44"/>
    <mergeCell ref="E42:E44"/>
    <mergeCell ref="A56:S56"/>
    <mergeCell ref="B57:S57"/>
    <mergeCell ref="A58:K58"/>
    <mergeCell ref="L58:S58"/>
    <mergeCell ref="A59:K59"/>
    <mergeCell ref="L59:S59"/>
    <mergeCell ref="L60:S60"/>
    <mergeCell ref="A60:K60"/>
    <mergeCell ref="A61:K61"/>
    <mergeCell ref="L61:S61"/>
    <mergeCell ref="A62:K62"/>
    <mergeCell ref="L62:S62"/>
    <mergeCell ref="A63:K63"/>
    <mergeCell ref="L63:S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13"/>
    <col customWidth="1" min="2" max="3" width="1.38"/>
    <col customWidth="1" min="4" max="6" width="9.5"/>
    <col customWidth="1" min="7" max="8" width="1.38"/>
    <col customWidth="1" min="9" max="11" width="9.5"/>
    <col customWidth="1" min="12" max="13" width="1.38"/>
    <col customWidth="1" min="14" max="16" width="9.5"/>
  </cols>
  <sheetData>
    <row r="1" ht="22.5" customHeight="1">
      <c r="A1" s="19" t="str">
        <f>systemData_systemLogo</f>
        <v/>
      </c>
      <c r="D1" s="2" t="str">
        <f>systemData_versionTitle</f>
        <v>Fractal RPG v0.5.0.0 (Pantsless Robot)</v>
      </c>
      <c r="P1" s="19"/>
    </row>
    <row r="2" ht="45.0" customHeight="1">
      <c r="D2" s="19"/>
      <c r="E2" s="3" t="s">
        <v>29</v>
      </c>
      <c r="O2" s="3"/>
      <c r="P2" s="89"/>
    </row>
    <row r="3" ht="15.0" customHeight="1">
      <c r="A3" s="23"/>
      <c r="B3" s="23"/>
      <c r="C3" s="23"/>
      <c r="D3" s="17"/>
      <c r="E3" s="20" t="s">
        <v>1</v>
      </c>
      <c r="F3" s="10"/>
      <c r="G3" s="11"/>
      <c r="H3" s="11"/>
      <c r="I3" s="11"/>
      <c r="J3" s="11"/>
      <c r="K3" s="11"/>
      <c r="L3" s="11"/>
      <c r="M3" s="11"/>
      <c r="N3" s="12"/>
      <c r="O3" s="17"/>
      <c r="P3" s="17"/>
    </row>
    <row r="4" ht="15.0" customHeight="1">
      <c r="A4" s="23"/>
      <c r="B4" s="23"/>
      <c r="C4" s="23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15.0" customHeight="1">
      <c r="A5" s="23"/>
      <c r="B5" s="23"/>
      <c r="C5" s="23"/>
      <c r="D5" s="10" t="s">
        <v>30</v>
      </c>
      <c r="E5" s="11"/>
      <c r="F5" s="20" t="str">
        <f>"("&amp;SUM(skilltree_tier1_pointsAssigned)&amp;" / "&amp;skilltree_0_points&amp;")"</f>
        <v>(0 / 0)</v>
      </c>
      <c r="G5" s="17"/>
      <c r="H5" s="17"/>
      <c r="I5" s="10" t="s">
        <v>31</v>
      </c>
      <c r="J5" s="11"/>
      <c r="K5" s="20" t="str">
        <f>"("&amp;SUM(skilltree_tier2_pointsAssigned)&amp;" / "&amp;skilltree_0_points&amp;")"</f>
        <v>(0 / 0)</v>
      </c>
      <c r="L5" s="17"/>
      <c r="M5" s="17"/>
      <c r="N5" s="10" t="s">
        <v>32</v>
      </c>
      <c r="O5" s="11"/>
      <c r="P5" s="20" t="str">
        <f>"("&amp;SUM(skilltree_tier3_pointsAssigned)&amp;" / "&amp;skilltree_0_points&amp;")"</f>
        <v>(0 / 0)</v>
      </c>
    </row>
    <row r="6" ht="15.0" customHeight="1">
      <c r="A6" s="90" t="s">
        <v>33</v>
      </c>
      <c r="C6" s="90"/>
      <c r="D6" s="91" t="s">
        <v>34</v>
      </c>
      <c r="E6" s="31"/>
      <c r="F6" s="32"/>
      <c r="G6" s="92"/>
      <c r="H6" s="92"/>
      <c r="I6" s="91" t="s">
        <v>35</v>
      </c>
      <c r="J6" s="31"/>
      <c r="K6" s="32"/>
      <c r="L6" s="92"/>
      <c r="M6" s="92"/>
      <c r="N6" s="91" t="s">
        <v>36</v>
      </c>
      <c r="O6" s="31"/>
      <c r="P6" s="32"/>
    </row>
    <row r="7" ht="15.0" customHeight="1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</row>
    <row r="8" ht="15.0" customHeight="1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5"/>
      <c r="N8" s="96" t="str">
        <f>PROPER(skillName_1_1_1)</f>
        <v>Strength</v>
      </c>
      <c r="O8" s="97"/>
      <c r="P8" s="98" t="str">
        <f>"("&amp;SUM(skilltree_1_1_1_subSkills_points)&amp;" / "&amp;skilltree_1_1_1_points&amp;")"</f>
        <v>(0 / 0)</v>
      </c>
    </row>
    <row r="9" ht="15.0" customHeight="1">
      <c r="A9" s="99"/>
      <c r="B9" s="99"/>
      <c r="C9" s="99"/>
      <c r="D9" s="99"/>
      <c r="E9" s="99"/>
      <c r="F9" s="99"/>
      <c r="G9" s="99"/>
      <c r="H9" s="99"/>
      <c r="I9" s="94"/>
      <c r="J9" s="94"/>
      <c r="K9" s="94"/>
      <c r="L9" s="100"/>
      <c r="M9" s="101"/>
      <c r="N9" s="102">
        <v>0.0</v>
      </c>
      <c r="O9" s="103">
        <v>0.0</v>
      </c>
      <c r="P9" s="104">
        <f>3*(skilltree_1_1_1_points+skilltree_1_1_1_bonusPoints)+skilltree_1_1_percentage</f>
        <v>0</v>
      </c>
    </row>
    <row r="10" ht="7.5" customHeight="1">
      <c r="A10" s="94"/>
      <c r="B10" s="94"/>
      <c r="C10" s="94"/>
      <c r="D10" s="94"/>
      <c r="E10" s="94"/>
      <c r="F10" s="94"/>
      <c r="G10" s="94"/>
      <c r="H10" s="94"/>
      <c r="I10" s="105"/>
      <c r="J10" s="105"/>
      <c r="K10" s="105"/>
      <c r="L10" s="106"/>
      <c r="M10" s="105"/>
      <c r="N10" s="23"/>
      <c r="O10" s="23"/>
      <c r="P10" s="23"/>
    </row>
    <row r="11" ht="15.0" customHeight="1">
      <c r="A11" s="94"/>
      <c r="B11" s="94"/>
      <c r="C11" s="94"/>
      <c r="D11" s="94"/>
      <c r="E11" s="94"/>
      <c r="F11" s="94"/>
      <c r="G11" s="94"/>
      <c r="H11" s="95"/>
      <c r="I11" s="107" t="str">
        <f>PROPER(skillName_1_1)</f>
        <v>Athletics</v>
      </c>
      <c r="J11" s="97"/>
      <c r="K11" s="108" t="str">
        <f>"("&amp;SUM(skilltree_1_1_subSkills_points)&amp;" / "&amp;skilltree_1_1_points&amp;")"</f>
        <v>(0 / 0)</v>
      </c>
      <c r="L11" s="109"/>
      <c r="M11" s="110"/>
      <c r="N11" s="96" t="str">
        <f>PROPER(skillName_1_1_2)</f>
        <v>Stamina</v>
      </c>
      <c r="O11" s="97"/>
      <c r="P11" s="98" t="str">
        <f>"("&amp;SUM(skilltree_1_1_2_subSkills_points)&amp;" / "&amp;skilltree_1_1_2_points&amp;")"</f>
        <v>(0 / 0)</v>
      </c>
    </row>
    <row r="12" ht="15.0" customHeight="1">
      <c r="A12" s="94"/>
      <c r="B12" s="94"/>
      <c r="C12" s="94"/>
      <c r="D12" s="94"/>
      <c r="E12" s="94"/>
      <c r="F12" s="94"/>
      <c r="G12" s="100"/>
      <c r="H12" s="101"/>
      <c r="I12" s="102">
        <v>0.0</v>
      </c>
      <c r="J12" s="103">
        <v>0.0</v>
      </c>
      <c r="K12" s="111">
        <f>2*(skilltree_1_1_points+skilltree_1_1_bonusPoints)+skilltree_1_percentage</f>
        <v>0</v>
      </c>
      <c r="L12" s="112"/>
      <c r="M12" s="113"/>
      <c r="N12" s="102">
        <v>0.0</v>
      </c>
      <c r="O12" s="103">
        <v>0.0</v>
      </c>
      <c r="P12" s="111">
        <f>3*(skilltree_1_1_2_points+skilltree_1_1_2_bonusPoints)+skilltree_1_1_percentage</f>
        <v>0</v>
      </c>
    </row>
    <row r="13" ht="7.5" customHeight="1">
      <c r="A13" s="94"/>
      <c r="B13" s="94"/>
      <c r="C13" s="94"/>
      <c r="D13" s="94"/>
      <c r="E13" s="94"/>
      <c r="F13" s="94"/>
      <c r="G13" s="100"/>
      <c r="H13" s="94"/>
      <c r="I13" s="94"/>
      <c r="J13" s="94"/>
      <c r="K13" s="94"/>
      <c r="L13" s="100"/>
      <c r="M13" s="94"/>
      <c r="N13" s="23"/>
      <c r="O13" s="23"/>
      <c r="P13" s="23"/>
    </row>
    <row r="14" ht="15.0" customHeight="1">
      <c r="A14" s="94"/>
      <c r="B14" s="94"/>
      <c r="C14" s="94"/>
      <c r="D14" s="94"/>
      <c r="E14" s="94"/>
      <c r="F14" s="94"/>
      <c r="G14" s="100"/>
      <c r="H14" s="94"/>
      <c r="I14" s="94"/>
      <c r="J14" s="94"/>
      <c r="K14" s="94"/>
      <c r="L14" s="100"/>
      <c r="M14" s="95"/>
      <c r="N14" s="96" t="str">
        <f>PROPER(skillName_1_1_3)</f>
        <v>Resilience</v>
      </c>
      <c r="O14" s="97"/>
      <c r="P14" s="98" t="str">
        <f>"("&amp;SUM(skilltree_1_1_3_subSkills_points)&amp;" / "&amp;skilltree_1_1_3_points&amp;")"</f>
        <v>(0 / 0)</v>
      </c>
    </row>
    <row r="15" ht="15.0" customHeight="1">
      <c r="A15" s="94"/>
      <c r="B15" s="94"/>
      <c r="C15" s="94"/>
      <c r="D15" s="94"/>
      <c r="E15" s="94"/>
      <c r="F15" s="94"/>
      <c r="G15" s="100"/>
      <c r="H15" s="94"/>
      <c r="I15" s="94"/>
      <c r="J15" s="94"/>
      <c r="K15" s="94"/>
      <c r="L15" s="94"/>
      <c r="M15" s="101"/>
      <c r="N15" s="102">
        <v>0.0</v>
      </c>
      <c r="O15" s="103">
        <v>0.0</v>
      </c>
      <c r="P15" s="111">
        <f>3*(skilltree_1_1_3_points+skilltree_1_1_3_bonusPoints)+skilltree_1_1_percentage</f>
        <v>0</v>
      </c>
    </row>
    <row r="16" ht="7.5" customHeight="1">
      <c r="A16" s="94"/>
      <c r="B16" s="94"/>
      <c r="C16" s="94"/>
      <c r="D16" s="94"/>
      <c r="E16" s="94"/>
      <c r="F16" s="94"/>
      <c r="G16" s="100"/>
      <c r="H16" s="94"/>
      <c r="I16" s="94"/>
      <c r="J16" s="94"/>
      <c r="K16" s="94"/>
      <c r="L16" s="94"/>
      <c r="M16" s="94"/>
      <c r="N16" s="23"/>
      <c r="O16" s="23"/>
      <c r="P16" s="23"/>
    </row>
    <row r="17" ht="15.0" customHeight="1">
      <c r="A17" s="94"/>
      <c r="B17" s="94"/>
      <c r="C17" s="94"/>
      <c r="D17" s="94"/>
      <c r="E17" s="94"/>
      <c r="F17" s="94"/>
      <c r="G17" s="100"/>
      <c r="H17" s="94"/>
      <c r="I17" s="94"/>
      <c r="J17" s="94"/>
      <c r="K17" s="94"/>
      <c r="L17" s="94"/>
      <c r="M17" s="95"/>
      <c r="N17" s="114" t="str">
        <f>PROPER(skillName_1_2_1)</f>
        <v>Acrobatics</v>
      </c>
      <c r="O17" s="97"/>
      <c r="P17" s="115" t="str">
        <f>"("&amp;SUM(skilltree_1_2_1_subSkills_points)&amp;" / "&amp;skilltree_1_2_1_points&amp;")"</f>
        <v>(0 / 0)</v>
      </c>
    </row>
    <row r="18" ht="15.0" customHeight="1">
      <c r="A18" s="94"/>
      <c r="B18" s="94"/>
      <c r="C18" s="94"/>
      <c r="D18" s="94"/>
      <c r="E18" s="94"/>
      <c r="F18" s="94"/>
      <c r="G18" s="100"/>
      <c r="H18" s="94"/>
      <c r="I18" s="94"/>
      <c r="J18" s="94"/>
      <c r="K18" s="94"/>
      <c r="L18" s="100"/>
      <c r="M18" s="101"/>
      <c r="N18" s="102">
        <v>0.0</v>
      </c>
      <c r="O18" s="103">
        <v>0.0</v>
      </c>
      <c r="P18" s="104">
        <f>3*(skilltree_1_2_1_points+skilltree_1_2_1_bonusPoints)+skilltree_1_2_percentage</f>
        <v>0</v>
      </c>
    </row>
    <row r="19" ht="7.5" customHeight="1">
      <c r="A19" s="94"/>
      <c r="B19" s="94"/>
      <c r="C19" s="94"/>
      <c r="D19" s="105"/>
      <c r="E19" s="105"/>
      <c r="F19" s="105"/>
      <c r="G19" s="106"/>
      <c r="H19" s="105"/>
      <c r="I19" s="105"/>
      <c r="J19" s="105"/>
      <c r="K19" s="105"/>
      <c r="L19" s="106"/>
      <c r="M19" s="105"/>
      <c r="N19" s="23"/>
      <c r="O19" s="23"/>
      <c r="P19" s="23"/>
    </row>
    <row r="20" ht="15.0" customHeight="1">
      <c r="A20" s="94"/>
      <c r="B20" s="94"/>
      <c r="C20" s="95"/>
      <c r="D20" s="116" t="str">
        <f>PROPER(skillName_1)</f>
        <v>Physical</v>
      </c>
      <c r="E20" s="117"/>
      <c r="F20" s="118" t="str">
        <f>"("&amp;SUM(skilltree_1_subSkills_points)&amp;" / "&amp;skilltree_1_points&amp;")"</f>
        <v>(0 / 0)</v>
      </c>
      <c r="G20" s="109"/>
      <c r="H20" s="110"/>
      <c r="I20" s="119" t="str">
        <f>PROPER(skillName_1_2)</f>
        <v>Agility</v>
      </c>
      <c r="J20" s="97"/>
      <c r="K20" s="120" t="str">
        <f>"("&amp;SUM(skilltree_1_2_subSkills_points)&amp;" / "&amp;skilltree_1_2_points&amp;")"</f>
        <v>(0 / 0)</v>
      </c>
      <c r="L20" s="109"/>
      <c r="M20" s="110"/>
      <c r="N20" s="114" t="str">
        <f>PROPER(skillName_1_2_2)</f>
        <v>Haste</v>
      </c>
      <c r="O20" s="97"/>
      <c r="P20" s="115" t="str">
        <f>"("&amp;SUM(skilltree_1_2_2_subSkills_points)&amp;" / "&amp;skilltree_1_2_2_points&amp;")"</f>
        <v>(0 / 0)</v>
      </c>
    </row>
    <row r="21" ht="15.0" customHeight="1">
      <c r="A21" s="94"/>
      <c r="B21" s="100"/>
      <c r="C21" s="101"/>
      <c r="D21" s="102">
        <v>0.0</v>
      </c>
      <c r="E21" s="103">
        <v>0.0</v>
      </c>
      <c r="F21" s="111">
        <f>(skilltree_1_points+skilltree_1_bonusPoints)</f>
        <v>0</v>
      </c>
      <c r="G21" s="112"/>
      <c r="H21" s="113"/>
      <c r="I21" s="102">
        <v>0.0</v>
      </c>
      <c r="J21" s="103">
        <v>0.0</v>
      </c>
      <c r="K21" s="111">
        <f>2*(skilltree_1_2_points+skilltree_1_2_bonusPoints)+skilltree_1_percentage</f>
        <v>0</v>
      </c>
      <c r="L21" s="112"/>
      <c r="M21" s="113"/>
      <c r="N21" s="102">
        <v>0.0</v>
      </c>
      <c r="O21" s="103">
        <v>0.0</v>
      </c>
      <c r="P21" s="111">
        <f>3*(skilltree_1_2_2_points+skilltree_1_2_2_bonusPoints)+skilltree_1_2_percentage</f>
        <v>0</v>
      </c>
    </row>
    <row r="22" ht="7.5" customHeight="1">
      <c r="A22" s="94"/>
      <c r="B22" s="100"/>
      <c r="C22" s="94"/>
      <c r="D22" s="94"/>
      <c r="E22" s="94"/>
      <c r="F22" s="94"/>
      <c r="G22" s="100"/>
      <c r="H22" s="94"/>
      <c r="I22" s="94"/>
      <c r="J22" s="94"/>
      <c r="K22" s="94"/>
      <c r="L22" s="100"/>
      <c r="M22" s="94"/>
      <c r="N22" s="23"/>
      <c r="O22" s="23"/>
      <c r="P22" s="23"/>
    </row>
    <row r="23" ht="15.0" customHeight="1">
      <c r="A23" s="94"/>
      <c r="B23" s="100"/>
      <c r="C23" s="94"/>
      <c r="D23" s="94"/>
      <c r="E23" s="94"/>
      <c r="F23" s="94"/>
      <c r="G23" s="100"/>
      <c r="H23" s="94"/>
      <c r="I23" s="94"/>
      <c r="J23" s="94"/>
      <c r="K23" s="94"/>
      <c r="L23" s="100"/>
      <c r="M23" s="95"/>
      <c r="N23" s="114" t="str">
        <f>PROPER(skillName_1_2_3)</f>
        <v>Reflexes</v>
      </c>
      <c r="O23" s="97"/>
      <c r="P23" s="115" t="str">
        <f>"("&amp;SUM(skilltree_1_2_3_subSkills_points)&amp;" / "&amp;skilltree_1_2_3_points&amp;")"</f>
        <v>(0 / 0)</v>
      </c>
    </row>
    <row r="24" ht="15.0" customHeight="1">
      <c r="A24" s="19"/>
      <c r="B24" s="121"/>
      <c r="C24" s="19"/>
      <c r="D24" s="94"/>
      <c r="E24" s="94"/>
      <c r="F24" s="94"/>
      <c r="G24" s="100"/>
      <c r="H24" s="94"/>
      <c r="I24" s="94"/>
      <c r="J24" s="94"/>
      <c r="K24" s="94"/>
      <c r="L24" s="94"/>
      <c r="M24" s="101"/>
      <c r="N24" s="102">
        <v>0.0</v>
      </c>
      <c r="O24" s="103">
        <v>0.0</v>
      </c>
      <c r="P24" s="111">
        <f>3*(skilltree_1_2_3_points+skilltree_1_2_3_bonusPoints)+skilltree_1_2_percentage</f>
        <v>0</v>
      </c>
    </row>
    <row r="25" ht="7.5" customHeight="1">
      <c r="A25" s="94"/>
      <c r="B25" s="100"/>
      <c r="C25" s="94"/>
      <c r="D25" s="94"/>
      <c r="E25" s="94"/>
      <c r="F25" s="94"/>
      <c r="G25" s="100"/>
      <c r="H25" s="94"/>
      <c r="I25" s="94"/>
      <c r="J25" s="94"/>
      <c r="K25" s="94"/>
      <c r="L25" s="94"/>
      <c r="M25" s="94"/>
      <c r="N25" s="105"/>
      <c r="O25" s="105"/>
      <c r="P25" s="105"/>
    </row>
    <row r="26" ht="15.0" customHeight="1">
      <c r="A26" s="94"/>
      <c r="B26" s="100"/>
      <c r="C26" s="94"/>
      <c r="D26" s="94"/>
      <c r="E26" s="94"/>
      <c r="F26" s="94"/>
      <c r="G26" s="100"/>
      <c r="H26" s="94"/>
      <c r="I26" s="94"/>
      <c r="J26" s="94"/>
      <c r="K26" s="94"/>
      <c r="L26" s="94"/>
      <c r="M26" s="95"/>
      <c r="N26" s="122" t="str">
        <f>PROPER(skillName_1_3_1)</f>
        <v>Finesse</v>
      </c>
      <c r="O26" s="97"/>
      <c r="P26" s="123" t="str">
        <f>"("&amp;SUM(skilltree_1_3_1_subSkills_points)&amp;" / "&amp;skilltree_1_3_1_points&amp;")"</f>
        <v>(0 / 0)</v>
      </c>
    </row>
    <row r="27" ht="15.0" customHeight="1">
      <c r="A27" s="94"/>
      <c r="B27" s="100"/>
      <c r="C27" s="94"/>
      <c r="D27" s="94"/>
      <c r="E27" s="94"/>
      <c r="F27" s="94"/>
      <c r="G27" s="100"/>
      <c r="H27" s="94"/>
      <c r="I27" s="94"/>
      <c r="J27" s="94"/>
      <c r="K27" s="94"/>
      <c r="L27" s="100"/>
      <c r="M27" s="101"/>
      <c r="N27" s="102">
        <v>0.0</v>
      </c>
      <c r="O27" s="103">
        <v>0.0</v>
      </c>
      <c r="P27" s="104">
        <f>3*(skilltree_1_3_1_points+skilltree_1_3_1_bonusPoints)+skilltree_1_3_percentage</f>
        <v>0</v>
      </c>
    </row>
    <row r="28" ht="7.5" customHeight="1">
      <c r="A28" s="94"/>
      <c r="B28" s="100"/>
      <c r="C28" s="94"/>
      <c r="D28" s="94"/>
      <c r="E28" s="94"/>
      <c r="F28" s="94"/>
      <c r="G28" s="100"/>
      <c r="H28" s="94"/>
      <c r="I28" s="105"/>
      <c r="J28" s="105"/>
      <c r="K28" s="105"/>
      <c r="L28" s="106"/>
      <c r="M28" s="105"/>
      <c r="N28" s="105"/>
      <c r="O28" s="105"/>
      <c r="P28" s="105"/>
    </row>
    <row r="29" ht="15.0" customHeight="1">
      <c r="A29" s="94"/>
      <c r="B29" s="100"/>
      <c r="C29" s="94"/>
      <c r="D29" s="94"/>
      <c r="E29" s="94"/>
      <c r="F29" s="94"/>
      <c r="G29" s="100"/>
      <c r="H29" s="95"/>
      <c r="I29" s="124" t="str">
        <f>PROPER(skillName_1_3)</f>
        <v>Precision</v>
      </c>
      <c r="J29" s="97"/>
      <c r="K29" s="125" t="str">
        <f>"("&amp;SUM(skilltree_1_3_subSkills_points)&amp;" / "&amp;skilltree_1_3_points&amp;")"</f>
        <v>(0 / 0)</v>
      </c>
      <c r="L29" s="109"/>
      <c r="M29" s="110"/>
      <c r="N29" s="122" t="str">
        <f>PROPER(skillName_1_3_2)</f>
        <v>Dexterity</v>
      </c>
      <c r="O29" s="97"/>
      <c r="P29" s="123" t="str">
        <f>"("&amp;SUM(skilltree_1_3_2_subSkills_points)&amp;" / "&amp;skilltree_1_3_2_points&amp;")"</f>
        <v>(0 / 0)</v>
      </c>
    </row>
    <row r="30" ht="15.0" customHeight="1">
      <c r="A30" s="94"/>
      <c r="B30" s="100"/>
      <c r="C30" s="94"/>
      <c r="D30" s="94"/>
      <c r="E30" s="94"/>
      <c r="F30" s="94"/>
      <c r="G30" s="94"/>
      <c r="H30" s="101"/>
      <c r="I30" s="102">
        <v>0.0</v>
      </c>
      <c r="J30" s="103">
        <v>0.0</v>
      </c>
      <c r="K30" s="111">
        <f>2*(skilltree_1_3_points+skilltree_1_3_bonusPoints)+skilltree_1_percentage</f>
        <v>0</v>
      </c>
      <c r="L30" s="112"/>
      <c r="M30" s="113"/>
      <c r="N30" s="102">
        <v>0.0</v>
      </c>
      <c r="O30" s="103">
        <v>0.0</v>
      </c>
      <c r="P30" s="111">
        <f>3*(skilltree_1_3_2_points+skilltree_1_3_2_bonusPoints)+skilltree_1_3_percentage</f>
        <v>0</v>
      </c>
    </row>
    <row r="31" ht="7.5" customHeight="1">
      <c r="A31" s="94"/>
      <c r="B31" s="100"/>
      <c r="C31" s="94"/>
      <c r="D31" s="94"/>
      <c r="E31" s="94"/>
      <c r="F31" s="94"/>
      <c r="G31" s="94"/>
      <c r="H31" s="94"/>
      <c r="I31" s="94"/>
      <c r="J31" s="94"/>
      <c r="K31" s="94"/>
      <c r="L31" s="100"/>
      <c r="M31" s="94"/>
      <c r="N31" s="105"/>
      <c r="O31" s="105"/>
      <c r="P31" s="105"/>
    </row>
    <row r="32" ht="15.0" customHeight="1">
      <c r="A32" s="94"/>
      <c r="B32" s="100"/>
      <c r="C32" s="94"/>
      <c r="D32" s="94"/>
      <c r="E32" s="94"/>
      <c r="F32" s="94"/>
      <c r="G32" s="94"/>
      <c r="H32" s="94"/>
      <c r="I32" s="94"/>
      <c r="J32" s="94"/>
      <c r="K32" s="94"/>
      <c r="L32" s="100"/>
      <c r="M32" s="95"/>
      <c r="N32" s="122" t="str">
        <f>PROPER(skillName_1_3_3)</f>
        <v>Stealth</v>
      </c>
      <c r="O32" s="97"/>
      <c r="P32" s="123" t="str">
        <f>"("&amp;SUM(skilltree_1_3_3_subSkills_points)&amp;" / "&amp;skilltree_1_3_3_points&amp;")"</f>
        <v>(0 / 0)</v>
      </c>
    </row>
    <row r="33" ht="15.0" customHeight="1">
      <c r="A33" s="94"/>
      <c r="B33" s="100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101"/>
      <c r="N33" s="102">
        <v>0.0</v>
      </c>
      <c r="O33" s="103">
        <v>0.0</v>
      </c>
      <c r="P33" s="111">
        <f>3*(skilltree_1_3_3_points+skilltree_1_3_3_bonusPoints)+skilltree_1_3_percentage</f>
        <v>0</v>
      </c>
    </row>
    <row r="34" ht="7.5" customHeight="1">
      <c r="A34" s="94"/>
      <c r="B34" s="100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105"/>
      <c r="O34" s="105"/>
      <c r="P34" s="105"/>
    </row>
    <row r="35" ht="15.0" customHeight="1">
      <c r="A35" s="94"/>
      <c r="B35" s="100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5"/>
      <c r="N35" s="126" t="str">
        <f>PROPER(skillName_2_1_1)</f>
        <v>Academics</v>
      </c>
      <c r="O35" s="97"/>
      <c r="P35" s="127" t="str">
        <f>"("&amp;SUM(skilltree_2_1_1_subSkills_points)&amp;" / "&amp;skilltree_2_1_1_points&amp;")"</f>
        <v>(0 / 0)</v>
      </c>
    </row>
    <row r="36" ht="15.0" customHeight="1">
      <c r="A36" s="94"/>
      <c r="B36" s="100"/>
      <c r="C36" s="94"/>
      <c r="D36" s="94"/>
      <c r="E36" s="94"/>
      <c r="F36" s="94"/>
      <c r="G36" s="94"/>
      <c r="H36" s="94"/>
      <c r="I36" s="94"/>
      <c r="J36" s="94"/>
      <c r="K36" s="94"/>
      <c r="L36" s="100"/>
      <c r="M36" s="101"/>
      <c r="N36" s="102">
        <v>0.0</v>
      </c>
      <c r="O36" s="103">
        <v>0.0</v>
      </c>
      <c r="P36" s="104">
        <f>3*(skilltree_2_1_1_points+skilltree_2_1_1_bonusPoints)+skilltree_2_1_percentage</f>
        <v>0</v>
      </c>
    </row>
    <row r="37" ht="7.5" customHeight="1">
      <c r="A37" s="94"/>
      <c r="B37" s="100"/>
      <c r="C37" s="94"/>
      <c r="D37" s="94"/>
      <c r="E37" s="94"/>
      <c r="F37" s="94"/>
      <c r="G37" s="94"/>
      <c r="H37" s="94"/>
      <c r="I37" s="105"/>
      <c r="J37" s="105"/>
      <c r="K37" s="105"/>
      <c r="L37" s="106"/>
      <c r="M37" s="105"/>
      <c r="N37" s="105"/>
      <c r="O37" s="105"/>
      <c r="P37" s="105"/>
    </row>
    <row r="38" ht="15.0" customHeight="1">
      <c r="A38" s="94"/>
      <c r="B38" s="100"/>
      <c r="C38" s="94"/>
      <c r="D38" s="94"/>
      <c r="E38" s="94"/>
      <c r="F38" s="94"/>
      <c r="G38" s="94"/>
      <c r="H38" s="95"/>
      <c r="I38" s="128" t="str">
        <f>PROPER(skillName_2_1)</f>
        <v>Knowledge</v>
      </c>
      <c r="J38" s="97"/>
      <c r="K38" s="129" t="str">
        <f>"("&amp;SUM(skilltree_2_1_subSkills_points)&amp;" / "&amp;skilltree_2_1_points&amp;")"</f>
        <v>(0 / 0)</v>
      </c>
      <c r="L38" s="109"/>
      <c r="M38" s="110"/>
      <c r="N38" s="126" t="str">
        <f>PROPER(skillName_2_1_2)</f>
        <v>Deduction</v>
      </c>
      <c r="O38" s="97"/>
      <c r="P38" s="127" t="str">
        <f>"("&amp;SUM(skilltree_2_1_2_subSkills_points)&amp;" / "&amp;skilltree_2_1_2_points&amp;")"</f>
        <v>(0 / 0)</v>
      </c>
    </row>
    <row r="39" ht="15.0" customHeight="1">
      <c r="A39" s="94"/>
      <c r="B39" s="100"/>
      <c r="C39" s="94"/>
      <c r="D39" s="94"/>
      <c r="E39" s="94"/>
      <c r="F39" s="94"/>
      <c r="G39" s="100"/>
      <c r="H39" s="101"/>
      <c r="I39" s="102">
        <v>0.0</v>
      </c>
      <c r="J39" s="103">
        <v>0.0</v>
      </c>
      <c r="K39" s="111">
        <f>2*(skilltree_2_1_points+skilltree_2_1_bonusPoints)+skilltree_2_percentage</f>
        <v>0</v>
      </c>
      <c r="L39" s="112"/>
      <c r="M39" s="113"/>
      <c r="N39" s="102">
        <v>0.0</v>
      </c>
      <c r="O39" s="103">
        <v>0.0</v>
      </c>
      <c r="P39" s="111">
        <f>3*(skilltree_2_1_2_points+skilltree_2_1_2_bonusPoints)+skilltree_2_1_percentage</f>
        <v>0</v>
      </c>
    </row>
    <row r="40" ht="7.5" customHeight="1">
      <c r="A40" s="94"/>
      <c r="B40" s="100"/>
      <c r="C40" s="94"/>
      <c r="D40" s="94"/>
      <c r="E40" s="94"/>
      <c r="F40" s="94"/>
      <c r="G40" s="100"/>
      <c r="H40" s="94"/>
      <c r="I40" s="94"/>
      <c r="J40" s="94"/>
      <c r="K40" s="94"/>
      <c r="L40" s="100"/>
      <c r="M40" s="94"/>
      <c r="N40" s="105"/>
      <c r="O40" s="105"/>
      <c r="P40" s="105"/>
    </row>
    <row r="41" ht="15.0" customHeight="1">
      <c r="A41" s="94"/>
      <c r="B41" s="100"/>
      <c r="C41" s="94"/>
      <c r="D41" s="94"/>
      <c r="E41" s="94"/>
      <c r="F41" s="94"/>
      <c r="G41" s="100"/>
      <c r="H41" s="94"/>
      <c r="I41" s="94"/>
      <c r="J41" s="94"/>
      <c r="K41" s="94"/>
      <c r="L41" s="100"/>
      <c r="M41" s="95"/>
      <c r="N41" s="126" t="str">
        <f>PROPER(skillName_2_1_3)</f>
        <v>Communication</v>
      </c>
      <c r="O41" s="97"/>
      <c r="P41" s="127" t="str">
        <f>"("&amp;SUM(skilltree_2_1_3_subSkills_points)&amp;" / "&amp;skilltree_2_1_3_points&amp;")"</f>
        <v>(0 / 0)</v>
      </c>
    </row>
    <row r="42" ht="15.0" customHeight="1">
      <c r="A42" s="94"/>
      <c r="B42" s="100"/>
      <c r="C42" s="94"/>
      <c r="D42" s="94"/>
      <c r="E42" s="94"/>
      <c r="F42" s="94"/>
      <c r="G42" s="100"/>
      <c r="H42" s="94"/>
      <c r="I42" s="94"/>
      <c r="J42" s="94"/>
      <c r="K42" s="94"/>
      <c r="L42" s="94"/>
      <c r="M42" s="101"/>
      <c r="N42" s="102">
        <v>0.0</v>
      </c>
      <c r="O42" s="103">
        <v>0.0</v>
      </c>
      <c r="P42" s="111">
        <f>3*(skilltree_2_1_3_points+skilltree_2_1_3_bonusPoints)+skilltree_2_1_percentage</f>
        <v>0</v>
      </c>
    </row>
    <row r="43" ht="7.5" customHeight="1">
      <c r="A43" s="94"/>
      <c r="B43" s="100"/>
      <c r="C43" s="94"/>
      <c r="D43" s="94"/>
      <c r="E43" s="94"/>
      <c r="F43" s="94"/>
      <c r="G43" s="100"/>
      <c r="H43" s="94"/>
      <c r="I43" s="94"/>
      <c r="J43" s="94"/>
      <c r="K43" s="94"/>
      <c r="L43" s="94"/>
      <c r="M43" s="94"/>
      <c r="N43" s="105"/>
      <c r="O43" s="105"/>
      <c r="P43" s="105"/>
    </row>
    <row r="44" ht="15.0" customHeight="1">
      <c r="A44" s="94"/>
      <c r="B44" s="100"/>
      <c r="C44" s="94"/>
      <c r="D44" s="94"/>
      <c r="E44" s="94"/>
      <c r="F44" s="94"/>
      <c r="G44" s="100"/>
      <c r="H44" s="94"/>
      <c r="I44" s="94"/>
      <c r="J44" s="94"/>
      <c r="K44" s="94"/>
      <c r="L44" s="94"/>
      <c r="M44" s="95"/>
      <c r="N44" s="130" t="str">
        <f>PROPER(skillName_2_2_1)</f>
        <v>Perception</v>
      </c>
      <c r="O44" s="97"/>
      <c r="P44" s="131" t="str">
        <f>"("&amp;SUM(skilltree_2_2_1_subSkills_points)&amp;" / "&amp;skilltree_2_2_1_points&amp;")"</f>
        <v>(0 / 0)</v>
      </c>
    </row>
    <row r="45" ht="15.0" customHeight="1">
      <c r="A45" s="94"/>
      <c r="B45" s="100"/>
      <c r="C45" s="94"/>
      <c r="D45" s="94"/>
      <c r="E45" s="94"/>
      <c r="F45" s="94"/>
      <c r="G45" s="100"/>
      <c r="H45" s="94"/>
      <c r="I45" s="94"/>
      <c r="J45" s="94"/>
      <c r="K45" s="94"/>
      <c r="L45" s="100"/>
      <c r="M45" s="101"/>
      <c r="N45" s="102">
        <v>0.0</v>
      </c>
      <c r="O45" s="103">
        <v>0.0</v>
      </c>
      <c r="P45" s="104">
        <f>3*(skilltree_2_2_1_points+skilltree_2_2_1_bonusPoints)+skilltree_2_2_percentage</f>
        <v>0</v>
      </c>
    </row>
    <row r="46" ht="7.5" customHeight="1">
      <c r="A46" s="132"/>
      <c r="B46" s="133"/>
      <c r="C46" s="132"/>
      <c r="D46" s="105"/>
      <c r="E46" s="105"/>
      <c r="F46" s="105"/>
      <c r="G46" s="106"/>
      <c r="H46" s="105"/>
      <c r="I46" s="105"/>
      <c r="J46" s="105"/>
      <c r="K46" s="105"/>
      <c r="L46" s="106"/>
      <c r="M46" s="105"/>
      <c r="N46" s="105"/>
      <c r="O46" s="105"/>
      <c r="P46" s="105"/>
    </row>
    <row r="47" ht="15.0" customHeight="1">
      <c r="A47" s="134" t="str">
        <f>PROPER(skillName_0)</f>
        <v>Competence</v>
      </c>
      <c r="B47" s="135"/>
      <c r="C47" s="136"/>
      <c r="D47" s="137" t="str">
        <f>PROPER(skillName_2)</f>
        <v>Mental</v>
      </c>
      <c r="E47" s="97"/>
      <c r="F47" s="138" t="str">
        <f>"("&amp;SUM(skilltree_2_subSkills_points)&amp;" / "&amp;skilltree_2_points&amp;")"</f>
        <v>(0 / 0)</v>
      </c>
      <c r="G47" s="109"/>
      <c r="H47" s="110"/>
      <c r="I47" s="139" t="str">
        <f>PROPER(skillName_2_2)</f>
        <v>Wisdom</v>
      </c>
      <c r="J47" s="97"/>
      <c r="K47" s="140" t="str">
        <f>"("&amp;SUM(skilltree_2_2_subSkills_points)&amp;" / "&amp;skilltree_2_2_points&amp;")"</f>
        <v>(0 / 0)</v>
      </c>
      <c r="L47" s="109"/>
      <c r="M47" s="110"/>
      <c r="N47" s="130" t="str">
        <f>PROPER(skillName_2_2_2)</f>
        <v>Intuition</v>
      </c>
      <c r="O47" s="97"/>
      <c r="P47" s="131" t="str">
        <f>"("&amp;SUM(skilltree_2_2_2_subSkills_points)&amp;" / "&amp;skilltree_2_2_2_points&amp;")"</f>
        <v>(0 / 0)</v>
      </c>
    </row>
    <row r="48" ht="15.0" customHeight="1">
      <c r="A48" s="102">
        <f>charStats_level*statValue_perLevel_skillPoints</f>
        <v>0</v>
      </c>
      <c r="B48" s="141"/>
      <c r="C48" s="142"/>
      <c r="D48" s="102">
        <v>0.0</v>
      </c>
      <c r="E48" s="103">
        <v>0.0</v>
      </c>
      <c r="F48" s="111">
        <f>(skilltree_2_points+skilltree_2_bonusPoints)</f>
        <v>0</v>
      </c>
      <c r="G48" s="112"/>
      <c r="H48" s="113"/>
      <c r="I48" s="102">
        <v>0.0</v>
      </c>
      <c r="J48" s="103">
        <v>0.0</v>
      </c>
      <c r="K48" s="111">
        <f>2*(skilltree_2_2_points+skilltree_2_2_bonusPoints)+skilltree_2_percentage</f>
        <v>0</v>
      </c>
      <c r="L48" s="112"/>
      <c r="M48" s="113"/>
      <c r="N48" s="102">
        <v>0.0</v>
      </c>
      <c r="O48" s="103">
        <v>0.0</v>
      </c>
      <c r="P48" s="111">
        <f>3*(skilltree_2_2_2_points+skilltree_2_2_2_bonusPoints)+skilltree_2_2_percentage</f>
        <v>0</v>
      </c>
    </row>
    <row r="49" ht="7.5" customHeight="1">
      <c r="A49" s="94"/>
      <c r="B49" s="100"/>
      <c r="C49" s="94"/>
      <c r="D49" s="94"/>
      <c r="E49" s="94"/>
      <c r="F49" s="94"/>
      <c r="G49" s="100"/>
      <c r="H49" s="94"/>
      <c r="I49" s="94"/>
      <c r="J49" s="94"/>
      <c r="K49" s="94"/>
      <c r="L49" s="100"/>
      <c r="M49" s="94"/>
      <c r="N49" s="105"/>
      <c r="O49" s="105"/>
      <c r="P49" s="105"/>
    </row>
    <row r="50" ht="15.0" customHeight="1">
      <c r="A50" s="94"/>
      <c r="B50" s="100"/>
      <c r="C50" s="94"/>
      <c r="D50" s="94"/>
      <c r="E50" s="94"/>
      <c r="F50" s="94"/>
      <c r="G50" s="100"/>
      <c r="H50" s="94"/>
      <c r="I50" s="94"/>
      <c r="J50" s="94"/>
      <c r="K50" s="94"/>
      <c r="L50" s="100"/>
      <c r="M50" s="95"/>
      <c r="N50" s="130" t="str">
        <f>PROPER(skillName_2_2_3)</f>
        <v>Resourcefulness</v>
      </c>
      <c r="O50" s="97"/>
      <c r="P50" s="131" t="str">
        <f>"("&amp;SUM(skilltree_2_2_3_subSkills_points)&amp;" / "&amp;skilltree_2_2_3_points&amp;")"</f>
        <v>(0 / 0)</v>
      </c>
    </row>
    <row r="51" ht="15.0" customHeight="1">
      <c r="A51" s="94"/>
      <c r="B51" s="100"/>
      <c r="C51" s="94"/>
      <c r="D51" s="94"/>
      <c r="E51" s="94"/>
      <c r="F51" s="94"/>
      <c r="G51" s="100"/>
      <c r="H51" s="94"/>
      <c r="I51" s="94"/>
      <c r="J51" s="94"/>
      <c r="K51" s="94"/>
      <c r="L51" s="94"/>
      <c r="M51" s="101"/>
      <c r="N51" s="102">
        <v>0.0</v>
      </c>
      <c r="O51" s="103">
        <v>0.0</v>
      </c>
      <c r="P51" s="111">
        <f>3*(skilltree_2_2_3_points+skilltree_2_2_3_bonusPoints)+skilltree_2_2_percentage</f>
        <v>0</v>
      </c>
    </row>
    <row r="52" ht="7.5" customHeight="1">
      <c r="A52" s="94"/>
      <c r="B52" s="100"/>
      <c r="C52" s="94"/>
      <c r="D52" s="94"/>
      <c r="E52" s="94"/>
      <c r="F52" s="94"/>
      <c r="G52" s="100"/>
      <c r="H52" s="94"/>
      <c r="I52" s="94"/>
      <c r="J52" s="94"/>
      <c r="K52" s="94"/>
      <c r="L52" s="94"/>
      <c r="M52" s="94"/>
      <c r="N52" s="105"/>
      <c r="O52" s="105"/>
      <c r="P52" s="105"/>
    </row>
    <row r="53" ht="15.0" customHeight="1">
      <c r="A53" s="94"/>
      <c r="B53" s="100"/>
      <c r="C53" s="94"/>
      <c r="D53" s="94"/>
      <c r="E53" s="94"/>
      <c r="F53" s="94"/>
      <c r="G53" s="100"/>
      <c r="H53" s="94"/>
      <c r="I53" s="94"/>
      <c r="J53" s="94"/>
      <c r="K53" s="94"/>
      <c r="L53" s="94"/>
      <c r="M53" s="95"/>
      <c r="N53" s="143" t="str">
        <f>PROPER(skillName_2_3_1)</f>
        <v>Persuasion</v>
      </c>
      <c r="O53" s="97"/>
      <c r="P53" s="144" t="str">
        <f>"("&amp;SUM(skilltree_2_3_1_subSkills_points)&amp;" / "&amp;skilltree_2_3_1_points&amp;")"</f>
        <v>(0 / 0)</v>
      </c>
    </row>
    <row r="54" ht="15.0" customHeight="1">
      <c r="A54" s="94"/>
      <c r="B54" s="100"/>
      <c r="C54" s="94"/>
      <c r="D54" s="94"/>
      <c r="E54" s="94"/>
      <c r="F54" s="94"/>
      <c r="G54" s="100"/>
      <c r="H54" s="94"/>
      <c r="I54" s="94"/>
      <c r="J54" s="94"/>
      <c r="K54" s="94"/>
      <c r="L54" s="100"/>
      <c r="M54" s="101"/>
      <c r="N54" s="102">
        <v>0.0</v>
      </c>
      <c r="O54" s="103">
        <v>0.0</v>
      </c>
      <c r="P54" s="104">
        <f>3*(skilltree_2_3_1_points+skilltree_2_3_1_bonusPoints)+skilltree_2_3_percentage</f>
        <v>0</v>
      </c>
    </row>
    <row r="55" ht="7.5" customHeight="1">
      <c r="A55" s="94"/>
      <c r="B55" s="100"/>
      <c r="C55" s="94"/>
      <c r="D55" s="94"/>
      <c r="E55" s="94"/>
      <c r="F55" s="94"/>
      <c r="G55" s="100"/>
      <c r="H55" s="94"/>
      <c r="I55" s="105"/>
      <c r="J55" s="105"/>
      <c r="K55" s="105"/>
      <c r="L55" s="106"/>
      <c r="M55" s="105"/>
      <c r="N55" s="105"/>
      <c r="O55" s="105"/>
      <c r="P55" s="105"/>
    </row>
    <row r="56" ht="15.0" customHeight="1">
      <c r="A56" s="94"/>
      <c r="B56" s="100"/>
      <c r="C56" s="94"/>
      <c r="D56" s="94"/>
      <c r="E56" s="94"/>
      <c r="F56" s="94"/>
      <c r="G56" s="100"/>
      <c r="H56" s="95"/>
      <c r="I56" s="145" t="str">
        <f>PROPER(skillName_2_3)</f>
        <v>Presence</v>
      </c>
      <c r="J56" s="97"/>
      <c r="K56" s="146" t="str">
        <f>"("&amp;SUM(skilltree_2_3_subSkills_points)&amp;" / "&amp;skilltree_2_3_points&amp;")"</f>
        <v>(0 / 0)</v>
      </c>
      <c r="L56" s="109"/>
      <c r="M56" s="110"/>
      <c r="N56" s="143" t="str">
        <f>PROPER(skillName_2_3_2)</f>
        <v>Deception</v>
      </c>
      <c r="O56" s="97"/>
      <c r="P56" s="144" t="str">
        <f>"("&amp;SUM(skilltree_2_3_2_subSkills_points)&amp;" / "&amp;skilltree_2_3_2_points&amp;")"</f>
        <v>(0 / 0)</v>
      </c>
    </row>
    <row r="57" ht="15.0" customHeight="1">
      <c r="A57" s="94"/>
      <c r="B57" s="100"/>
      <c r="C57" s="94"/>
      <c r="D57" s="94"/>
      <c r="E57" s="94"/>
      <c r="F57" s="94"/>
      <c r="G57" s="94"/>
      <c r="H57" s="101"/>
      <c r="I57" s="102">
        <v>0.0</v>
      </c>
      <c r="J57" s="103">
        <v>0.0</v>
      </c>
      <c r="K57" s="111">
        <f>2*(skilltree_2_3_points+skilltree_2_3_bonusPoints)+skilltree_2_percentage</f>
        <v>0</v>
      </c>
      <c r="L57" s="112"/>
      <c r="M57" s="113"/>
      <c r="N57" s="102">
        <v>0.0</v>
      </c>
      <c r="O57" s="103">
        <v>0.0</v>
      </c>
      <c r="P57" s="111">
        <f>3*(skilltree_2_3_2_points+skilltree_2_3_2_bonusPoints)+skilltree_2_3_percentage</f>
        <v>0</v>
      </c>
    </row>
    <row r="58" ht="7.5" customHeight="1">
      <c r="A58" s="94"/>
      <c r="B58" s="100"/>
      <c r="C58" s="94"/>
      <c r="D58" s="94"/>
      <c r="E58" s="94"/>
      <c r="F58" s="94"/>
      <c r="G58" s="94"/>
      <c r="H58" s="94"/>
      <c r="I58" s="94"/>
      <c r="J58" s="94"/>
      <c r="K58" s="94"/>
      <c r="L58" s="100"/>
      <c r="M58" s="94"/>
      <c r="N58" s="105"/>
      <c r="O58" s="105"/>
      <c r="P58" s="105"/>
    </row>
    <row r="59" ht="15.0" customHeight="1">
      <c r="A59" s="94"/>
      <c r="B59" s="100"/>
      <c r="C59" s="94"/>
      <c r="D59" s="94"/>
      <c r="E59" s="94"/>
      <c r="F59" s="94"/>
      <c r="G59" s="94"/>
      <c r="H59" s="94"/>
      <c r="I59" s="94"/>
      <c r="J59" s="94"/>
      <c r="K59" s="94"/>
      <c r="L59" s="100"/>
      <c r="M59" s="95"/>
      <c r="N59" s="143" t="str">
        <f>PROPER(skillName_2_3_3)</f>
        <v>Intimidation</v>
      </c>
      <c r="O59" s="97"/>
      <c r="P59" s="144" t="str">
        <f>"("&amp;SUM(skilltree_2_3_3_subSkills_points)&amp;" / "&amp;skilltree_2_3_3_points&amp;")"</f>
        <v>(0 / 0)</v>
      </c>
    </row>
    <row r="60" ht="15.0" customHeight="1">
      <c r="A60" s="94"/>
      <c r="B60" s="100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101"/>
      <c r="N60" s="102">
        <v>0.0</v>
      </c>
      <c r="O60" s="103">
        <v>0.0</v>
      </c>
      <c r="P60" s="111">
        <f>3*(skilltree_2_3_3_points+skilltree_2_3_3_bonusPoints)+skilltree_2_3_percentage</f>
        <v>0</v>
      </c>
    </row>
    <row r="61" ht="7.5" customHeight="1">
      <c r="A61" s="94"/>
      <c r="B61" s="100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23"/>
      <c r="O61" s="23"/>
      <c r="P61" s="23"/>
    </row>
    <row r="62" ht="15.0" customHeight="1">
      <c r="A62" s="94"/>
      <c r="B62" s="100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5"/>
      <c r="N62" s="147" t="str">
        <f>PROPER(skillName_3_1_1)</f>
        <v>Enchanting</v>
      </c>
      <c r="O62" s="97"/>
      <c r="P62" s="148" t="str">
        <f>"("&amp;SUM(skilltree_3_1_1_subSkills_points)&amp;" / "&amp;skilltree_3_1_1_points&amp;")"</f>
        <v>(0 / 0)</v>
      </c>
    </row>
    <row r="63" ht="15.0" customHeight="1">
      <c r="A63" s="94"/>
      <c r="B63" s="100"/>
      <c r="C63" s="94"/>
      <c r="D63" s="94"/>
      <c r="E63" s="94"/>
      <c r="F63" s="94"/>
      <c r="G63" s="94"/>
      <c r="H63" s="94"/>
      <c r="I63" s="94"/>
      <c r="J63" s="94"/>
      <c r="K63" s="94"/>
      <c r="L63" s="100"/>
      <c r="M63" s="101"/>
      <c r="N63" s="25">
        <v>0.0</v>
      </c>
      <c r="O63" s="149">
        <v>0.0</v>
      </c>
      <c r="P63" s="150">
        <f>3*(skilltree_3_1_1_points+skilltree_3_1_1_bonusPoints)+skilltree_3_1_percentage</f>
        <v>0</v>
      </c>
    </row>
    <row r="64" ht="7.5" customHeight="1">
      <c r="A64" s="94"/>
      <c r="B64" s="100"/>
      <c r="C64" s="94"/>
      <c r="D64" s="94"/>
      <c r="E64" s="94"/>
      <c r="F64" s="94"/>
      <c r="G64" s="94"/>
      <c r="H64" s="94"/>
      <c r="I64" s="105"/>
      <c r="J64" s="105"/>
      <c r="K64" s="105"/>
      <c r="L64" s="106"/>
      <c r="M64" s="105"/>
      <c r="N64" s="23"/>
      <c r="O64" s="23"/>
      <c r="P64" s="23"/>
    </row>
    <row r="65" ht="15.0" customHeight="1">
      <c r="A65" s="94"/>
      <c r="B65" s="100"/>
      <c r="C65" s="94"/>
      <c r="D65" s="94"/>
      <c r="E65" s="94"/>
      <c r="F65" s="94"/>
      <c r="G65" s="94"/>
      <c r="H65" s="95"/>
      <c r="I65" s="151" t="str">
        <f>PROPER(skillName_3_1)</f>
        <v>Curses</v>
      </c>
      <c r="J65" s="97"/>
      <c r="K65" s="152" t="str">
        <f>"("&amp;SUM(skilltree_3_1_subSkills_points)&amp;" / "&amp;skilltree_3_1_points&amp;")"</f>
        <v>(0 / 0)</v>
      </c>
      <c r="L65" s="109"/>
      <c r="M65" s="110"/>
      <c r="N65" s="147" t="str">
        <f>PROPER(skillName_3_1_2)</f>
        <v>Beholding</v>
      </c>
      <c r="O65" s="97"/>
      <c r="P65" s="148" t="str">
        <f>"("&amp;SUM(skilltree_3_1_2_subSkills_points)&amp;" / "&amp;skilltree_3_1_2_points&amp;")"</f>
        <v>(0 / 0)</v>
      </c>
    </row>
    <row r="66" ht="15.0" customHeight="1">
      <c r="A66" s="94"/>
      <c r="B66" s="100"/>
      <c r="C66" s="94"/>
      <c r="D66" s="94"/>
      <c r="E66" s="94"/>
      <c r="F66" s="94"/>
      <c r="G66" s="100"/>
      <c r="H66" s="101"/>
      <c r="I66" s="102">
        <v>0.0</v>
      </c>
      <c r="J66" s="103">
        <v>0.0</v>
      </c>
      <c r="K66" s="111">
        <f>2*(skilltree_3_1_points+skilltree_3_1_bonusPoints)+skilltree_3_percentage</f>
        <v>0</v>
      </c>
      <c r="L66" s="112"/>
      <c r="M66" s="113"/>
      <c r="N66" s="25">
        <v>0.0</v>
      </c>
      <c r="O66" s="149">
        <v>0.0</v>
      </c>
      <c r="P66" s="153">
        <f>3*(skilltree_3_1_2_points+skilltree_3_1_2_bonusPoints)+skilltree_3_1_percentage</f>
        <v>0</v>
      </c>
    </row>
    <row r="67" ht="7.5" customHeight="1">
      <c r="A67" s="94"/>
      <c r="B67" s="100"/>
      <c r="C67" s="94"/>
      <c r="D67" s="94"/>
      <c r="E67" s="94"/>
      <c r="F67" s="94"/>
      <c r="G67" s="100"/>
      <c r="H67" s="94"/>
      <c r="I67" s="94"/>
      <c r="J67" s="94"/>
      <c r="K67" s="94"/>
      <c r="L67" s="100"/>
      <c r="M67" s="94"/>
      <c r="N67" s="23"/>
      <c r="O67" s="23"/>
      <c r="P67" s="23"/>
    </row>
    <row r="68" ht="15.0" customHeight="1">
      <c r="A68" s="94"/>
      <c r="B68" s="100"/>
      <c r="C68" s="94"/>
      <c r="D68" s="94"/>
      <c r="E68" s="94"/>
      <c r="F68" s="94"/>
      <c r="G68" s="100"/>
      <c r="H68" s="94"/>
      <c r="I68" s="94"/>
      <c r="J68" s="94"/>
      <c r="K68" s="94"/>
      <c r="L68" s="100"/>
      <c r="M68" s="95"/>
      <c r="N68" s="147" t="str">
        <f>PROPER(skillName_3_1_3)</f>
        <v>Transmutation</v>
      </c>
      <c r="O68" s="97"/>
      <c r="P68" s="148" t="str">
        <f>"("&amp;SUM(skilltree_3_1_3_subSkills_points)&amp;" / "&amp;skilltree_3_1_3_points&amp;")"</f>
        <v>(0 / 0)</v>
      </c>
    </row>
    <row r="69" ht="15.0" customHeight="1">
      <c r="A69" s="94"/>
      <c r="B69" s="100"/>
      <c r="C69" s="94"/>
      <c r="D69" s="94"/>
      <c r="E69" s="94"/>
      <c r="F69" s="94"/>
      <c r="G69" s="100"/>
      <c r="H69" s="94"/>
      <c r="I69" s="94"/>
      <c r="J69" s="94"/>
      <c r="K69" s="94"/>
      <c r="L69" s="94"/>
      <c r="M69" s="101"/>
      <c r="N69" s="102">
        <v>0.0</v>
      </c>
      <c r="O69" s="103">
        <v>0.0</v>
      </c>
      <c r="P69" s="111">
        <f>3*(skilltree_3_1_3_points+skilltree_3_1_3_bonusPoints)+skilltree_3_1_percentage</f>
        <v>0</v>
      </c>
    </row>
    <row r="70" ht="7.5" customHeight="1">
      <c r="A70" s="94"/>
      <c r="B70" s="100"/>
      <c r="C70" s="94"/>
      <c r="D70" s="94"/>
      <c r="E70" s="94"/>
      <c r="F70" s="94"/>
      <c r="G70" s="100"/>
      <c r="H70" s="94"/>
      <c r="I70" s="94"/>
      <c r="J70" s="94"/>
      <c r="K70" s="94"/>
      <c r="L70" s="94"/>
      <c r="M70" s="94"/>
      <c r="N70" s="23"/>
      <c r="O70" s="23"/>
      <c r="P70" s="23"/>
    </row>
    <row r="71" ht="15.0" customHeight="1">
      <c r="A71" s="94"/>
      <c r="B71" s="100"/>
      <c r="C71" s="94"/>
      <c r="D71" s="94"/>
      <c r="E71" s="94"/>
      <c r="F71" s="94"/>
      <c r="G71" s="100"/>
      <c r="H71" s="94"/>
      <c r="I71" s="94"/>
      <c r="J71" s="94"/>
      <c r="K71" s="94"/>
      <c r="L71" s="94"/>
      <c r="M71" s="95"/>
      <c r="N71" s="154" t="str">
        <f>PROPER(skillName_3_2_1)</f>
        <v>Invocation</v>
      </c>
      <c r="O71" s="97"/>
      <c r="P71" s="155" t="str">
        <f>"("&amp;SUM(skilltree_3_2_1_subSkills_points)&amp;" / "&amp;skilltree_3_2_1_points&amp;")"</f>
        <v>(0 / 0)</v>
      </c>
    </row>
    <row r="72" ht="15.0" customHeight="1">
      <c r="A72" s="94"/>
      <c r="B72" s="100"/>
      <c r="C72" s="94"/>
      <c r="D72" s="94"/>
      <c r="E72" s="94"/>
      <c r="F72" s="94"/>
      <c r="G72" s="100"/>
      <c r="H72" s="94"/>
      <c r="I72" s="94"/>
      <c r="J72" s="94"/>
      <c r="K72" s="94"/>
      <c r="L72" s="100"/>
      <c r="M72" s="101"/>
      <c r="N72" s="102">
        <v>0.0</v>
      </c>
      <c r="O72" s="103">
        <v>0.0</v>
      </c>
      <c r="P72" s="104">
        <f>3*(skilltree_3_2_1_points+skilltree_3_2_1_bonusPoints)+skilltree_3_2_percentage</f>
        <v>0</v>
      </c>
    </row>
    <row r="73" ht="7.5" customHeight="1">
      <c r="A73" s="94"/>
      <c r="B73" s="100"/>
      <c r="C73" s="94"/>
      <c r="D73" s="105"/>
      <c r="E73" s="105"/>
      <c r="F73" s="105"/>
      <c r="G73" s="106"/>
      <c r="H73" s="105"/>
      <c r="I73" s="105"/>
      <c r="J73" s="105"/>
      <c r="K73" s="105"/>
      <c r="L73" s="106"/>
      <c r="M73" s="105"/>
      <c r="N73" s="23"/>
      <c r="O73" s="23"/>
      <c r="P73" s="23"/>
    </row>
    <row r="74" ht="15.0" customHeight="1">
      <c r="A74" s="94"/>
      <c r="B74" s="100"/>
      <c r="C74" s="95"/>
      <c r="D74" s="156" t="str">
        <f>PROPER(skillName_3)</f>
        <v>Spiritual</v>
      </c>
      <c r="E74" s="97"/>
      <c r="F74" s="157" t="str">
        <f>"("&amp;SUM(skilltree_3_subSkills_points)&amp;" / "&amp;skilltree_3_points&amp;")"</f>
        <v>(0 / 0)</v>
      </c>
      <c r="G74" s="109"/>
      <c r="H74" s="110"/>
      <c r="I74" s="158" t="str">
        <f>PROPER(skillName_3_2)</f>
        <v>Spells</v>
      </c>
      <c r="J74" s="97"/>
      <c r="K74" s="159" t="str">
        <f>"("&amp;SUM(skilltree_3_2_subSkills_points)&amp;" / "&amp;skilltree_3_2_points&amp;")"</f>
        <v>(0 / 0)</v>
      </c>
      <c r="L74" s="109"/>
      <c r="M74" s="110"/>
      <c r="N74" s="154" t="str">
        <f>PROPER(skillName_3_2_2)</f>
        <v>Illusions</v>
      </c>
      <c r="O74" s="97"/>
      <c r="P74" s="155" t="str">
        <f>"("&amp;SUM(skilltree_3_2_2_subSkills_points)&amp;" / "&amp;skilltree_3_2_2_points&amp;")"</f>
        <v>(0 / 0)</v>
      </c>
    </row>
    <row r="75" ht="15.0" customHeight="1">
      <c r="A75" s="94"/>
      <c r="B75" s="94"/>
      <c r="C75" s="101"/>
      <c r="D75" s="102">
        <v>0.0</v>
      </c>
      <c r="E75" s="103">
        <v>0.0</v>
      </c>
      <c r="F75" s="111">
        <f>(skilltree_3_points+skilltree_3_bonusPoints)</f>
        <v>0</v>
      </c>
      <c r="G75" s="112"/>
      <c r="H75" s="113"/>
      <c r="I75" s="102">
        <v>0.0</v>
      </c>
      <c r="J75" s="103">
        <v>0.0</v>
      </c>
      <c r="K75" s="111">
        <f>2*(skilltree_3_2_points+skilltree_3_2_bonusPoints)+skilltree_3_percentage</f>
        <v>0</v>
      </c>
      <c r="L75" s="112"/>
      <c r="M75" s="113"/>
      <c r="N75" s="102">
        <v>0.0</v>
      </c>
      <c r="O75" s="103">
        <v>0.0</v>
      </c>
      <c r="P75" s="111">
        <f>3*(skilltree_3_2_2_points+skilltree_3_2_2_bonusPoints)+skilltree_3_2_percentage</f>
        <v>0</v>
      </c>
    </row>
    <row r="76" ht="7.5" customHeight="1">
      <c r="A76" s="94"/>
      <c r="B76" s="94"/>
      <c r="C76" s="94"/>
      <c r="D76" s="94"/>
      <c r="E76" s="94"/>
      <c r="F76" s="94"/>
      <c r="G76" s="100"/>
      <c r="H76" s="94"/>
      <c r="I76" s="94"/>
      <c r="J76" s="94"/>
      <c r="K76" s="94"/>
      <c r="L76" s="100"/>
      <c r="M76" s="94"/>
      <c r="N76" s="23"/>
      <c r="O76" s="23"/>
      <c r="P76" s="23"/>
    </row>
    <row r="77" ht="15.0" customHeight="1">
      <c r="A77" s="94"/>
      <c r="B77" s="94"/>
      <c r="C77" s="94"/>
      <c r="D77" s="94"/>
      <c r="E77" s="94"/>
      <c r="F77" s="94"/>
      <c r="G77" s="100"/>
      <c r="H77" s="94"/>
      <c r="I77" s="94"/>
      <c r="J77" s="94"/>
      <c r="K77" s="94"/>
      <c r="L77" s="100"/>
      <c r="M77" s="95"/>
      <c r="N77" s="154" t="str">
        <f>PROPER(skillName_3_2_3)</f>
        <v>Fabrication</v>
      </c>
      <c r="O77" s="97"/>
      <c r="P77" s="155" t="str">
        <f>"("&amp;SUM(skilltree_3_2_3_subSkills_points)&amp;" / "&amp;skilltree_3_2_3_points&amp;")"</f>
        <v>(0 / 0)</v>
      </c>
    </row>
    <row r="78" ht="15.0" customHeight="1">
      <c r="A78" s="94"/>
      <c r="B78" s="94"/>
      <c r="C78" s="94"/>
      <c r="D78" s="94"/>
      <c r="E78" s="94"/>
      <c r="F78" s="94"/>
      <c r="G78" s="100"/>
      <c r="H78" s="94"/>
      <c r="I78" s="94"/>
      <c r="J78" s="94"/>
      <c r="K78" s="94"/>
      <c r="L78" s="94"/>
      <c r="M78" s="101"/>
      <c r="N78" s="102">
        <v>0.0</v>
      </c>
      <c r="O78" s="103">
        <v>0.0</v>
      </c>
      <c r="P78" s="111">
        <f>3*(skilltree_3_2_3_points+skilltree_3_2_3_bonusPoints)+skilltree_3_2_percentage</f>
        <v>0</v>
      </c>
    </row>
    <row r="79" ht="7.5" customHeight="1">
      <c r="A79" s="94"/>
      <c r="B79" s="94"/>
      <c r="C79" s="94"/>
      <c r="D79" s="94"/>
      <c r="E79" s="94"/>
      <c r="F79" s="94"/>
      <c r="G79" s="100"/>
      <c r="H79" s="94"/>
      <c r="I79" s="94"/>
      <c r="J79" s="94"/>
      <c r="K79" s="94"/>
      <c r="L79" s="94"/>
      <c r="M79" s="94"/>
      <c r="N79" s="23"/>
      <c r="O79" s="23"/>
      <c r="P79" s="23"/>
    </row>
    <row r="80" ht="15.0" customHeight="1">
      <c r="A80" s="94"/>
      <c r="B80" s="94"/>
      <c r="C80" s="94"/>
      <c r="D80" s="94"/>
      <c r="E80" s="94"/>
      <c r="F80" s="94"/>
      <c r="G80" s="100"/>
      <c r="H80" s="94"/>
      <c r="I80" s="94"/>
      <c r="J80" s="94"/>
      <c r="K80" s="94"/>
      <c r="L80" s="94"/>
      <c r="M80" s="95"/>
      <c r="N80" s="160" t="str">
        <f>PROPER(skillName_3_3_1)</f>
        <v>Jinxes</v>
      </c>
      <c r="O80" s="97"/>
      <c r="P80" s="161" t="str">
        <f>"("&amp;SUM(skilltree_3_3_1_subSkills_points)&amp;" / "&amp;skilltree_3_3_1_points&amp;")"</f>
        <v>(0 / 0)</v>
      </c>
    </row>
    <row r="81" ht="15.0" customHeight="1">
      <c r="A81" s="94"/>
      <c r="B81" s="94"/>
      <c r="C81" s="94"/>
      <c r="D81" s="94"/>
      <c r="E81" s="94"/>
      <c r="F81" s="94"/>
      <c r="G81" s="100"/>
      <c r="H81" s="94"/>
      <c r="I81" s="94"/>
      <c r="J81" s="94"/>
      <c r="K81" s="94"/>
      <c r="L81" s="100"/>
      <c r="M81" s="101"/>
      <c r="N81" s="102">
        <v>0.0</v>
      </c>
      <c r="O81" s="103">
        <v>0.0</v>
      </c>
      <c r="P81" s="104">
        <f>3*(skilltree_3_3_1_points+skilltree_3_3_1_bonusPoints)+skilltree_3_3_percentage</f>
        <v>0</v>
      </c>
    </row>
    <row r="82" ht="7.5" customHeight="1">
      <c r="A82" s="94"/>
      <c r="B82" s="94"/>
      <c r="C82" s="94"/>
      <c r="D82" s="94"/>
      <c r="E82" s="94"/>
      <c r="F82" s="94"/>
      <c r="G82" s="100"/>
      <c r="H82" s="94"/>
      <c r="I82" s="105"/>
      <c r="J82" s="105"/>
      <c r="K82" s="105"/>
      <c r="L82" s="106"/>
      <c r="M82" s="105"/>
      <c r="N82" s="23"/>
      <c r="O82" s="23"/>
      <c r="P82" s="23"/>
    </row>
    <row r="83" ht="15.0" customHeight="1">
      <c r="A83" s="94"/>
      <c r="B83" s="94"/>
      <c r="C83" s="94"/>
      <c r="D83" s="94"/>
      <c r="E83" s="94"/>
      <c r="F83" s="94"/>
      <c r="G83" s="100"/>
      <c r="H83" s="95"/>
      <c r="I83" s="162" t="str">
        <f>PROPER(skillName_3_3)</f>
        <v>Hexes</v>
      </c>
      <c r="J83" s="97"/>
      <c r="K83" s="163" t="str">
        <f>"("&amp;SUM(skilltree_3_3_subSkills_points)&amp;" / "&amp;skilltree_3_3_points&amp;")"</f>
        <v>(0 / 0)</v>
      </c>
      <c r="L83" s="109"/>
      <c r="M83" s="110"/>
      <c r="N83" s="160" t="str">
        <f>PROPER(skillName_3_3_2)</f>
        <v>Possession</v>
      </c>
      <c r="O83" s="97"/>
      <c r="P83" s="161" t="str">
        <f>"("&amp;SUM(skilltree_3_3_2_subSkills_points)&amp;" / "&amp;skilltree_3_3_2_points&amp;")"</f>
        <v>(0 / 0)</v>
      </c>
    </row>
    <row r="84" ht="15.0" customHeight="1">
      <c r="A84" s="94"/>
      <c r="B84" s="94"/>
      <c r="C84" s="94"/>
      <c r="D84" s="94"/>
      <c r="E84" s="19"/>
      <c r="F84" s="19" t="s">
        <v>37</v>
      </c>
      <c r="G84" s="19"/>
      <c r="H84" s="164"/>
      <c r="I84" s="102">
        <v>0.0</v>
      </c>
      <c r="J84" s="103">
        <v>0.0</v>
      </c>
      <c r="K84" s="111">
        <f>2*(skilltree_3_3_points+skilltree_3_3_bonusPoints)+skilltree_3_percentage</f>
        <v>0</v>
      </c>
      <c r="L84" s="112"/>
      <c r="M84" s="113"/>
      <c r="N84" s="102">
        <v>0.0</v>
      </c>
      <c r="O84" s="103">
        <v>0.0</v>
      </c>
      <c r="P84" s="111">
        <f>3*(skilltree_3_3_2_points+skilltree_3_3_2_bonusPoints)+skilltree_3_3_percentage</f>
        <v>0</v>
      </c>
    </row>
    <row r="85" ht="7.5" customHeight="1">
      <c r="A85" s="94"/>
      <c r="B85" s="94"/>
      <c r="C85" s="94"/>
      <c r="D85" s="94"/>
      <c r="E85" s="94"/>
      <c r="F85" s="94"/>
      <c r="G85" s="94"/>
      <c r="H85" s="94"/>
      <c r="I85" s="165"/>
      <c r="J85" s="166"/>
      <c r="K85" s="166"/>
      <c r="L85" s="167"/>
      <c r="M85" s="166"/>
      <c r="N85" s="23"/>
      <c r="O85" s="23"/>
      <c r="P85" s="23"/>
    </row>
    <row r="86" ht="15.0" customHeight="1">
      <c r="A86" s="94"/>
      <c r="B86" s="94"/>
      <c r="C86" s="94"/>
      <c r="D86" s="94"/>
      <c r="E86" s="94"/>
      <c r="F86" s="94"/>
      <c r="G86" s="94"/>
      <c r="H86" s="94"/>
      <c r="I86" s="165"/>
      <c r="J86" s="166"/>
      <c r="K86" s="166"/>
      <c r="L86" s="167"/>
      <c r="M86" s="168"/>
      <c r="N86" s="160" t="str">
        <f>PROPER(skillName_3_3_3)</f>
        <v>Restoration</v>
      </c>
      <c r="O86" s="97"/>
      <c r="P86" s="161" t="str">
        <f>"("&amp;SUM(skilltree_3_3_3_subSkills_points)&amp;" / "&amp;skilltree_3_3_3_points&amp;")"</f>
        <v>(0 / 0)</v>
      </c>
    </row>
    <row r="87" ht="15.0" customHeight="1">
      <c r="A87" s="169"/>
      <c r="B87" s="169"/>
      <c r="C87" s="169"/>
      <c r="D87" s="169"/>
      <c r="E87" s="169"/>
      <c r="F87" s="169"/>
      <c r="G87" s="169"/>
      <c r="H87" s="169"/>
      <c r="I87" s="165"/>
      <c r="J87" s="166"/>
      <c r="K87" s="166"/>
      <c r="L87" s="166"/>
      <c r="M87" s="170"/>
      <c r="N87" s="102">
        <v>0.0</v>
      </c>
      <c r="O87" s="103">
        <v>0.0</v>
      </c>
      <c r="P87" s="111">
        <f>3*(skilltree_3_3_3_points+skilltree_3_3_3_bonusPoints)+skilltree_3_3_percentage</f>
        <v>0</v>
      </c>
    </row>
    <row r="88" ht="30.0" customHeight="1">
      <c r="A88" s="171" t="str">
        <f>systemData_copyrightMessage</f>
        <v>Fractal RPG v0.5.0.0 (Squishy Meatloaf | Pantsless Robot) 2019 - 202X SparkliTwizzl
Licensed under CC BY-NC-SA 4.0</v>
      </c>
    </row>
  </sheetData>
  <mergeCells count="51">
    <mergeCell ref="A1:C2"/>
    <mergeCell ref="D1:O1"/>
    <mergeCell ref="E2:N2"/>
    <mergeCell ref="F3:N3"/>
    <mergeCell ref="D5:E5"/>
    <mergeCell ref="I5:J5"/>
    <mergeCell ref="N5:O5"/>
    <mergeCell ref="A6:B6"/>
    <mergeCell ref="D6:F6"/>
    <mergeCell ref="I6:K6"/>
    <mergeCell ref="N6:P6"/>
    <mergeCell ref="N8:O8"/>
    <mergeCell ref="I11:J11"/>
    <mergeCell ref="N11:O11"/>
    <mergeCell ref="N14:O14"/>
    <mergeCell ref="N17:O17"/>
    <mergeCell ref="D20:E20"/>
    <mergeCell ref="I20:J20"/>
    <mergeCell ref="N20:O20"/>
    <mergeCell ref="N23:O23"/>
    <mergeCell ref="N26:O26"/>
    <mergeCell ref="I29:J29"/>
    <mergeCell ref="N29:O29"/>
    <mergeCell ref="N32:O32"/>
    <mergeCell ref="N35:O35"/>
    <mergeCell ref="I38:J38"/>
    <mergeCell ref="N38:O38"/>
    <mergeCell ref="N41:O41"/>
    <mergeCell ref="N44:O44"/>
    <mergeCell ref="D47:E47"/>
    <mergeCell ref="I47:J47"/>
    <mergeCell ref="N47:O47"/>
    <mergeCell ref="N50:O50"/>
    <mergeCell ref="N53:O53"/>
    <mergeCell ref="I56:J56"/>
    <mergeCell ref="N56:O56"/>
    <mergeCell ref="N59:O59"/>
    <mergeCell ref="N62:O62"/>
    <mergeCell ref="I65:J65"/>
    <mergeCell ref="N65:O65"/>
    <mergeCell ref="N68:O68"/>
    <mergeCell ref="N71:O71"/>
    <mergeCell ref="N86:O86"/>
    <mergeCell ref="A88:P88"/>
    <mergeCell ref="D74:E74"/>
    <mergeCell ref="I74:J74"/>
    <mergeCell ref="N74:O74"/>
    <mergeCell ref="N77:O77"/>
    <mergeCell ref="N80:O80"/>
    <mergeCell ref="I83:J83"/>
    <mergeCell ref="N83:O8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3" width="6.38"/>
    <col customWidth="1" min="4" max="4" width="37.63"/>
    <col customWidth="1" min="5" max="6" width="3.88"/>
    <col customWidth="1" min="7" max="9" width="6.38"/>
    <col customWidth="1" min="10" max="10" width="37.63"/>
    <col customWidth="1" min="11" max="12" width="3.88"/>
    <col customWidth="1" min="13" max="15" width="6.38"/>
    <col customWidth="1" min="16" max="17" width="18.88"/>
  </cols>
  <sheetData>
    <row r="1" ht="22.5" customHeight="1">
      <c r="A1" s="19" t="str">
        <f>systemData_systemLogo</f>
        <v/>
      </c>
      <c r="C1" s="19"/>
      <c r="D1" s="2" t="str">
        <f>systemData_versionTitle</f>
        <v>Fractal RPG v0.5.0.0 (Pantsless Robot)</v>
      </c>
      <c r="Q1" s="19"/>
    </row>
    <row r="2" ht="45.0" customHeight="1">
      <c r="C2" s="89"/>
      <c r="D2" s="89"/>
      <c r="E2" s="89"/>
      <c r="F2" s="89"/>
      <c r="G2" s="3" t="s">
        <v>38</v>
      </c>
      <c r="K2" s="89"/>
      <c r="L2" s="89"/>
      <c r="M2" s="89"/>
      <c r="N2" s="89"/>
      <c r="O2" s="89"/>
      <c r="P2" s="89"/>
      <c r="Q2" s="89"/>
    </row>
    <row r="3" ht="15.0" customHeight="1">
      <c r="A3" s="19"/>
      <c r="B3" s="19"/>
      <c r="C3" s="19"/>
      <c r="D3" s="172"/>
      <c r="E3" s="19"/>
      <c r="F3" s="19"/>
      <c r="G3" s="10" t="s">
        <v>1</v>
      </c>
      <c r="H3" s="12"/>
      <c r="I3" s="10"/>
      <c r="J3" s="12"/>
      <c r="K3" s="19"/>
      <c r="L3" s="19"/>
      <c r="M3" s="19"/>
      <c r="N3" s="19"/>
      <c r="O3" s="19"/>
      <c r="P3" s="19"/>
      <c r="Q3" s="19"/>
    </row>
    <row r="4" ht="15.0" customHeight="1">
      <c r="A4" s="19"/>
      <c r="B4" s="19"/>
      <c r="C4" s="19"/>
      <c r="D4" s="173"/>
      <c r="E4" s="90"/>
      <c r="F4" s="90"/>
      <c r="G4" s="174" t="s">
        <v>39</v>
      </c>
      <c r="H4" s="12"/>
      <c r="I4" s="10" t="str">
        <f>"("&amp;SUM(skilltree_tier4_1_pointsAssigned,skilltree_tier4_2_pointsAssigned,skilltree_tier4_3_pointsAssigned)&amp;" / "&amp;skilltree_0_points&amp;")"</f>
        <v>(0 / 0)</v>
      </c>
      <c r="J4" s="12"/>
      <c r="K4" s="19"/>
      <c r="L4" s="19"/>
      <c r="M4" s="19"/>
      <c r="N4" s="19"/>
      <c r="O4" s="19"/>
      <c r="P4" s="19"/>
      <c r="Q4" s="19"/>
    </row>
    <row r="5" ht="15.0" customHeight="1">
      <c r="A5" s="19"/>
      <c r="B5" s="19"/>
      <c r="C5" s="19"/>
      <c r="D5" s="173"/>
      <c r="E5" s="90" t="s">
        <v>33</v>
      </c>
      <c r="G5" s="91" t="s">
        <v>40</v>
      </c>
      <c r="H5" s="31"/>
      <c r="I5" s="31"/>
      <c r="J5" s="32"/>
      <c r="K5" s="19"/>
      <c r="L5" s="19"/>
      <c r="M5" s="19"/>
      <c r="N5" s="19"/>
      <c r="O5" s="19"/>
      <c r="P5" s="19"/>
      <c r="Q5" s="19"/>
    </row>
    <row r="6" ht="15.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ht="15.0" customHeight="1">
      <c r="A7" s="10" t="str">
        <f>UPPER(skillName_1)</f>
        <v>PHYSICAL</v>
      </c>
      <c r="B7" s="11"/>
      <c r="C7" s="11"/>
      <c r="D7" s="12"/>
      <c r="E7" s="175"/>
      <c r="F7" s="176"/>
      <c r="G7" s="10" t="str">
        <f>UPPER(skillName_2)</f>
        <v>MENTAL</v>
      </c>
      <c r="H7" s="11"/>
      <c r="I7" s="11"/>
      <c r="J7" s="12"/>
      <c r="K7" s="175"/>
      <c r="L7" s="176"/>
      <c r="M7" s="10" t="str">
        <f>UPPER(skillName_3)</f>
        <v>SPIRITUAL</v>
      </c>
      <c r="N7" s="11"/>
      <c r="O7" s="11"/>
      <c r="P7" s="11"/>
      <c r="Q7" s="12"/>
    </row>
    <row r="8" ht="15.0" customHeight="1">
      <c r="A8" s="19"/>
      <c r="B8" s="19"/>
      <c r="C8" s="19"/>
      <c r="D8" s="19"/>
      <c r="E8" s="175"/>
      <c r="F8" s="176"/>
      <c r="G8" s="19"/>
      <c r="H8" s="19"/>
      <c r="I8" s="19"/>
      <c r="J8" s="19"/>
      <c r="K8" s="175"/>
      <c r="L8" s="176"/>
      <c r="M8" s="19"/>
      <c r="N8" s="19"/>
      <c r="O8" s="19"/>
      <c r="P8" s="19"/>
      <c r="Q8" s="19"/>
    </row>
    <row r="9" ht="15.0" customHeight="1">
      <c r="A9" s="98" t="str">
        <f>skilltree_1_1_1_label_pointsAssigned</f>
        <v>(0 / 0)</v>
      </c>
      <c r="B9" s="96" t="str">
        <f>skilltree_1_1_1_label</f>
        <v>Strength</v>
      </c>
      <c r="C9" s="97"/>
      <c r="D9" s="117"/>
      <c r="E9" s="177"/>
      <c r="F9" s="178"/>
      <c r="G9" s="179" t="str">
        <f>skilltree_2_1_1_label_pointsAssigned</f>
        <v>(0 / 0)</v>
      </c>
      <c r="H9" s="180" t="str">
        <f>skilltree_2_1_1_label</f>
        <v>Academics</v>
      </c>
      <c r="I9" s="97"/>
      <c r="J9" s="117"/>
      <c r="K9" s="177"/>
      <c r="L9" s="178"/>
      <c r="M9" s="148" t="str">
        <f>skilltree_3_1_1_label_pointsAssigned</f>
        <v>(0 / 0)</v>
      </c>
      <c r="N9" s="147" t="str">
        <f>skilltree_3_1_1_label</f>
        <v>Enchanting</v>
      </c>
      <c r="O9" s="97"/>
      <c r="P9" s="97"/>
      <c r="Q9" s="117"/>
    </row>
    <row r="10" ht="15.0" customHeight="1">
      <c r="A10" s="181">
        <v>0.0</v>
      </c>
      <c r="B10" s="182">
        <v>0.0</v>
      </c>
      <c r="C10" s="183">
        <f>4*(skilltree_1_1_1_1_points+skilltree_1_1_1_1_bonusPoints)+skilltree_1_1_1_percentage</f>
        <v>0</v>
      </c>
      <c r="D10" s="184"/>
      <c r="E10" s="185"/>
      <c r="F10" s="186"/>
      <c r="G10" s="181">
        <v>0.0</v>
      </c>
      <c r="H10" s="182">
        <v>0.0</v>
      </c>
      <c r="I10" s="183">
        <f>4*(skilltree_2_1_1_1_points+skilltree_2_1_1_1_bonusPoints)+skilltree_2_1_1_percentage</f>
        <v>0</v>
      </c>
      <c r="J10" s="184"/>
      <c r="K10" s="185"/>
      <c r="L10" s="186"/>
      <c r="M10" s="181">
        <v>0.0</v>
      </c>
      <c r="N10" s="182">
        <v>0.0</v>
      </c>
      <c r="O10" s="183">
        <f>4*(skilltree_3_1_1_1_points+skilltree_3_1_1_1_bonusPoints)+skilltree_3_1_1_percentage</f>
        <v>0</v>
      </c>
      <c r="P10" s="187"/>
      <c r="Q10" s="188"/>
    </row>
    <row r="11" ht="15.0" customHeight="1">
      <c r="A11" s="189">
        <v>0.0</v>
      </c>
      <c r="B11" s="190">
        <v>0.0</v>
      </c>
      <c r="C11" s="183">
        <f>4*(skilltree_1_1_1_2_points+skilltree_1_1_1_2_bonusPoints)+skilltree_1_1_1_percentage</f>
        <v>0</v>
      </c>
      <c r="D11" s="191"/>
      <c r="E11" s="185"/>
      <c r="F11" s="186"/>
      <c r="G11" s="189">
        <v>0.0</v>
      </c>
      <c r="H11" s="190">
        <v>0.0</v>
      </c>
      <c r="I11" s="183">
        <f>4*(skilltree_2_1_1_2_points+skilltree_2_1_1_2_bonusPoints)+skilltree_2_1_1_percentage</f>
        <v>0</v>
      </c>
      <c r="J11" s="191"/>
      <c r="K11" s="185"/>
      <c r="L11" s="186"/>
      <c r="M11" s="189">
        <v>0.0</v>
      </c>
      <c r="N11" s="190">
        <v>0.0</v>
      </c>
      <c r="O11" s="183">
        <f>4*(skilltree_3_1_1_2_points+skilltree_3_1_1_2_bonusPoints)+skilltree_3_1_1_percentage</f>
        <v>0</v>
      </c>
      <c r="P11" s="192"/>
      <c r="Q11" s="16"/>
    </row>
    <row r="12" ht="15.0" customHeight="1">
      <c r="A12" s="189">
        <v>0.0</v>
      </c>
      <c r="B12" s="190">
        <v>0.0</v>
      </c>
      <c r="C12" s="183">
        <f>4*(skilltree_1_1_1_3_points+skilltree_1_1_1_3_bonusPoints)+skilltree_1_1_1_percentage</f>
        <v>0</v>
      </c>
      <c r="D12" s="191"/>
      <c r="E12" s="185"/>
      <c r="F12" s="186"/>
      <c r="G12" s="189">
        <v>0.0</v>
      </c>
      <c r="H12" s="190">
        <v>0.0</v>
      </c>
      <c r="I12" s="183">
        <f>4*(skilltree_2_1_1_3_points+skilltree_2_1_1_3_bonusPoints)+skilltree_2_1_1_percentage</f>
        <v>0</v>
      </c>
      <c r="J12" s="191"/>
      <c r="K12" s="185"/>
      <c r="L12" s="186"/>
      <c r="M12" s="189">
        <v>0.0</v>
      </c>
      <c r="N12" s="190">
        <v>0.0</v>
      </c>
      <c r="O12" s="183">
        <f>4*(skilltree_3_1_1_3_points+skilltree_3_1_1_3_bonusPoints)+skilltree_3_1_1_percentage</f>
        <v>0</v>
      </c>
      <c r="P12" s="192"/>
      <c r="Q12" s="16"/>
    </row>
    <row r="13" ht="7.5" customHeight="1">
      <c r="A13" s="94"/>
      <c r="B13" s="94"/>
      <c r="C13" s="94"/>
      <c r="D13" s="94"/>
      <c r="E13" s="193"/>
      <c r="F13" s="194"/>
      <c r="G13" s="94"/>
      <c r="H13" s="94"/>
      <c r="I13" s="94"/>
      <c r="J13" s="94"/>
      <c r="K13" s="193"/>
      <c r="L13" s="194"/>
      <c r="M13" s="94"/>
      <c r="N13" s="94"/>
      <c r="O13" s="94"/>
      <c r="P13" s="94"/>
      <c r="Q13" s="94"/>
    </row>
    <row r="14" ht="15.0" customHeight="1">
      <c r="A14" s="98" t="str">
        <f>skilltree_1_1_2_label_pointsAssigned</f>
        <v>(0 / 0)</v>
      </c>
      <c r="B14" s="96" t="str">
        <f>skilltree_1_1_2_label</f>
        <v>Stamina</v>
      </c>
      <c r="C14" s="97"/>
      <c r="D14" s="117"/>
      <c r="E14" s="177"/>
      <c r="F14" s="178"/>
      <c r="G14" s="179" t="str">
        <f>skilltree_2_1_2_label_pointsAssigned</f>
        <v>(0 / 0)</v>
      </c>
      <c r="H14" s="180" t="str">
        <f>skilltree_2_1_2_label</f>
        <v>Deduction</v>
      </c>
      <c r="I14" s="97"/>
      <c r="J14" s="117"/>
      <c r="K14" s="177"/>
      <c r="L14" s="178"/>
      <c r="M14" s="148" t="str">
        <f>skilltree_3_1_2_label_pointsAssigned</f>
        <v>(0 / 0)</v>
      </c>
      <c r="N14" s="147" t="str">
        <f>skilltree_3_1_2_label</f>
        <v>Beholding</v>
      </c>
      <c r="O14" s="97"/>
      <c r="P14" s="97"/>
      <c r="Q14" s="117"/>
    </row>
    <row r="15" ht="15.0" customHeight="1">
      <c r="A15" s="181">
        <v>0.0</v>
      </c>
      <c r="B15" s="182">
        <v>0.0</v>
      </c>
      <c r="C15" s="183">
        <f>4*(skilltree_1_1_2_1_points+skilltree_1_1_2_1_bonusPoints)+skilltree_1_1_2_percentage</f>
        <v>0</v>
      </c>
      <c r="D15" s="184"/>
      <c r="E15" s="185"/>
      <c r="F15" s="186"/>
      <c r="G15" s="181">
        <v>0.0</v>
      </c>
      <c r="H15" s="182">
        <v>0.0</v>
      </c>
      <c r="I15" s="183">
        <f>4*(skilltree_2_1_2_1_points+skilltree_2_1_2_1_bonusPoints)+skilltree_2_1_2_percentage</f>
        <v>0</v>
      </c>
      <c r="J15" s="184"/>
      <c r="K15" s="185"/>
      <c r="L15" s="186"/>
      <c r="M15" s="181">
        <v>0.0</v>
      </c>
      <c r="N15" s="182">
        <v>0.0</v>
      </c>
      <c r="O15" s="183">
        <f>4*(skilltree_3_1_2_1_points+skilltree_3_1_2_1_bonusPoints)+skilltree_3_1_2_percentage</f>
        <v>0</v>
      </c>
      <c r="P15" s="187"/>
      <c r="Q15" s="188"/>
    </row>
    <row r="16" ht="15.0" customHeight="1">
      <c r="A16" s="189">
        <v>0.0</v>
      </c>
      <c r="B16" s="190">
        <v>0.0</v>
      </c>
      <c r="C16" s="183">
        <f>4*(skilltree_1_1_2_2_points+skilltree_1_1_2_2_bonusPoints)+skilltree_1_1_2_percentage</f>
        <v>0</v>
      </c>
      <c r="D16" s="191"/>
      <c r="E16" s="185"/>
      <c r="F16" s="186"/>
      <c r="G16" s="189">
        <v>0.0</v>
      </c>
      <c r="H16" s="190">
        <v>0.0</v>
      </c>
      <c r="I16" s="183">
        <f>4*(skilltree_2_1_2_2_points+skilltree_2_1_2_2_bonusPoints)+skilltree_2_1_2_percentage</f>
        <v>0</v>
      </c>
      <c r="J16" s="191"/>
      <c r="K16" s="185"/>
      <c r="L16" s="186"/>
      <c r="M16" s="189">
        <v>0.0</v>
      </c>
      <c r="N16" s="190">
        <v>0.0</v>
      </c>
      <c r="O16" s="183">
        <f>4*(skilltree_3_1_2_2_points+skilltree_3_1_2_2_bonusPoints)+skilltree_3_1_2_percentage</f>
        <v>0</v>
      </c>
      <c r="P16" s="192"/>
      <c r="Q16" s="16"/>
    </row>
    <row r="17" ht="15.0" customHeight="1">
      <c r="A17" s="189">
        <v>0.0</v>
      </c>
      <c r="B17" s="190">
        <v>0.0</v>
      </c>
      <c r="C17" s="183">
        <f>4*(skilltree_1_1_2_3_points+skilltree_1_1_2_3_bonusPoints)+skilltree_1_1_2_percentage</f>
        <v>0</v>
      </c>
      <c r="D17" s="191"/>
      <c r="E17" s="185"/>
      <c r="F17" s="186"/>
      <c r="G17" s="189">
        <v>0.0</v>
      </c>
      <c r="H17" s="190">
        <v>0.0</v>
      </c>
      <c r="I17" s="183">
        <f>4*(skilltree_2_1_2_3_points+skilltree_2_1_2_3_bonusPoints)+skilltree_2_1_2_percentage</f>
        <v>0</v>
      </c>
      <c r="J17" s="191"/>
      <c r="K17" s="185"/>
      <c r="L17" s="186"/>
      <c r="M17" s="189">
        <v>0.0</v>
      </c>
      <c r="N17" s="190">
        <v>0.0</v>
      </c>
      <c r="O17" s="183">
        <f>4*(skilltree_3_1_2_3_points+skilltree_3_1_2_3_bonusPoints)+skilltree_3_1_2_percentage</f>
        <v>0</v>
      </c>
      <c r="P17" s="192"/>
      <c r="Q17" s="16"/>
    </row>
    <row r="18" ht="7.5" customHeight="1">
      <c r="A18" s="94"/>
      <c r="B18" s="94"/>
      <c r="C18" s="94"/>
      <c r="D18" s="94"/>
      <c r="E18" s="193"/>
      <c r="F18" s="194"/>
      <c r="G18" s="94"/>
      <c r="H18" s="94"/>
      <c r="I18" s="94"/>
      <c r="J18" s="94"/>
      <c r="K18" s="193"/>
      <c r="L18" s="194"/>
      <c r="M18" s="94"/>
      <c r="N18" s="94"/>
      <c r="O18" s="94"/>
      <c r="P18" s="94"/>
      <c r="Q18" s="94"/>
    </row>
    <row r="19" ht="15.0" customHeight="1">
      <c r="A19" s="98" t="str">
        <f>skilltree_1_1_3_label_pointsAssigned</f>
        <v>(0 / 0)</v>
      </c>
      <c r="B19" s="96" t="str">
        <f>skilltree_1_1_3_label</f>
        <v>Resilience</v>
      </c>
      <c r="C19" s="97"/>
      <c r="D19" s="117"/>
      <c r="E19" s="177"/>
      <c r="F19" s="178"/>
      <c r="G19" s="179" t="str">
        <f>skilltree_2_1_3_label_pointsAssigned</f>
        <v>(0 / 0)</v>
      </c>
      <c r="H19" s="180" t="str">
        <f>skilltree_2_1_3_label</f>
        <v>Communication</v>
      </c>
      <c r="I19" s="97"/>
      <c r="J19" s="117"/>
      <c r="K19" s="177"/>
      <c r="L19" s="178"/>
      <c r="M19" s="148" t="str">
        <f>skilltree_3_1_3_label_pointsAssigned</f>
        <v>(0 / 0)</v>
      </c>
      <c r="N19" s="147" t="str">
        <f>skilltree_3_1_3_label</f>
        <v>Transmutation</v>
      </c>
      <c r="O19" s="97"/>
      <c r="P19" s="97"/>
      <c r="Q19" s="117"/>
    </row>
    <row r="20" ht="15.0" customHeight="1">
      <c r="A20" s="181">
        <v>0.0</v>
      </c>
      <c r="B20" s="182">
        <v>0.0</v>
      </c>
      <c r="C20" s="183">
        <f>4*(skilltree_1_1_3_1_points+skilltree_1_1_3_1_bonusPoints)+skilltree_1_1_3_percentage</f>
        <v>0</v>
      </c>
      <c r="D20" s="184"/>
      <c r="E20" s="185"/>
      <c r="F20" s="186"/>
      <c r="G20" s="181">
        <v>0.0</v>
      </c>
      <c r="H20" s="182">
        <v>0.0</v>
      </c>
      <c r="I20" s="183">
        <f>4*(skilltree_2_1_3_1_points+skilltree_2_1_3_1_bonusPoints)+skilltree_2_1_3_percentage</f>
        <v>0</v>
      </c>
      <c r="J20" s="184"/>
      <c r="K20" s="185"/>
      <c r="L20" s="186"/>
      <c r="M20" s="181">
        <v>0.0</v>
      </c>
      <c r="N20" s="182">
        <v>0.0</v>
      </c>
      <c r="O20" s="183">
        <f>4*(skilltree_3_1_3_1_points+skilltree_3_1_3_1_bonusPoints)+skilltree_3_1_3_percentage</f>
        <v>0</v>
      </c>
      <c r="P20" s="187"/>
      <c r="Q20" s="188"/>
    </row>
    <row r="21" ht="15.0" customHeight="1">
      <c r="A21" s="189">
        <v>0.0</v>
      </c>
      <c r="B21" s="190">
        <v>0.0</v>
      </c>
      <c r="C21" s="183">
        <f>4*(skilltree_1_1_3_2_points+skilltree_1_1_3_2_bonusPoints)+skilltree_1_1_3_percentage</f>
        <v>0</v>
      </c>
      <c r="D21" s="191"/>
      <c r="E21" s="185"/>
      <c r="F21" s="186"/>
      <c r="G21" s="189">
        <v>0.0</v>
      </c>
      <c r="H21" s="190">
        <v>0.0</v>
      </c>
      <c r="I21" s="183">
        <f>4*(skilltree_2_1_3_2_points+skilltree_2_1_3_2_bonusPoints)+skilltree_2_1_3_percentage</f>
        <v>0</v>
      </c>
      <c r="J21" s="191"/>
      <c r="K21" s="185"/>
      <c r="L21" s="186"/>
      <c r="M21" s="189">
        <v>0.0</v>
      </c>
      <c r="N21" s="190">
        <v>0.0</v>
      </c>
      <c r="O21" s="183">
        <f>4*(skilltree_3_1_3_2_points+skilltree_3_1_3_2_bonusPoints)+skilltree_3_1_3_percentage</f>
        <v>0</v>
      </c>
      <c r="P21" s="192"/>
      <c r="Q21" s="16"/>
    </row>
    <row r="22" ht="15.0" customHeight="1">
      <c r="A22" s="189">
        <v>0.0</v>
      </c>
      <c r="B22" s="190">
        <v>0.0</v>
      </c>
      <c r="C22" s="183">
        <f>4*(skilltree_1_1_3_3_points+skilltree_1_1_3_3_bonusPoints)+skilltree_1_1_3_percentage</f>
        <v>0</v>
      </c>
      <c r="D22" s="191"/>
      <c r="E22" s="185"/>
      <c r="F22" s="186"/>
      <c r="G22" s="189">
        <v>0.0</v>
      </c>
      <c r="H22" s="190">
        <v>0.0</v>
      </c>
      <c r="I22" s="183">
        <f>4*(skilltree_2_1_3_3_points+skilltree_2_1_3_3_bonusPoints)+skilltree_2_1_3_percentage</f>
        <v>0</v>
      </c>
      <c r="J22" s="191"/>
      <c r="K22" s="185"/>
      <c r="L22" s="186"/>
      <c r="M22" s="189">
        <v>0.0</v>
      </c>
      <c r="N22" s="190">
        <v>0.0</v>
      </c>
      <c r="O22" s="183">
        <f>4*(skilltree_3_1_3_3_points+skilltree_3_1_3_3_bonusPoints)+skilltree_3_1_3_percentage</f>
        <v>0</v>
      </c>
      <c r="P22" s="192"/>
      <c r="Q22" s="16"/>
    </row>
    <row r="23" ht="22.5" customHeight="1">
      <c r="A23" s="195"/>
      <c r="B23" s="195"/>
      <c r="C23" s="195"/>
      <c r="D23" s="195"/>
      <c r="E23" s="185"/>
      <c r="F23" s="186"/>
      <c r="G23" s="195"/>
      <c r="H23" s="195"/>
      <c r="I23" s="195"/>
      <c r="J23" s="195"/>
      <c r="K23" s="185"/>
      <c r="L23" s="186"/>
      <c r="M23" s="195"/>
      <c r="N23" s="195"/>
      <c r="O23" s="195"/>
      <c r="P23" s="195"/>
      <c r="Q23" s="195"/>
    </row>
    <row r="24" ht="15.0" customHeight="1">
      <c r="A24" s="115" t="str">
        <f>skilltree_1_2_1_label_pointsAssigned</f>
        <v>(0 / 0)</v>
      </c>
      <c r="B24" s="114" t="str">
        <f>skilltree_1_2_1_label</f>
        <v>Acrobatics</v>
      </c>
      <c r="C24" s="97"/>
      <c r="D24" s="117"/>
      <c r="E24" s="177"/>
      <c r="F24" s="178"/>
      <c r="G24" s="196" t="str">
        <f>skilltree_2_2_1_label_pointsAssigned</f>
        <v>(0 / 0)</v>
      </c>
      <c r="H24" s="197" t="str">
        <f>skilltree_2_2_1_label</f>
        <v>Perception</v>
      </c>
      <c r="I24" s="97"/>
      <c r="J24" s="117"/>
      <c r="K24" s="177"/>
      <c r="L24" s="178"/>
      <c r="M24" s="155" t="str">
        <f>skilltree_3_2_1_label_pointsAssigned</f>
        <v>(0 / 0)</v>
      </c>
      <c r="N24" s="154" t="str">
        <f>skilltree_3_2_1_label</f>
        <v>Invocation</v>
      </c>
      <c r="O24" s="97"/>
      <c r="P24" s="97"/>
      <c r="Q24" s="117"/>
    </row>
    <row r="25" ht="15.0" customHeight="1">
      <c r="A25" s="181">
        <v>0.0</v>
      </c>
      <c r="B25" s="182">
        <v>0.0</v>
      </c>
      <c r="C25" s="183">
        <f>4*(skilltree_1_2_1_1_points+skilltree_1_2_1_1_bonusPoints)+skilltree_1_2_1_percentage</f>
        <v>0</v>
      </c>
      <c r="D25" s="184"/>
      <c r="E25" s="185"/>
      <c r="F25" s="186"/>
      <c r="G25" s="181">
        <v>0.0</v>
      </c>
      <c r="H25" s="182">
        <v>0.0</v>
      </c>
      <c r="I25" s="183">
        <f>4*(skilltree_2_2_1_1_points+skilltree_2_2_1_1_bonusPoints)+skilltree_2_2_1_percentage</f>
        <v>0</v>
      </c>
      <c r="J25" s="184"/>
      <c r="K25" s="185"/>
      <c r="L25" s="186"/>
      <c r="M25" s="181">
        <v>0.0</v>
      </c>
      <c r="N25" s="182">
        <v>0.0</v>
      </c>
      <c r="O25" s="183">
        <f>4*(skilltree_3_2_1_1_points+skilltree_3_2_1_1_bonusPoints)+skilltree_3_2_1_percentage</f>
        <v>0</v>
      </c>
      <c r="P25" s="187"/>
      <c r="Q25" s="188"/>
    </row>
    <row r="26" ht="15.0" customHeight="1">
      <c r="A26" s="189">
        <v>0.0</v>
      </c>
      <c r="B26" s="190">
        <v>0.0</v>
      </c>
      <c r="C26" s="183">
        <f>4*(skilltree_1_2_1_2_points+skilltree_1_2_1_2_bonusPoints)+skilltree_1_2_1_percentage</f>
        <v>0</v>
      </c>
      <c r="D26" s="191"/>
      <c r="E26" s="185"/>
      <c r="F26" s="186"/>
      <c r="G26" s="189">
        <v>0.0</v>
      </c>
      <c r="H26" s="190">
        <v>0.0</v>
      </c>
      <c r="I26" s="183">
        <f>4*(skilltree_2_2_1_2_points+skilltree_2_2_1_2_bonusPoints)+skilltree_2_2_1_percentage</f>
        <v>0</v>
      </c>
      <c r="J26" s="191"/>
      <c r="K26" s="185"/>
      <c r="L26" s="186"/>
      <c r="M26" s="189">
        <v>0.0</v>
      </c>
      <c r="N26" s="190">
        <v>0.0</v>
      </c>
      <c r="O26" s="183">
        <f>4*(skilltree_3_2_1_2_points+skilltree_3_2_1_2_bonusPoints)+skilltree_3_2_1_percentage</f>
        <v>0</v>
      </c>
      <c r="P26" s="192"/>
      <c r="Q26" s="16"/>
    </row>
    <row r="27" ht="15.0" customHeight="1">
      <c r="A27" s="189">
        <v>0.0</v>
      </c>
      <c r="B27" s="190">
        <v>0.0</v>
      </c>
      <c r="C27" s="183">
        <f>4*(skilltree_1_2_1_3_points+skilltree_1_2_1_3_bonusPoints)+skilltree_1_2_1_percentage</f>
        <v>0</v>
      </c>
      <c r="D27" s="191"/>
      <c r="E27" s="185"/>
      <c r="F27" s="186"/>
      <c r="G27" s="189">
        <v>0.0</v>
      </c>
      <c r="H27" s="190">
        <v>0.0</v>
      </c>
      <c r="I27" s="183">
        <f>4*(skilltree_2_2_1_3_points+skilltree_2_2_1_3_bonusPoints)+skilltree_2_2_1_percentage</f>
        <v>0</v>
      </c>
      <c r="J27" s="191"/>
      <c r="K27" s="185"/>
      <c r="L27" s="186"/>
      <c r="M27" s="189">
        <v>0.0</v>
      </c>
      <c r="N27" s="190">
        <v>0.0</v>
      </c>
      <c r="O27" s="183">
        <f>4*(skilltree_3_2_1_3_points+skilltree_3_2_1_3_bonusPoints)+skilltree_3_2_1_percentage</f>
        <v>0</v>
      </c>
      <c r="P27" s="192"/>
      <c r="Q27" s="16"/>
    </row>
    <row r="28" ht="7.5" customHeight="1">
      <c r="A28" s="94"/>
      <c r="B28" s="94"/>
      <c r="C28" s="94"/>
      <c r="D28" s="94"/>
      <c r="E28" s="193"/>
      <c r="F28" s="194"/>
      <c r="G28" s="94"/>
      <c r="H28" s="94"/>
      <c r="I28" s="94"/>
      <c r="J28" s="94"/>
      <c r="K28" s="193"/>
      <c r="L28" s="194"/>
      <c r="M28" s="94"/>
      <c r="N28" s="94"/>
      <c r="O28" s="94"/>
      <c r="P28" s="94"/>
      <c r="Q28" s="94"/>
    </row>
    <row r="29" ht="15.0" customHeight="1">
      <c r="A29" s="115" t="str">
        <f>skilltree_1_2_2_label_pointsAssigned</f>
        <v>(0 / 0)</v>
      </c>
      <c r="B29" s="114" t="str">
        <f>skilltree_1_2_2_label</f>
        <v>Haste</v>
      </c>
      <c r="C29" s="97"/>
      <c r="D29" s="117"/>
      <c r="E29" s="177"/>
      <c r="F29" s="178"/>
      <c r="G29" s="196" t="str">
        <f>skilltree_2_2_2_label_pointsAssigned</f>
        <v>(0 / 0)</v>
      </c>
      <c r="H29" s="197" t="str">
        <f>skilltree_2_2_2_label</f>
        <v>Intuition</v>
      </c>
      <c r="I29" s="97"/>
      <c r="J29" s="117"/>
      <c r="K29" s="177"/>
      <c r="L29" s="178"/>
      <c r="M29" s="155" t="str">
        <f>skilltree_3_2_2_label_pointsAssigned</f>
        <v>(0 / 0)</v>
      </c>
      <c r="N29" s="154" t="str">
        <f>skilltree_3_2_2_label</f>
        <v>Illusions</v>
      </c>
      <c r="O29" s="97"/>
      <c r="P29" s="97"/>
      <c r="Q29" s="117"/>
    </row>
    <row r="30" ht="15.0" customHeight="1">
      <c r="A30" s="181">
        <v>0.0</v>
      </c>
      <c r="B30" s="182">
        <v>0.0</v>
      </c>
      <c r="C30" s="183">
        <f>4*(skilltree_1_2_2_1_points+skilltree_1_2_2_1_bonusPoints)+skilltree_1_2_2_percentage</f>
        <v>0</v>
      </c>
      <c r="D30" s="184"/>
      <c r="E30" s="185"/>
      <c r="F30" s="186"/>
      <c r="G30" s="181">
        <v>0.0</v>
      </c>
      <c r="H30" s="182">
        <v>0.0</v>
      </c>
      <c r="I30" s="183">
        <f>4*(skilltree_2_2_2_1_points+skilltree_2_2_2_1_bonusPoints)+skilltree_2_2_2_percentage</f>
        <v>0</v>
      </c>
      <c r="J30" s="184"/>
      <c r="K30" s="185"/>
      <c r="L30" s="186"/>
      <c r="M30" s="181">
        <v>0.0</v>
      </c>
      <c r="N30" s="182">
        <v>0.0</v>
      </c>
      <c r="O30" s="183">
        <f>4*(skilltree_3_2_2_1_points+skilltree_3_2_2_1_bonusPoints)+skilltree_3_2_2_percentage</f>
        <v>0</v>
      </c>
      <c r="P30" s="187"/>
      <c r="Q30" s="188"/>
    </row>
    <row r="31" ht="15.0" customHeight="1">
      <c r="A31" s="189">
        <v>0.0</v>
      </c>
      <c r="B31" s="190">
        <v>0.0</v>
      </c>
      <c r="C31" s="183">
        <f>4*(skilltree_1_2_2_2_points+skilltree_1_2_2_2_bonusPoints)+skilltree_1_2_2_percentage</f>
        <v>0</v>
      </c>
      <c r="D31" s="191"/>
      <c r="E31" s="185"/>
      <c r="F31" s="186"/>
      <c r="G31" s="189">
        <v>0.0</v>
      </c>
      <c r="H31" s="190">
        <v>0.0</v>
      </c>
      <c r="I31" s="183">
        <f>4*(skilltree_2_2_2_2_points+skilltree_2_2_2_2_bonusPoints)+skilltree_2_2_2_percentage</f>
        <v>0</v>
      </c>
      <c r="J31" s="191"/>
      <c r="K31" s="185"/>
      <c r="L31" s="186"/>
      <c r="M31" s="189">
        <v>0.0</v>
      </c>
      <c r="N31" s="190">
        <v>0.0</v>
      </c>
      <c r="O31" s="183">
        <f>4*(skilltree_3_2_2_2_points+skilltree_3_2_2_2_bonusPoints)+skilltree_3_2_2_percentage</f>
        <v>0</v>
      </c>
      <c r="P31" s="192"/>
      <c r="Q31" s="16"/>
    </row>
    <row r="32" ht="15.0" customHeight="1">
      <c r="A32" s="189">
        <v>0.0</v>
      </c>
      <c r="B32" s="190">
        <v>0.0</v>
      </c>
      <c r="C32" s="183">
        <f>4*(skilltree_1_2_2_3_points+skilltree_1_2_2_3_bonusPoints)+skilltree_1_2_2_percentage</f>
        <v>0</v>
      </c>
      <c r="D32" s="191"/>
      <c r="E32" s="185"/>
      <c r="F32" s="186"/>
      <c r="G32" s="189">
        <v>0.0</v>
      </c>
      <c r="H32" s="190">
        <v>0.0</v>
      </c>
      <c r="I32" s="183">
        <f>4*(skilltree_2_2_2_3_points+skilltree_2_2_2_3_bonusPoints)+skilltree_2_2_2_percentage</f>
        <v>0</v>
      </c>
      <c r="J32" s="191"/>
      <c r="K32" s="185"/>
      <c r="L32" s="186"/>
      <c r="M32" s="189">
        <v>0.0</v>
      </c>
      <c r="N32" s="190">
        <v>0.0</v>
      </c>
      <c r="O32" s="183">
        <f>4*(skilltree_3_2_2_3_points+skilltree_3_2_2_3_bonusPoints)+skilltree_3_2_2_percentage</f>
        <v>0</v>
      </c>
      <c r="P32" s="192"/>
      <c r="Q32" s="16"/>
    </row>
    <row r="33" ht="7.5" customHeight="1">
      <c r="A33" s="94"/>
      <c r="B33" s="94"/>
      <c r="C33" s="94"/>
      <c r="D33" s="94"/>
      <c r="E33" s="193"/>
      <c r="F33" s="194"/>
      <c r="G33" s="94"/>
      <c r="H33" s="94"/>
      <c r="I33" s="94"/>
      <c r="J33" s="94"/>
      <c r="K33" s="193"/>
      <c r="L33" s="194"/>
      <c r="M33" s="94"/>
      <c r="N33" s="94"/>
      <c r="O33" s="94"/>
      <c r="P33" s="94"/>
      <c r="Q33" s="94"/>
    </row>
    <row r="34" ht="15.0" customHeight="1">
      <c r="A34" s="115" t="str">
        <f>skilltree_1_2_3_label_pointsAssigned</f>
        <v>(0 / 0)</v>
      </c>
      <c r="B34" s="114" t="str">
        <f>skilltree_1_2_3_label</f>
        <v>Reflexes</v>
      </c>
      <c r="C34" s="97"/>
      <c r="D34" s="117"/>
      <c r="E34" s="177"/>
      <c r="F34" s="178"/>
      <c r="G34" s="196" t="str">
        <f>skilltree_2_2_3_label_pointsAssigned</f>
        <v>(0 / 0)</v>
      </c>
      <c r="H34" s="197" t="str">
        <f>skilltree_2_2_3_label</f>
        <v>Resourcefulness</v>
      </c>
      <c r="I34" s="97"/>
      <c r="J34" s="117"/>
      <c r="K34" s="177"/>
      <c r="L34" s="178"/>
      <c r="M34" s="155" t="str">
        <f>skilltree_3_2_3_label_pointsAssigned</f>
        <v>(0 / 0)</v>
      </c>
      <c r="N34" s="154" t="str">
        <f>skilltree_3_2_3_label</f>
        <v>Fabrication</v>
      </c>
      <c r="O34" s="97"/>
      <c r="P34" s="97"/>
      <c r="Q34" s="117"/>
    </row>
    <row r="35" ht="15.0" customHeight="1">
      <c r="A35" s="181">
        <v>0.0</v>
      </c>
      <c r="B35" s="182">
        <v>0.0</v>
      </c>
      <c r="C35" s="183">
        <f>4*(skilltree_1_2_3_1_points+skilltree_1_2_3_1_bonusPoints)+skilltree_1_2_3_percentage</f>
        <v>0</v>
      </c>
      <c r="D35" s="184"/>
      <c r="E35" s="185"/>
      <c r="F35" s="186"/>
      <c r="G35" s="181">
        <v>0.0</v>
      </c>
      <c r="H35" s="182">
        <v>0.0</v>
      </c>
      <c r="I35" s="183">
        <f>4*(skilltree_2_2_3_1_points+skilltree_2_2_3_1_bonusPoints)+skilltree_2_2_3_percentage</f>
        <v>0</v>
      </c>
      <c r="J35" s="184"/>
      <c r="K35" s="185"/>
      <c r="L35" s="186"/>
      <c r="M35" s="181">
        <v>0.0</v>
      </c>
      <c r="N35" s="182">
        <v>0.0</v>
      </c>
      <c r="O35" s="183">
        <f>4*(skilltree_3_2_3_1_points+skilltree_3_2_3_1_bonusPoints)+skilltree_3_2_3_percentage</f>
        <v>0</v>
      </c>
      <c r="P35" s="187"/>
      <c r="Q35" s="188"/>
    </row>
    <row r="36" ht="15.0" customHeight="1">
      <c r="A36" s="189">
        <v>0.0</v>
      </c>
      <c r="B36" s="190">
        <v>0.0</v>
      </c>
      <c r="C36" s="183">
        <f>4*(skilltree_1_2_3_2_points+skilltree_1_2_3_2_bonusPoints)+skilltree_1_2_3_percentage</f>
        <v>0</v>
      </c>
      <c r="D36" s="191"/>
      <c r="E36" s="185"/>
      <c r="F36" s="186"/>
      <c r="G36" s="189">
        <v>0.0</v>
      </c>
      <c r="H36" s="190">
        <v>0.0</v>
      </c>
      <c r="I36" s="183">
        <f>4*(skilltree_2_2_3_2_points+skilltree_2_2_3_2_bonusPoints)+skilltree_2_2_3_percentage</f>
        <v>0</v>
      </c>
      <c r="J36" s="191"/>
      <c r="K36" s="185"/>
      <c r="L36" s="186"/>
      <c r="M36" s="189">
        <v>0.0</v>
      </c>
      <c r="N36" s="190">
        <v>0.0</v>
      </c>
      <c r="O36" s="183">
        <f>4*(skilltree_3_2_3_2_points+skilltree_3_2_3_2_bonusPoints)+skilltree_3_2_3_percentage</f>
        <v>0</v>
      </c>
      <c r="P36" s="192"/>
      <c r="Q36" s="16"/>
    </row>
    <row r="37" ht="15.0" customHeight="1">
      <c r="A37" s="189">
        <v>0.0</v>
      </c>
      <c r="B37" s="190">
        <v>0.0</v>
      </c>
      <c r="C37" s="183">
        <f>4*(skilltree_1_2_3_3_points+skilltree_1_2_3_3_bonusPoints)+skilltree_1_2_3_percentage</f>
        <v>0</v>
      </c>
      <c r="D37" s="191"/>
      <c r="E37" s="185"/>
      <c r="F37" s="186"/>
      <c r="G37" s="189">
        <v>0.0</v>
      </c>
      <c r="H37" s="190">
        <v>0.0</v>
      </c>
      <c r="I37" s="183">
        <f>4*(skilltree_2_2_3_3_points+skilltree_2_2_3_3_bonusPoints)+skilltree_2_2_3_percentage</f>
        <v>0</v>
      </c>
      <c r="J37" s="191"/>
      <c r="K37" s="185"/>
      <c r="L37" s="186"/>
      <c r="M37" s="189">
        <v>0.0</v>
      </c>
      <c r="N37" s="190">
        <v>0.0</v>
      </c>
      <c r="O37" s="183">
        <f>4*(skilltree_3_2_3_3_points+skilltree_3_2_3_3_bonusPoints)+skilltree_3_2_3_percentage</f>
        <v>0</v>
      </c>
      <c r="P37" s="192"/>
      <c r="Q37" s="16"/>
    </row>
    <row r="38" ht="22.5" customHeight="1">
      <c r="A38" s="195"/>
      <c r="B38" s="195"/>
      <c r="C38" s="195"/>
      <c r="D38" s="195"/>
      <c r="E38" s="185"/>
      <c r="F38" s="186"/>
      <c r="G38" s="195"/>
      <c r="H38" s="195"/>
      <c r="I38" s="195"/>
      <c r="J38" s="195"/>
      <c r="K38" s="185"/>
      <c r="L38" s="186"/>
      <c r="M38" s="195"/>
      <c r="N38" s="195"/>
      <c r="O38" s="195"/>
      <c r="P38" s="195"/>
      <c r="Q38" s="195"/>
    </row>
    <row r="39" ht="15.0" customHeight="1">
      <c r="A39" s="198" t="str">
        <f>skilltree_1_3_1_label_pointsAssigned</f>
        <v>(0 / 0)</v>
      </c>
      <c r="B39" s="199" t="str">
        <f>skilltree_1_3_1_label</f>
        <v>Finesse</v>
      </c>
      <c r="C39" s="97"/>
      <c r="D39" s="117"/>
      <c r="E39" s="200"/>
      <c r="F39" s="201"/>
      <c r="G39" s="202" t="str">
        <f>skilltree_2_3_1_label_pointsAssigned</f>
        <v>(0 / 0)</v>
      </c>
      <c r="H39" s="203" t="str">
        <f>skilltree_2_3_1_label</f>
        <v>Persuasion</v>
      </c>
      <c r="I39" s="97"/>
      <c r="J39" s="117"/>
      <c r="K39" s="200"/>
      <c r="L39" s="201"/>
      <c r="M39" s="161" t="str">
        <f>skilltree_3_3_1_label_pointsAssigned</f>
        <v>(0 / 0)</v>
      </c>
      <c r="N39" s="160" t="str">
        <f>skilltree_3_3_1_label</f>
        <v>Jinxes</v>
      </c>
      <c r="O39" s="97"/>
      <c r="P39" s="97"/>
      <c r="Q39" s="117"/>
    </row>
    <row r="40" ht="15.0" customHeight="1">
      <c r="A40" s="181">
        <v>0.0</v>
      </c>
      <c r="B40" s="182">
        <v>0.0</v>
      </c>
      <c r="C40" s="183">
        <f>4*(skilltree_1_3_1_1_points+skilltree_1_3_1_1_bonusPoints)+skilltree_1_3_1_percentage</f>
        <v>0</v>
      </c>
      <c r="D40" s="184"/>
      <c r="E40" s="185"/>
      <c r="F40" s="186"/>
      <c r="G40" s="181">
        <v>0.0</v>
      </c>
      <c r="H40" s="182">
        <v>0.0</v>
      </c>
      <c r="I40" s="183">
        <f>4*(skilltree_2_3_1_1_points+skilltree_2_3_1_1_bonusPoints)+skilltree_2_3_1_percentage</f>
        <v>0</v>
      </c>
      <c r="J40" s="184"/>
      <c r="K40" s="185"/>
      <c r="L40" s="186"/>
      <c r="M40" s="181">
        <v>0.0</v>
      </c>
      <c r="N40" s="182">
        <v>0.0</v>
      </c>
      <c r="O40" s="183">
        <f>4*(skilltree_3_3_1_1_points+skilltree_3_3_1_1_bonusPoints)+skilltree_3_3_1_percentage</f>
        <v>0</v>
      </c>
      <c r="P40" s="187"/>
      <c r="Q40" s="188"/>
    </row>
    <row r="41" ht="15.0" customHeight="1">
      <c r="A41" s="189">
        <v>0.0</v>
      </c>
      <c r="B41" s="190">
        <v>0.0</v>
      </c>
      <c r="C41" s="183">
        <f>4*(skilltree_1_3_1_2_points+skilltree_1_3_1_2_bonusPoints)+skilltree_1_3_1_percentage</f>
        <v>0</v>
      </c>
      <c r="D41" s="191"/>
      <c r="E41" s="185"/>
      <c r="F41" s="186"/>
      <c r="G41" s="189">
        <v>0.0</v>
      </c>
      <c r="H41" s="190">
        <v>0.0</v>
      </c>
      <c r="I41" s="183">
        <f>4*(skilltree_2_3_1_2_points+skilltree_2_3_1_2_bonusPoints)+skilltree_2_3_1_percentage</f>
        <v>0</v>
      </c>
      <c r="J41" s="191"/>
      <c r="K41" s="185"/>
      <c r="L41" s="186"/>
      <c r="M41" s="189">
        <v>0.0</v>
      </c>
      <c r="N41" s="190">
        <v>0.0</v>
      </c>
      <c r="O41" s="183">
        <f>4*(skilltree_3_3_1_2_points+skilltree_3_3_1_2_bonusPoints)+skilltree_3_3_1_percentage</f>
        <v>0</v>
      </c>
      <c r="P41" s="192"/>
      <c r="Q41" s="16"/>
    </row>
    <row r="42" ht="15.0" customHeight="1">
      <c r="A42" s="189">
        <v>0.0</v>
      </c>
      <c r="B42" s="190">
        <v>0.0</v>
      </c>
      <c r="C42" s="183">
        <f>4*(skilltree_1_3_1_3_points+skilltree_1_3_1_3_bonusPoints)+skilltree_1_3_1_percentage</f>
        <v>0</v>
      </c>
      <c r="D42" s="191"/>
      <c r="E42" s="185"/>
      <c r="F42" s="186"/>
      <c r="G42" s="189">
        <v>0.0</v>
      </c>
      <c r="H42" s="190">
        <v>0.0</v>
      </c>
      <c r="I42" s="183">
        <f>4*(skilltree_2_3_1_3_points+skilltree_2_3_1_3_bonusPoints)+skilltree_2_3_1_percentage</f>
        <v>0</v>
      </c>
      <c r="J42" s="191"/>
      <c r="K42" s="185"/>
      <c r="L42" s="186"/>
      <c r="M42" s="189">
        <v>0.0</v>
      </c>
      <c r="N42" s="190">
        <v>0.0</v>
      </c>
      <c r="O42" s="183">
        <f>4*(skilltree_3_3_1_3_points+skilltree_3_3_1_3_bonusPoints)+skilltree_3_3_1_percentage</f>
        <v>0</v>
      </c>
      <c r="P42" s="192"/>
      <c r="Q42" s="16"/>
    </row>
    <row r="43" ht="7.5" customHeight="1">
      <c r="A43" s="166"/>
      <c r="B43" s="166"/>
      <c r="C43" s="166"/>
      <c r="D43" s="166"/>
      <c r="E43" s="204"/>
      <c r="F43" s="205"/>
      <c r="G43" s="166"/>
      <c r="H43" s="166"/>
      <c r="I43" s="166"/>
      <c r="J43" s="166"/>
      <c r="K43" s="204"/>
      <c r="L43" s="205"/>
      <c r="M43" s="166"/>
      <c r="N43" s="166"/>
      <c r="O43" s="166"/>
      <c r="P43" s="166"/>
      <c r="Q43" s="166"/>
    </row>
    <row r="44" ht="15.0" customHeight="1">
      <c r="A44" s="198" t="str">
        <f>skilltree_1_3_2_label_pointsAssigned</f>
        <v>(0 / 0)</v>
      </c>
      <c r="B44" s="199" t="str">
        <f>skilltree_1_3_2_label</f>
        <v>Dexterity</v>
      </c>
      <c r="C44" s="97"/>
      <c r="D44" s="117"/>
      <c r="E44" s="200"/>
      <c r="F44" s="201"/>
      <c r="G44" s="202" t="str">
        <f>skilltree_2_3_2_label_pointsAssigned</f>
        <v>(0 / 0)</v>
      </c>
      <c r="H44" s="203" t="str">
        <f>skilltree_2_3_2_label</f>
        <v>Deception</v>
      </c>
      <c r="I44" s="97"/>
      <c r="J44" s="117"/>
      <c r="K44" s="200"/>
      <c r="L44" s="201"/>
      <c r="M44" s="161" t="str">
        <f>skilltree_3_3_2_label_pointsAssigned</f>
        <v>(0 / 0)</v>
      </c>
      <c r="N44" s="160" t="str">
        <f>skilltree_3_3_2_label</f>
        <v>Possession</v>
      </c>
      <c r="O44" s="97"/>
      <c r="P44" s="97"/>
      <c r="Q44" s="117"/>
    </row>
    <row r="45" ht="15.0" customHeight="1">
      <c r="A45" s="181">
        <v>0.0</v>
      </c>
      <c r="B45" s="182">
        <v>0.0</v>
      </c>
      <c r="C45" s="183">
        <f>4*(skilltree_1_3_2_1_points+skilltree_1_3_2_1_bonusPoints)+skilltree_1_3_2_percentage</f>
        <v>0</v>
      </c>
      <c r="D45" s="184"/>
      <c r="E45" s="185"/>
      <c r="F45" s="186"/>
      <c r="G45" s="181">
        <v>0.0</v>
      </c>
      <c r="H45" s="182">
        <v>0.0</v>
      </c>
      <c r="I45" s="183">
        <f>4*(skilltree_2_3_2_1_points+skilltree_2_3_2_1_bonusPoints)+skilltree_2_3_2_percentage</f>
        <v>0</v>
      </c>
      <c r="J45" s="184"/>
      <c r="K45" s="185"/>
      <c r="L45" s="186"/>
      <c r="M45" s="181">
        <v>0.0</v>
      </c>
      <c r="N45" s="182">
        <v>0.0</v>
      </c>
      <c r="O45" s="183">
        <f>4*(skilltree_3_3_2_1_points+skilltree_3_3_2_1_bonusPoints)+skilltree_3_3_2_percentage</f>
        <v>0</v>
      </c>
      <c r="P45" s="187"/>
      <c r="Q45" s="188"/>
    </row>
    <row r="46" ht="15.0" customHeight="1">
      <c r="A46" s="189">
        <v>0.0</v>
      </c>
      <c r="B46" s="190">
        <v>0.0</v>
      </c>
      <c r="C46" s="183">
        <f>4*(skilltree_1_3_2_2_points+skilltree_1_3_2_2_bonusPoints)+skilltree_1_3_2_percentage</f>
        <v>0</v>
      </c>
      <c r="D46" s="191"/>
      <c r="E46" s="185"/>
      <c r="F46" s="186"/>
      <c r="G46" s="189">
        <v>0.0</v>
      </c>
      <c r="H46" s="190">
        <v>0.0</v>
      </c>
      <c r="I46" s="183">
        <f>4*(skilltree_2_3_2_2_points+skilltree_2_3_2_2_bonusPoints)+skilltree_2_3_2_percentage</f>
        <v>0</v>
      </c>
      <c r="J46" s="191"/>
      <c r="K46" s="185"/>
      <c r="L46" s="186"/>
      <c r="M46" s="189">
        <v>0.0</v>
      </c>
      <c r="N46" s="190">
        <v>0.0</v>
      </c>
      <c r="O46" s="183">
        <f>4*(skilltree_3_3_2_2_points+skilltree_3_3_2_2_bonusPoints)+skilltree_3_3_2_percentage</f>
        <v>0</v>
      </c>
      <c r="P46" s="192"/>
      <c r="Q46" s="16"/>
    </row>
    <row r="47" ht="15.0" customHeight="1">
      <c r="A47" s="189">
        <v>0.0</v>
      </c>
      <c r="B47" s="190">
        <v>0.0</v>
      </c>
      <c r="C47" s="183">
        <f>4*(skilltree_1_3_2_3_points+skilltree_1_3_2_3_bonusPoints)+skilltree_1_3_2_percentage</f>
        <v>0</v>
      </c>
      <c r="D47" s="191"/>
      <c r="E47" s="185"/>
      <c r="F47" s="186"/>
      <c r="G47" s="189">
        <v>0.0</v>
      </c>
      <c r="H47" s="190">
        <v>0.0</v>
      </c>
      <c r="I47" s="183">
        <f>4*(skilltree_2_3_2_3_points+skilltree_2_3_2_3_bonusPoints)+skilltree_2_3_2_percentage</f>
        <v>0</v>
      </c>
      <c r="J47" s="191"/>
      <c r="K47" s="185"/>
      <c r="L47" s="186"/>
      <c r="M47" s="189">
        <v>0.0</v>
      </c>
      <c r="N47" s="190">
        <v>0.0</v>
      </c>
      <c r="O47" s="183">
        <f>4*(skilltree_3_3_2_3_points+skilltree_3_3_2_3_bonusPoints)+skilltree_3_3_2_percentage</f>
        <v>0</v>
      </c>
      <c r="P47" s="192"/>
      <c r="Q47" s="16"/>
    </row>
    <row r="48" ht="7.5" customHeight="1">
      <c r="A48" s="166"/>
      <c r="B48" s="166"/>
      <c r="C48" s="166"/>
      <c r="D48" s="166"/>
      <c r="E48" s="204"/>
      <c r="F48" s="205"/>
      <c r="G48" s="166"/>
      <c r="H48" s="166"/>
      <c r="I48" s="166"/>
      <c r="J48" s="166"/>
      <c r="K48" s="204"/>
      <c r="L48" s="205"/>
      <c r="M48" s="166"/>
      <c r="N48" s="166"/>
      <c r="O48" s="166"/>
      <c r="P48" s="166"/>
      <c r="Q48" s="166"/>
    </row>
    <row r="49" ht="15.0" customHeight="1">
      <c r="A49" s="198" t="str">
        <f>skilltree_1_3_3_label_pointsAssigned</f>
        <v>(0 / 0)</v>
      </c>
      <c r="B49" s="199" t="str">
        <f>skilltree_1_3_3_label</f>
        <v>Stealth</v>
      </c>
      <c r="C49" s="97"/>
      <c r="D49" s="117"/>
      <c r="E49" s="200"/>
      <c r="F49" s="201"/>
      <c r="G49" s="202" t="str">
        <f>skilltree_2_3_3_label_pointsAssigned</f>
        <v>(0 / 0)</v>
      </c>
      <c r="H49" s="203" t="str">
        <f>skilltree_2_3_3_label</f>
        <v>Intimidation</v>
      </c>
      <c r="I49" s="97"/>
      <c r="J49" s="117"/>
      <c r="K49" s="200"/>
      <c r="L49" s="201"/>
      <c r="M49" s="161" t="str">
        <f>skilltree_3_3_3_label_pointsAssigned</f>
        <v>(0 / 0)</v>
      </c>
      <c r="N49" s="160" t="str">
        <f>skilltree_3_3_3_label</f>
        <v>Restoration</v>
      </c>
      <c r="O49" s="97"/>
      <c r="P49" s="97"/>
      <c r="Q49" s="117"/>
    </row>
    <row r="50" ht="15.0" customHeight="1">
      <c r="A50" s="181">
        <v>0.0</v>
      </c>
      <c r="B50" s="182">
        <v>0.0</v>
      </c>
      <c r="C50" s="183">
        <f>4*(skilltree_1_3_3_1_points+skilltree_1_3_3_1_bonusPoints)+skilltree_1_3_3_percentage</f>
        <v>0</v>
      </c>
      <c r="D50" s="184"/>
      <c r="E50" s="185"/>
      <c r="F50" s="186"/>
      <c r="G50" s="181">
        <v>0.0</v>
      </c>
      <c r="H50" s="182">
        <v>0.0</v>
      </c>
      <c r="I50" s="183">
        <f>4*(skilltree_2_3_3_1_points+skilltree_2_3_3_1_bonusPoints)+skilltree_2_3_3_percentage</f>
        <v>0</v>
      </c>
      <c r="J50" s="184"/>
      <c r="K50" s="185"/>
      <c r="L50" s="186"/>
      <c r="M50" s="181">
        <v>0.0</v>
      </c>
      <c r="N50" s="182">
        <v>0.0</v>
      </c>
      <c r="O50" s="183">
        <f>4*(skilltree_3_3_3_1_points+skilltree_3_3_3_1_bonusPoints)+skilltree_3_3_3_percentage</f>
        <v>0</v>
      </c>
      <c r="P50" s="187"/>
      <c r="Q50" s="188"/>
    </row>
    <row r="51" ht="15.0" customHeight="1">
      <c r="A51" s="189">
        <v>0.0</v>
      </c>
      <c r="B51" s="190">
        <v>0.0</v>
      </c>
      <c r="C51" s="183">
        <f>4*(skilltree_1_3_3_2_points+skilltree_1_3_3_2_bonusPoints)+skilltree_1_3_3_percentage</f>
        <v>0</v>
      </c>
      <c r="D51" s="191"/>
      <c r="E51" s="185"/>
      <c r="F51" s="186"/>
      <c r="G51" s="189">
        <v>0.0</v>
      </c>
      <c r="H51" s="190">
        <v>0.0</v>
      </c>
      <c r="I51" s="183">
        <f>4*(skilltree_2_3_3_2_points+skilltree_2_3_3_2_bonusPoints)+skilltree_2_3_3_percentage</f>
        <v>0</v>
      </c>
      <c r="J51" s="191"/>
      <c r="K51" s="185"/>
      <c r="L51" s="186"/>
      <c r="M51" s="189">
        <v>0.0</v>
      </c>
      <c r="N51" s="190">
        <v>0.0</v>
      </c>
      <c r="O51" s="183">
        <f>4*(skilltree_3_3_3_2_points+skilltree_3_3_3_2_bonusPoints)+skilltree_3_3_3_percentage</f>
        <v>0</v>
      </c>
      <c r="P51" s="192"/>
      <c r="Q51" s="16"/>
    </row>
    <row r="52" ht="15.0" customHeight="1">
      <c r="A52" s="189">
        <v>0.0</v>
      </c>
      <c r="B52" s="190">
        <v>0.0</v>
      </c>
      <c r="C52" s="183">
        <f>4*(skilltree_1_3_3_3_points+skilltree_1_3_3_3_bonusPoints)+skilltree_1_3_3_percentage</f>
        <v>0</v>
      </c>
      <c r="D52" s="191"/>
      <c r="E52" s="185"/>
      <c r="F52" s="186"/>
      <c r="G52" s="189">
        <v>0.0</v>
      </c>
      <c r="H52" s="190">
        <v>0.0</v>
      </c>
      <c r="I52" s="183">
        <f>4*(skilltree_2_3_3_3_points+skilltree_2_3_3_3_bonusPoints)+skilltree_2_3_3_percentage</f>
        <v>0</v>
      </c>
      <c r="J52" s="191"/>
      <c r="K52" s="185"/>
      <c r="L52" s="186"/>
      <c r="M52" s="189">
        <v>0.0</v>
      </c>
      <c r="N52" s="190">
        <v>0.0</v>
      </c>
      <c r="O52" s="183">
        <f>4*(skilltree_3_3_3_3_points+skilltree_3_3_3_3_bonusPoints)+skilltree_3_3_3_percentage</f>
        <v>0</v>
      </c>
      <c r="P52" s="192"/>
      <c r="Q52" s="16"/>
    </row>
    <row r="53" ht="30.0" customHeight="1">
      <c r="A53" s="171" t="str">
        <f>systemData_copyrightMessage</f>
        <v>Fractal RPG v0.5.0.0 (Squishy Meatloaf | Pantsless Robot) 2019 - 202X SparkliTwizzl
Licensed under CC BY-NC-SA 4.0</v>
      </c>
      <c r="Q53" s="171"/>
    </row>
  </sheetData>
  <mergeCells count="67">
    <mergeCell ref="H29:J29"/>
    <mergeCell ref="N29:Q29"/>
    <mergeCell ref="P30:Q30"/>
    <mergeCell ref="P31:Q31"/>
    <mergeCell ref="P32:Q32"/>
    <mergeCell ref="H34:J34"/>
    <mergeCell ref="N34:Q34"/>
    <mergeCell ref="P35:Q35"/>
    <mergeCell ref="P36:Q36"/>
    <mergeCell ref="P37:Q37"/>
    <mergeCell ref="N39:Q39"/>
    <mergeCell ref="P40:Q40"/>
    <mergeCell ref="P41:Q41"/>
    <mergeCell ref="P42:Q42"/>
    <mergeCell ref="A1:B2"/>
    <mergeCell ref="D1:P1"/>
    <mergeCell ref="G2:J2"/>
    <mergeCell ref="G3:H3"/>
    <mergeCell ref="I3:J3"/>
    <mergeCell ref="G4:H4"/>
    <mergeCell ref="I4:J4"/>
    <mergeCell ref="E5:F5"/>
    <mergeCell ref="G5:J5"/>
    <mergeCell ref="A7:D7"/>
    <mergeCell ref="G7:J7"/>
    <mergeCell ref="M7:Q7"/>
    <mergeCell ref="B9:D9"/>
    <mergeCell ref="H9:J9"/>
    <mergeCell ref="N9:Q9"/>
    <mergeCell ref="P10:Q10"/>
    <mergeCell ref="P11:Q11"/>
    <mergeCell ref="P12:Q12"/>
    <mergeCell ref="B14:D14"/>
    <mergeCell ref="H14:J14"/>
    <mergeCell ref="N14:Q14"/>
    <mergeCell ref="P15:Q15"/>
    <mergeCell ref="P16:Q16"/>
    <mergeCell ref="P17:Q17"/>
    <mergeCell ref="B19:D19"/>
    <mergeCell ref="H19:J19"/>
    <mergeCell ref="N19:Q19"/>
    <mergeCell ref="P20:Q20"/>
    <mergeCell ref="B24:D24"/>
    <mergeCell ref="B29:D29"/>
    <mergeCell ref="B34:D34"/>
    <mergeCell ref="B39:D39"/>
    <mergeCell ref="B44:D44"/>
    <mergeCell ref="B49:D49"/>
    <mergeCell ref="P21:Q21"/>
    <mergeCell ref="P22:Q22"/>
    <mergeCell ref="H24:J24"/>
    <mergeCell ref="N24:Q24"/>
    <mergeCell ref="P25:Q25"/>
    <mergeCell ref="P26:Q26"/>
    <mergeCell ref="P27:Q27"/>
    <mergeCell ref="N49:Q49"/>
    <mergeCell ref="P50:Q50"/>
    <mergeCell ref="P51:Q51"/>
    <mergeCell ref="P52:Q52"/>
    <mergeCell ref="A53:P53"/>
    <mergeCell ref="H39:J39"/>
    <mergeCell ref="H44:J44"/>
    <mergeCell ref="N44:Q44"/>
    <mergeCell ref="P45:Q45"/>
    <mergeCell ref="P46:Q46"/>
    <mergeCell ref="P47:Q47"/>
    <mergeCell ref="H49:J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5"/>
    <col customWidth="1" min="2" max="2" width="7.63"/>
    <col customWidth="1" min="3" max="3" width="17.0"/>
    <col customWidth="1" min="4" max="17" width="7.0"/>
    <col customWidth="1" min="18" max="18" width="12.63"/>
    <col customWidth="1" min="19" max="19" width="40.13"/>
  </cols>
  <sheetData>
    <row r="1">
      <c r="A1" s="1">
        <f t="shared" ref="A1:S1" si="1">GetColumnWidth(COLUMN((A3)))</f>
        <v>115</v>
      </c>
      <c r="B1" s="1">
        <f t="shared" si="1"/>
        <v>60</v>
      </c>
      <c r="C1" s="1">
        <f t="shared" si="1"/>
        <v>135</v>
      </c>
      <c r="D1" s="1">
        <f t="shared" si="1"/>
        <v>55</v>
      </c>
      <c r="E1" s="1">
        <f t="shared" si="1"/>
        <v>55</v>
      </c>
      <c r="F1" s="1">
        <f t="shared" si="1"/>
        <v>55</v>
      </c>
      <c r="G1" s="1">
        <f t="shared" si="1"/>
        <v>55</v>
      </c>
      <c r="H1" s="1">
        <f t="shared" si="1"/>
        <v>55</v>
      </c>
      <c r="I1" s="1">
        <f t="shared" si="1"/>
        <v>55</v>
      </c>
      <c r="J1" s="1">
        <f t="shared" si="1"/>
        <v>55</v>
      </c>
      <c r="K1" s="1">
        <f t="shared" si="1"/>
        <v>55</v>
      </c>
      <c r="L1" s="1">
        <f t="shared" si="1"/>
        <v>55</v>
      </c>
      <c r="M1" s="1">
        <f t="shared" si="1"/>
        <v>55</v>
      </c>
      <c r="N1" s="1">
        <f t="shared" si="1"/>
        <v>55</v>
      </c>
      <c r="O1" s="1">
        <f t="shared" si="1"/>
        <v>55</v>
      </c>
      <c r="P1" s="1">
        <f t="shared" si="1"/>
        <v>55</v>
      </c>
      <c r="Q1" s="1">
        <f t="shared" si="1"/>
        <v>55</v>
      </c>
      <c r="R1" s="1">
        <f t="shared" si="1"/>
        <v>100</v>
      </c>
      <c r="S1" s="1">
        <f t="shared" si="1"/>
        <v>320</v>
      </c>
    </row>
    <row r="2">
      <c r="A2" s="1"/>
      <c r="B2" s="1"/>
      <c r="C2" s="1"/>
      <c r="D2" s="1"/>
      <c r="E2" s="1"/>
      <c r="F2" s="1"/>
      <c r="G2" s="1"/>
      <c r="H2" s="1"/>
      <c r="I2" s="1"/>
      <c r="J2" s="206">
        <f>K2-L2</f>
        <v>0</v>
      </c>
      <c r="K2" s="206">
        <f>SUM(A1:K1)</f>
        <v>750</v>
      </c>
      <c r="L2" s="206">
        <f>SUM(L1:S1)</f>
        <v>750</v>
      </c>
      <c r="M2" s="206">
        <f>-J2</f>
        <v>0</v>
      </c>
      <c r="N2" s="1"/>
      <c r="O2" s="1"/>
      <c r="P2" s="1"/>
      <c r="Q2" s="1"/>
      <c r="R2" s="1"/>
      <c r="S2" s="1"/>
    </row>
    <row r="3" ht="22.5" customHeight="1">
      <c r="A3" s="2" t="str">
        <f>systemData_systemLogo</f>
        <v/>
      </c>
      <c r="B3" s="2"/>
      <c r="C3" s="2"/>
      <c r="D3" s="2" t="str">
        <f>systemData_versionTitle</f>
        <v>Fractal RPG v0.5.0.0 (Pantsless Robot)</v>
      </c>
      <c r="S3" s="2"/>
    </row>
    <row r="4" ht="45.0" customHeight="1">
      <c r="B4" s="3"/>
      <c r="C4" s="3"/>
      <c r="D4" s="3" t="s">
        <v>0</v>
      </c>
      <c r="S4" s="3"/>
    </row>
    <row r="5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5" t="s">
        <v>1</v>
      </c>
      <c r="B6" s="207"/>
      <c r="C6" s="7"/>
      <c r="D6" s="7"/>
      <c r="E6" s="7"/>
      <c r="F6" s="7"/>
      <c r="G6" s="7"/>
      <c r="H6" s="7"/>
      <c r="I6" s="7"/>
      <c r="J6" s="16"/>
      <c r="K6" s="9"/>
      <c r="L6" s="10" t="s">
        <v>2</v>
      </c>
      <c r="M6" s="11"/>
      <c r="N6" s="11"/>
      <c r="O6" s="11"/>
      <c r="P6" s="11"/>
      <c r="Q6" s="11"/>
      <c r="R6" s="11"/>
      <c r="S6" s="12"/>
    </row>
    <row r="7">
      <c r="A7" s="5" t="s">
        <v>3</v>
      </c>
      <c r="B7" s="207"/>
      <c r="C7" s="7"/>
      <c r="D7" s="7"/>
      <c r="E7" s="7"/>
      <c r="F7" s="7"/>
      <c r="G7" s="7"/>
      <c r="H7" s="7"/>
      <c r="I7" s="7"/>
      <c r="J7" s="16"/>
      <c r="K7" s="9"/>
      <c r="L7" s="208"/>
      <c r="S7" s="14"/>
    </row>
    <row r="8">
      <c r="A8" s="5" t="s">
        <v>4</v>
      </c>
      <c r="B8" s="207"/>
      <c r="C8" s="7"/>
      <c r="D8" s="7"/>
      <c r="E8" s="7"/>
      <c r="F8" s="7"/>
      <c r="G8" s="7"/>
      <c r="H8" s="7"/>
      <c r="I8" s="7"/>
      <c r="J8" s="16"/>
      <c r="K8" s="9"/>
      <c r="L8" s="15"/>
      <c r="S8" s="14"/>
    </row>
    <row r="9">
      <c r="A9" s="5" t="s">
        <v>5</v>
      </c>
      <c r="B9" s="207"/>
      <c r="C9" s="7"/>
      <c r="D9" s="7"/>
      <c r="E9" s="7"/>
      <c r="F9" s="7"/>
      <c r="G9" s="7"/>
      <c r="H9" s="7"/>
      <c r="I9" s="7"/>
      <c r="J9" s="16"/>
      <c r="K9" s="9"/>
      <c r="L9" s="15"/>
      <c r="S9" s="14"/>
    </row>
    <row r="10">
      <c r="A10" s="5" t="s">
        <v>6</v>
      </c>
      <c r="B10" s="207"/>
      <c r="C10" s="7"/>
      <c r="D10" s="7"/>
      <c r="E10" s="7"/>
      <c r="F10" s="7"/>
      <c r="G10" s="7"/>
      <c r="H10" s="7"/>
      <c r="I10" s="7"/>
      <c r="J10" s="16"/>
      <c r="K10" s="9"/>
      <c r="L10" s="15"/>
      <c r="S10" s="14"/>
    </row>
    <row r="11">
      <c r="A11" s="5" t="s">
        <v>7</v>
      </c>
      <c r="B11" s="207"/>
      <c r="C11" s="7"/>
      <c r="D11" s="7"/>
      <c r="E11" s="7"/>
      <c r="F11" s="7"/>
      <c r="G11" s="7"/>
      <c r="H11" s="7"/>
      <c r="I11" s="7"/>
      <c r="J11" s="16"/>
      <c r="K11" s="9"/>
      <c r="L11" s="15"/>
      <c r="S11" s="14"/>
    </row>
    <row r="12">
      <c r="A12" s="5" t="s">
        <v>8</v>
      </c>
      <c r="B12" s="207"/>
      <c r="C12" s="7"/>
      <c r="D12" s="7"/>
      <c r="E12" s="7"/>
      <c r="F12" s="7"/>
      <c r="G12" s="7"/>
      <c r="H12" s="7"/>
      <c r="I12" s="7"/>
      <c r="J12" s="16"/>
      <c r="K12" s="9"/>
      <c r="L12" s="15"/>
      <c r="S12" s="14"/>
    </row>
    <row r="13">
      <c r="A13" s="5" t="s">
        <v>9</v>
      </c>
      <c r="B13" s="207"/>
      <c r="C13" s="7"/>
      <c r="D13" s="7"/>
      <c r="E13" s="7"/>
      <c r="F13" s="7"/>
      <c r="G13" s="7"/>
      <c r="H13" s="7"/>
      <c r="I13" s="7"/>
      <c r="J13" s="16"/>
      <c r="K13" s="9"/>
      <c r="L13" s="15"/>
      <c r="S13" s="14"/>
    </row>
    <row r="14">
      <c r="A14" s="5" t="s">
        <v>10</v>
      </c>
      <c r="B14" s="209"/>
      <c r="C14" s="7"/>
      <c r="D14" s="7"/>
      <c r="E14" s="7"/>
      <c r="F14" s="7"/>
      <c r="G14" s="7"/>
      <c r="H14" s="7"/>
      <c r="I14" s="7"/>
      <c r="J14" s="16"/>
      <c r="K14" s="17"/>
      <c r="L14" s="15"/>
      <c r="S14" s="14"/>
    </row>
    <row r="15" ht="30.0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S15" s="14"/>
    </row>
    <row r="16">
      <c r="A16" s="19"/>
      <c r="B16" s="19"/>
      <c r="C16" s="19"/>
      <c r="D16" s="210" t="str">
        <f>PROPER(stat_blanketTerm_resource)&amp;"s"</f>
        <v>Vitals</v>
      </c>
      <c r="E16" s="12"/>
      <c r="F16" s="211"/>
      <c r="G16" s="211"/>
      <c r="H16" s="10" t="s">
        <v>11</v>
      </c>
      <c r="I16" s="12"/>
      <c r="J16" s="17"/>
      <c r="K16" s="17"/>
      <c r="L16" s="15"/>
      <c r="S16" s="14"/>
    </row>
    <row r="17">
      <c r="A17" s="19"/>
      <c r="B17" s="19"/>
      <c r="C17" s="19"/>
      <c r="D17" s="20" t="s">
        <v>12</v>
      </c>
      <c r="E17" s="20" t="s">
        <v>13</v>
      </c>
      <c r="F17" s="17"/>
      <c r="G17" s="4"/>
      <c r="H17" s="20" t="s">
        <v>14</v>
      </c>
      <c r="I17" s="20" t="s">
        <v>15</v>
      </c>
      <c r="J17" s="17"/>
      <c r="K17" s="17"/>
      <c r="L17" s="15"/>
      <c r="S17" s="14"/>
    </row>
    <row r="18">
      <c r="A18" s="19"/>
      <c r="B18" s="4"/>
      <c r="C18" s="5" t="str">
        <f>PROPER(stat_resource_physical)&amp;" Points ("&amp;UPPER(LEFT(stat_resource_physical,1))&amp;"P)"</f>
        <v>Health Points (HP)</v>
      </c>
      <c r="D18" s="212"/>
      <c r="E18" s="213"/>
      <c r="F18" s="23"/>
      <c r="G18" s="5" t="str">
        <f>PROPER(stat_scale_physical_size)</f>
        <v>Size</v>
      </c>
      <c r="H18" s="24"/>
      <c r="I18" s="25"/>
      <c r="J18" s="23"/>
      <c r="K18" s="23"/>
      <c r="L18" s="15"/>
      <c r="S18" s="14"/>
    </row>
    <row r="19">
      <c r="A19" s="19"/>
      <c r="B19" s="4"/>
      <c r="C19" s="5" t="str">
        <f>PROPER(stat_resource_mental)&amp;" Points ("&amp;UPPER(LEFT(stat_resource_mental,1))&amp;"P)"</f>
        <v>Sanity Points (SP)</v>
      </c>
      <c r="D19" s="212"/>
      <c r="E19" s="214"/>
      <c r="F19" s="23"/>
      <c r="G19" s="5" t="str">
        <f>PROPER(stat_scale_physical_mass)</f>
        <v>Mass</v>
      </c>
      <c r="H19" s="27"/>
      <c r="I19" s="28"/>
      <c r="J19" s="23"/>
      <c r="K19" s="23"/>
      <c r="L19" s="15"/>
      <c r="S19" s="14"/>
    </row>
    <row r="20">
      <c r="A20" s="19"/>
      <c r="B20" s="4"/>
      <c r="C20" s="5" t="str">
        <f>PROPER(stat_resource_spiritual)&amp;" Points ("&amp;UPPER(LEFT(stat_resource_spiritual,1))&amp;"P)"</f>
        <v>Essence Points (EP)</v>
      </c>
      <c r="D20" s="215"/>
      <c r="E20" s="214"/>
      <c r="F20" s="23"/>
      <c r="G20" s="5" t="str">
        <f>PROPER(stat_scale_physical_strength)</f>
        <v>Brawn</v>
      </c>
      <c r="H20" s="27"/>
      <c r="I20" s="28"/>
      <c r="J20" s="23"/>
      <c r="K20" s="23"/>
      <c r="L20" s="15"/>
      <c r="S20" s="14"/>
    </row>
    <row r="21">
      <c r="A21" s="19"/>
      <c r="B21" s="4"/>
      <c r="C21" s="5" t="str">
        <f>PROPER(stat_resource_consciousness)&amp;" Points ("&amp;UPPER(LEFT(stat_resource_consciousness,1))&amp;"P)"</f>
        <v>Cognizance Points (CP)</v>
      </c>
      <c r="D21" s="215"/>
      <c r="E21" s="214"/>
      <c r="F21" s="23"/>
      <c r="G21" s="5" t="str">
        <f>PROPER(stat_scale_mental)</f>
        <v>Wit</v>
      </c>
      <c r="H21" s="27"/>
      <c r="I21" s="17"/>
      <c r="J21" s="17"/>
      <c r="K21" s="23"/>
      <c r="L21" s="15"/>
      <c r="S21" s="14"/>
    </row>
    <row r="22">
      <c r="A22" s="19"/>
      <c r="B22" s="4"/>
      <c r="C22" s="5" t="str">
        <f>PROPER(stat_defense_physical)&amp;" Points ("&amp;UPPER(LEFT(stat_defense_physical,1))&amp;"P)"</f>
        <v>Barrier Points (BP)</v>
      </c>
      <c r="D22" s="212"/>
      <c r="E22" s="28"/>
      <c r="F22" s="17"/>
      <c r="G22" s="5" t="str">
        <f>PROPER(stat_scale_spiritual)</f>
        <v>Prowess</v>
      </c>
      <c r="H22" s="27"/>
      <c r="I22" s="17"/>
      <c r="J22" s="17"/>
      <c r="K22" s="17"/>
      <c r="L22" s="15"/>
      <c r="S22" s="14"/>
    </row>
    <row r="23">
      <c r="A23" s="19"/>
      <c r="B23" s="4"/>
      <c r="C23" s="5" t="str">
        <f>PROPER(stat_defense_mental)&amp;" Points ("&amp;UPPER(LEFT(stat_defense_mental,1))&amp;"P)"</f>
        <v>Resistance Points (RP)</v>
      </c>
      <c r="D23" s="212"/>
      <c r="E23" s="28"/>
      <c r="F23" s="17"/>
      <c r="G23" s="17"/>
      <c r="H23" s="17"/>
      <c r="I23" s="17"/>
      <c r="J23" s="17"/>
      <c r="K23" s="17"/>
      <c r="L23" s="15"/>
      <c r="S23" s="14"/>
    </row>
    <row r="24">
      <c r="A24" s="19"/>
      <c r="B24" s="4"/>
      <c r="C24" s="5" t="str">
        <f>PROPER(stat_defense_spiritual)&amp;" Points ("&amp;UPPER(LEFT(stat_defense_spiritual,1))&amp;"P)"</f>
        <v>Warding Points (WP)</v>
      </c>
      <c r="D24" s="216"/>
      <c r="E24" s="28"/>
      <c r="F24" s="17"/>
      <c r="G24" s="17"/>
      <c r="H24" s="17"/>
      <c r="I24" s="17"/>
      <c r="J24" s="17"/>
      <c r="K24" s="17"/>
      <c r="L24" s="30"/>
      <c r="M24" s="31"/>
      <c r="N24" s="31"/>
      <c r="O24" s="31"/>
      <c r="P24" s="31"/>
      <c r="Q24" s="31"/>
      <c r="R24" s="31"/>
      <c r="S24" s="32"/>
    </row>
    <row r="25" ht="30.0" customHeight="1">
      <c r="A25" s="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217" t="s">
        <v>16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35"/>
    </row>
    <row r="27">
      <c r="A27" s="37" t="s">
        <v>17</v>
      </c>
      <c r="B27" s="33" t="s">
        <v>18</v>
      </c>
      <c r="C27" s="37" t="s">
        <v>19</v>
      </c>
      <c r="D27" s="37" t="s">
        <v>20</v>
      </c>
      <c r="E27" s="37" t="s">
        <v>21</v>
      </c>
      <c r="F27" s="218" t="s">
        <v>22</v>
      </c>
      <c r="G27" s="35"/>
      <c r="H27" s="36" t="str">
        <f>PROPER(stat_blanketTerm_damage)&amp;" Points ("&amp;UPPER(LEFT(stat_blanketTerm_damage,1))&amp;"P)"</f>
        <v>Attack Points (AP)</v>
      </c>
      <c r="I27" s="11"/>
      <c r="J27" s="11"/>
      <c r="K27" s="11"/>
      <c r="L27" s="11"/>
      <c r="M27" s="11"/>
      <c r="N27" s="11"/>
      <c r="O27" s="12"/>
      <c r="P27" s="37" t="s">
        <v>23</v>
      </c>
      <c r="Q27" s="37" t="s">
        <v>9</v>
      </c>
      <c r="R27" s="37" t="s">
        <v>24</v>
      </c>
      <c r="S27" s="37" t="s">
        <v>2</v>
      </c>
    </row>
    <row r="28">
      <c r="A28" s="38"/>
      <c r="B28" s="38"/>
      <c r="C28" s="38"/>
      <c r="D28" s="38"/>
      <c r="E28" s="38"/>
      <c r="F28" s="39"/>
      <c r="G28" s="40"/>
      <c r="H28" s="41" t="s">
        <v>41</v>
      </c>
      <c r="I28" s="12"/>
      <c r="J28" s="41" t="s">
        <v>42</v>
      </c>
      <c r="K28" s="12"/>
      <c r="L28" s="41" t="s">
        <v>43</v>
      </c>
      <c r="M28" s="12"/>
      <c r="N28" s="41" t="s">
        <v>44</v>
      </c>
      <c r="O28" s="12"/>
      <c r="P28" s="38"/>
      <c r="Q28" s="38"/>
      <c r="R28" s="38"/>
      <c r="S28" s="38"/>
    </row>
    <row r="29">
      <c r="A29" s="42"/>
      <c r="B29" s="42"/>
      <c r="C29" s="42"/>
      <c r="D29" s="42"/>
      <c r="E29" s="42"/>
      <c r="F29" s="219" t="s">
        <v>12</v>
      </c>
      <c r="G29" s="219" t="s">
        <v>13</v>
      </c>
      <c r="H29" s="219" t="s">
        <v>12</v>
      </c>
      <c r="I29" s="219" t="s">
        <v>13</v>
      </c>
      <c r="J29" s="219" t="s">
        <v>12</v>
      </c>
      <c r="K29" s="219" t="s">
        <v>13</v>
      </c>
      <c r="L29" s="219" t="s">
        <v>12</v>
      </c>
      <c r="M29" s="219" t="s">
        <v>13</v>
      </c>
      <c r="N29" s="219" t="s">
        <v>12</v>
      </c>
      <c r="O29" s="219" t="s">
        <v>13</v>
      </c>
      <c r="P29" s="42"/>
      <c r="Q29" s="42"/>
      <c r="R29" s="42"/>
      <c r="S29" s="42"/>
    </row>
    <row r="30">
      <c r="A30" s="220"/>
      <c r="B30" s="221" t="b">
        <v>0</v>
      </c>
      <c r="C30" s="222"/>
      <c r="D30" s="222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4"/>
    </row>
    <row r="31">
      <c r="A31" s="225"/>
      <c r="B31" s="221" t="b">
        <v>0</v>
      </c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7"/>
    </row>
    <row r="32">
      <c r="A32" s="225"/>
      <c r="B32" s="221" t="b">
        <v>0</v>
      </c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7"/>
    </row>
    <row r="33">
      <c r="A33" s="225"/>
      <c r="B33" s="221" t="b">
        <v>0</v>
      </c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</row>
    <row r="34">
      <c r="A34" s="225"/>
      <c r="B34" s="221" t="b">
        <v>0</v>
      </c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7"/>
    </row>
    <row r="35">
      <c r="A35" s="225"/>
      <c r="B35" s="221" t="b">
        <v>0</v>
      </c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7"/>
    </row>
    <row r="36">
      <c r="A36" s="225"/>
      <c r="B36" s="221" t="b">
        <v>0</v>
      </c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7"/>
    </row>
    <row r="37">
      <c r="A37" s="225"/>
      <c r="B37" s="221" t="b">
        <v>0</v>
      </c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7"/>
    </row>
    <row r="38">
      <c r="A38" s="225"/>
      <c r="B38" s="221" t="b">
        <v>0</v>
      </c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7"/>
    </row>
    <row r="39">
      <c r="A39" s="228"/>
      <c r="B39" s="229" t="b">
        <v>0</v>
      </c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230"/>
      <c r="S39" s="231"/>
    </row>
    <row r="40" ht="30.0" customHeight="1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</row>
    <row r="41">
      <c r="A41" s="70" t="s">
        <v>25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</row>
    <row r="42">
      <c r="A42" s="37" t="s">
        <v>17</v>
      </c>
      <c r="B42" s="33" t="s">
        <v>18</v>
      </c>
      <c r="C42" s="37" t="s">
        <v>19</v>
      </c>
      <c r="D42" s="37" t="s">
        <v>20</v>
      </c>
      <c r="E42" s="37" t="s">
        <v>21</v>
      </c>
      <c r="F42" s="218" t="s">
        <v>26</v>
      </c>
      <c r="G42" s="35"/>
      <c r="H42" s="36" t="str">
        <f>PROPER(stat_blanketTerm_defense)&amp;" Points ("&amp;UPPER(LEFT(stat_blanketTerm_defense,1))&amp;"P)"</f>
        <v>Defense Points (DP)</v>
      </c>
      <c r="I42" s="11"/>
      <c r="J42" s="11"/>
      <c r="K42" s="11"/>
      <c r="L42" s="11"/>
      <c r="M42" s="11"/>
      <c r="N42" s="11"/>
      <c r="O42" s="12"/>
      <c r="P42" s="37" t="s">
        <v>23</v>
      </c>
      <c r="Q42" s="37" t="s">
        <v>9</v>
      </c>
      <c r="R42" s="37" t="s">
        <v>24</v>
      </c>
      <c r="S42" s="37" t="s">
        <v>2</v>
      </c>
    </row>
    <row r="43">
      <c r="A43" s="38"/>
      <c r="B43" s="38"/>
      <c r="C43" s="38"/>
      <c r="D43" s="38"/>
      <c r="E43" s="38"/>
      <c r="F43" s="39"/>
      <c r="G43" s="40"/>
      <c r="H43" s="41" t="s">
        <v>45</v>
      </c>
      <c r="I43" s="12"/>
      <c r="J43" s="41" t="s">
        <v>46</v>
      </c>
      <c r="K43" s="12"/>
      <c r="L43" s="41" t="s">
        <v>47</v>
      </c>
      <c r="M43" s="12"/>
      <c r="N43" s="62"/>
      <c r="O43" s="12"/>
      <c r="P43" s="38"/>
      <c r="Q43" s="38"/>
      <c r="R43" s="38"/>
      <c r="S43" s="38"/>
    </row>
    <row r="44">
      <c r="A44" s="42"/>
      <c r="B44" s="42"/>
      <c r="C44" s="42"/>
      <c r="D44" s="42"/>
      <c r="E44" s="42"/>
      <c r="F44" s="219" t="s">
        <v>12</v>
      </c>
      <c r="G44" s="219" t="s">
        <v>13</v>
      </c>
      <c r="H44" s="219" t="s">
        <v>12</v>
      </c>
      <c r="I44" s="219" t="s">
        <v>13</v>
      </c>
      <c r="J44" s="219" t="s">
        <v>12</v>
      </c>
      <c r="K44" s="219" t="s">
        <v>13</v>
      </c>
      <c r="L44" s="219" t="s">
        <v>12</v>
      </c>
      <c r="M44" s="219" t="s">
        <v>13</v>
      </c>
      <c r="N44" s="232"/>
      <c r="O44" s="232"/>
      <c r="P44" s="42"/>
      <c r="Q44" s="42"/>
      <c r="R44" s="42"/>
      <c r="S44" s="42"/>
    </row>
    <row r="45">
      <c r="A45" s="220"/>
      <c r="B45" s="233" t="b">
        <v>0</v>
      </c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34"/>
      <c r="O45" s="234"/>
      <c r="P45" s="223"/>
      <c r="Q45" s="223"/>
      <c r="R45" s="223"/>
      <c r="S45" s="235"/>
    </row>
    <row r="46">
      <c r="A46" s="225"/>
      <c r="B46" s="221" t="b">
        <v>0</v>
      </c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36"/>
      <c r="O46" s="236"/>
      <c r="P46" s="226"/>
      <c r="Q46" s="226"/>
      <c r="R46" s="226"/>
      <c r="S46" s="227"/>
    </row>
    <row r="47">
      <c r="A47" s="225"/>
      <c r="B47" s="221" t="b">
        <v>0</v>
      </c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36"/>
      <c r="O47" s="236"/>
      <c r="P47" s="226"/>
      <c r="Q47" s="226"/>
      <c r="R47" s="226"/>
      <c r="S47" s="227"/>
    </row>
    <row r="48">
      <c r="A48" s="225"/>
      <c r="B48" s="221" t="b">
        <v>0</v>
      </c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36"/>
      <c r="O48" s="236"/>
      <c r="P48" s="226"/>
      <c r="Q48" s="226"/>
      <c r="R48" s="226"/>
      <c r="S48" s="227"/>
    </row>
    <row r="49">
      <c r="A49" s="225"/>
      <c r="B49" s="221" t="b">
        <v>0</v>
      </c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36"/>
      <c r="O49" s="236"/>
      <c r="P49" s="226"/>
      <c r="Q49" s="226"/>
      <c r="R49" s="226"/>
      <c r="S49" s="227"/>
    </row>
    <row r="50">
      <c r="A50" s="225"/>
      <c r="B50" s="221" t="b">
        <v>0</v>
      </c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36"/>
      <c r="O50" s="236"/>
      <c r="P50" s="226"/>
      <c r="Q50" s="226"/>
      <c r="R50" s="226"/>
      <c r="S50" s="227"/>
    </row>
    <row r="51">
      <c r="A51" s="225"/>
      <c r="B51" s="221" t="b">
        <v>0</v>
      </c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36"/>
      <c r="O51" s="236"/>
      <c r="P51" s="226"/>
      <c r="Q51" s="226"/>
      <c r="R51" s="226"/>
      <c r="S51" s="227"/>
    </row>
    <row r="52">
      <c r="A52" s="225"/>
      <c r="B52" s="221" t="b">
        <v>0</v>
      </c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36"/>
      <c r="O52" s="236"/>
      <c r="P52" s="226"/>
      <c r="Q52" s="226"/>
      <c r="R52" s="226"/>
      <c r="S52" s="227"/>
    </row>
    <row r="53">
      <c r="A53" s="225"/>
      <c r="B53" s="221" t="b">
        <v>0</v>
      </c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36"/>
      <c r="O53" s="236"/>
      <c r="P53" s="226"/>
      <c r="Q53" s="226"/>
      <c r="R53" s="226"/>
      <c r="S53" s="227"/>
    </row>
    <row r="54">
      <c r="A54" s="228"/>
      <c r="B54" s="229" t="b">
        <v>0</v>
      </c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N54" s="237"/>
      <c r="O54" s="237"/>
      <c r="P54" s="230"/>
      <c r="Q54" s="230"/>
      <c r="R54" s="230"/>
      <c r="S54" s="231"/>
    </row>
    <row r="55" ht="30.0" customHeight="1">
      <c r="A55" s="59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</row>
    <row r="56">
      <c r="A56" s="70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>
      <c r="A57" s="71" t="s">
        <v>28</v>
      </c>
      <c r="B57" s="7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</row>
    <row r="58">
      <c r="A58" s="238"/>
      <c r="B58" s="74"/>
      <c r="C58" s="74"/>
      <c r="D58" s="74"/>
      <c r="E58" s="74"/>
      <c r="F58" s="74"/>
      <c r="G58" s="74"/>
      <c r="H58" s="74"/>
      <c r="I58" s="74"/>
      <c r="J58" s="74"/>
      <c r="K58" s="75"/>
      <c r="L58" s="76"/>
      <c r="M58" s="74"/>
      <c r="N58" s="74"/>
      <c r="O58" s="74"/>
      <c r="P58" s="74"/>
      <c r="Q58" s="74"/>
      <c r="R58" s="74"/>
      <c r="S58" s="239"/>
    </row>
    <row r="59">
      <c r="A59" s="240"/>
      <c r="B59" s="78"/>
      <c r="C59" s="78"/>
      <c r="D59" s="78"/>
      <c r="E59" s="78"/>
      <c r="F59" s="78"/>
      <c r="G59" s="78"/>
      <c r="H59" s="78"/>
      <c r="I59" s="78"/>
      <c r="J59" s="78"/>
      <c r="K59" s="79"/>
      <c r="L59" s="80"/>
      <c r="M59" s="78"/>
      <c r="N59" s="78"/>
      <c r="O59" s="78"/>
      <c r="P59" s="78"/>
      <c r="Q59" s="78"/>
      <c r="R59" s="78"/>
      <c r="S59" s="241"/>
    </row>
    <row r="60">
      <c r="A60" s="240"/>
      <c r="B60" s="78"/>
      <c r="C60" s="78"/>
      <c r="D60" s="78"/>
      <c r="E60" s="78"/>
      <c r="F60" s="78"/>
      <c r="G60" s="78"/>
      <c r="H60" s="78"/>
      <c r="I60" s="78"/>
      <c r="J60" s="78"/>
      <c r="K60" s="79"/>
      <c r="L60" s="80"/>
      <c r="M60" s="78"/>
      <c r="N60" s="78"/>
      <c r="O60" s="78"/>
      <c r="P60" s="78"/>
      <c r="Q60" s="78"/>
      <c r="R60" s="78"/>
      <c r="S60" s="241"/>
    </row>
    <row r="61">
      <c r="A61" s="240"/>
      <c r="B61" s="78"/>
      <c r="C61" s="78"/>
      <c r="D61" s="78"/>
      <c r="E61" s="78"/>
      <c r="F61" s="78"/>
      <c r="G61" s="78"/>
      <c r="H61" s="78"/>
      <c r="I61" s="78"/>
      <c r="J61" s="78"/>
      <c r="K61" s="79"/>
      <c r="L61" s="80"/>
      <c r="M61" s="78"/>
      <c r="N61" s="78"/>
      <c r="O61" s="78"/>
      <c r="P61" s="78"/>
      <c r="Q61" s="78"/>
      <c r="R61" s="78"/>
      <c r="S61" s="241"/>
    </row>
    <row r="62">
      <c r="A62" s="240"/>
      <c r="B62" s="78"/>
      <c r="C62" s="78"/>
      <c r="D62" s="78"/>
      <c r="E62" s="78"/>
      <c r="F62" s="78"/>
      <c r="G62" s="78"/>
      <c r="H62" s="78"/>
      <c r="I62" s="78"/>
      <c r="J62" s="78"/>
      <c r="K62" s="79"/>
      <c r="L62" s="80"/>
      <c r="M62" s="78"/>
      <c r="N62" s="78"/>
      <c r="O62" s="78"/>
      <c r="P62" s="78"/>
      <c r="Q62" s="78"/>
      <c r="R62" s="78"/>
      <c r="S62" s="241"/>
    </row>
    <row r="63">
      <c r="A63" s="240"/>
      <c r="B63" s="78"/>
      <c r="C63" s="78"/>
      <c r="D63" s="78"/>
      <c r="E63" s="78"/>
      <c r="F63" s="78"/>
      <c r="G63" s="78"/>
      <c r="H63" s="78"/>
      <c r="I63" s="78"/>
      <c r="J63" s="78"/>
      <c r="K63" s="79"/>
      <c r="L63" s="80"/>
      <c r="M63" s="78"/>
      <c r="N63" s="78"/>
      <c r="O63" s="78"/>
      <c r="P63" s="78"/>
      <c r="Q63" s="78"/>
      <c r="R63" s="78"/>
      <c r="S63" s="241"/>
    </row>
    <row r="64">
      <c r="A64" s="240"/>
      <c r="B64" s="78"/>
      <c r="C64" s="78"/>
      <c r="D64" s="78"/>
      <c r="E64" s="78"/>
      <c r="F64" s="78"/>
      <c r="G64" s="78"/>
      <c r="H64" s="78"/>
      <c r="I64" s="78"/>
      <c r="J64" s="78"/>
      <c r="K64" s="79"/>
      <c r="L64" s="80"/>
      <c r="M64" s="78"/>
      <c r="N64" s="78"/>
      <c r="O64" s="78"/>
      <c r="P64" s="78"/>
      <c r="Q64" s="78"/>
      <c r="R64" s="78"/>
      <c r="S64" s="241"/>
    </row>
    <row r="65">
      <c r="A65" s="240"/>
      <c r="B65" s="78"/>
      <c r="C65" s="78"/>
      <c r="D65" s="78"/>
      <c r="E65" s="78"/>
      <c r="F65" s="78"/>
      <c r="G65" s="78"/>
      <c r="H65" s="78"/>
      <c r="I65" s="78"/>
      <c r="J65" s="78"/>
      <c r="K65" s="79"/>
      <c r="L65" s="80"/>
      <c r="M65" s="78"/>
      <c r="N65" s="78"/>
      <c r="O65" s="78"/>
      <c r="P65" s="78"/>
      <c r="Q65" s="78"/>
      <c r="R65" s="78"/>
      <c r="S65" s="241"/>
    </row>
    <row r="66">
      <c r="A66" s="240"/>
      <c r="B66" s="78"/>
      <c r="C66" s="78"/>
      <c r="D66" s="78"/>
      <c r="E66" s="78"/>
      <c r="F66" s="78"/>
      <c r="G66" s="78"/>
      <c r="H66" s="78"/>
      <c r="I66" s="78"/>
      <c r="J66" s="78"/>
      <c r="K66" s="79"/>
      <c r="L66" s="80"/>
      <c r="M66" s="78"/>
      <c r="N66" s="78"/>
      <c r="O66" s="78"/>
      <c r="P66" s="78"/>
      <c r="Q66" s="78"/>
      <c r="R66" s="78"/>
      <c r="S66" s="241"/>
    </row>
    <row r="67">
      <c r="A67" s="240"/>
      <c r="B67" s="78"/>
      <c r="C67" s="78"/>
      <c r="D67" s="78"/>
      <c r="E67" s="78"/>
      <c r="F67" s="78"/>
      <c r="G67" s="78"/>
      <c r="H67" s="78"/>
      <c r="I67" s="78"/>
      <c r="J67" s="78"/>
      <c r="K67" s="79"/>
      <c r="L67" s="80"/>
      <c r="M67" s="78"/>
      <c r="N67" s="78"/>
      <c r="O67" s="78"/>
      <c r="P67" s="78"/>
      <c r="Q67" s="78"/>
      <c r="R67" s="78"/>
      <c r="S67" s="241"/>
    </row>
    <row r="68">
      <c r="A68" s="240"/>
      <c r="B68" s="78"/>
      <c r="C68" s="78"/>
      <c r="D68" s="78"/>
      <c r="E68" s="78"/>
      <c r="F68" s="78"/>
      <c r="G68" s="78"/>
      <c r="H68" s="78"/>
      <c r="I68" s="78"/>
      <c r="J68" s="78"/>
      <c r="K68" s="79"/>
      <c r="L68" s="80"/>
      <c r="M68" s="78"/>
      <c r="N68" s="78"/>
      <c r="O68" s="78"/>
      <c r="P68" s="78"/>
      <c r="Q68" s="78"/>
      <c r="R68" s="78"/>
      <c r="S68" s="241"/>
    </row>
    <row r="69">
      <c r="A69" s="240"/>
      <c r="B69" s="78"/>
      <c r="C69" s="78"/>
      <c r="D69" s="78"/>
      <c r="E69" s="78"/>
      <c r="F69" s="78"/>
      <c r="G69" s="78"/>
      <c r="H69" s="78"/>
      <c r="I69" s="78"/>
      <c r="J69" s="78"/>
      <c r="K69" s="79"/>
      <c r="L69" s="80"/>
      <c r="M69" s="78"/>
      <c r="N69" s="78"/>
      <c r="O69" s="78"/>
      <c r="P69" s="78"/>
      <c r="Q69" s="78"/>
      <c r="R69" s="78"/>
      <c r="S69" s="241"/>
    </row>
    <row r="70">
      <c r="A70" s="240"/>
      <c r="B70" s="78"/>
      <c r="C70" s="78"/>
      <c r="D70" s="78"/>
      <c r="E70" s="78"/>
      <c r="F70" s="78"/>
      <c r="G70" s="78"/>
      <c r="H70" s="78"/>
      <c r="I70" s="78"/>
      <c r="J70" s="78"/>
      <c r="K70" s="79"/>
      <c r="L70" s="80"/>
      <c r="M70" s="78"/>
      <c r="N70" s="78"/>
      <c r="O70" s="78"/>
      <c r="P70" s="78"/>
      <c r="Q70" s="78"/>
      <c r="R70" s="78"/>
      <c r="S70" s="241"/>
    </row>
    <row r="71">
      <c r="A71" s="240"/>
      <c r="B71" s="78"/>
      <c r="C71" s="78"/>
      <c r="D71" s="78"/>
      <c r="E71" s="78"/>
      <c r="F71" s="78"/>
      <c r="G71" s="78"/>
      <c r="H71" s="78"/>
      <c r="I71" s="78"/>
      <c r="J71" s="78"/>
      <c r="K71" s="79"/>
      <c r="L71" s="80"/>
      <c r="M71" s="78"/>
      <c r="N71" s="78"/>
      <c r="O71" s="78"/>
      <c r="P71" s="78"/>
      <c r="Q71" s="78"/>
      <c r="R71" s="78"/>
      <c r="S71" s="241"/>
    </row>
    <row r="72">
      <c r="A72" s="240"/>
      <c r="B72" s="78"/>
      <c r="C72" s="78"/>
      <c r="D72" s="78"/>
      <c r="E72" s="78"/>
      <c r="F72" s="78"/>
      <c r="G72" s="78"/>
      <c r="H72" s="78"/>
      <c r="I72" s="78"/>
      <c r="J72" s="78"/>
      <c r="K72" s="79"/>
      <c r="L72" s="80"/>
      <c r="M72" s="78"/>
      <c r="N72" s="78"/>
      <c r="O72" s="78"/>
      <c r="P72" s="78"/>
      <c r="Q72" s="78"/>
      <c r="R72" s="78"/>
      <c r="S72" s="241"/>
    </row>
    <row r="73">
      <c r="A73" s="240"/>
      <c r="B73" s="78"/>
      <c r="C73" s="78"/>
      <c r="D73" s="78"/>
      <c r="E73" s="78"/>
      <c r="F73" s="78"/>
      <c r="G73" s="78"/>
      <c r="H73" s="78"/>
      <c r="I73" s="78"/>
      <c r="J73" s="78"/>
      <c r="K73" s="79"/>
      <c r="L73" s="80"/>
      <c r="M73" s="78"/>
      <c r="N73" s="78"/>
      <c r="O73" s="78"/>
      <c r="P73" s="78"/>
      <c r="Q73" s="78"/>
      <c r="R73" s="78"/>
      <c r="S73" s="241"/>
    </row>
    <row r="74">
      <c r="A74" s="240"/>
      <c r="B74" s="78"/>
      <c r="C74" s="78"/>
      <c r="D74" s="78"/>
      <c r="E74" s="78"/>
      <c r="F74" s="78"/>
      <c r="G74" s="78"/>
      <c r="H74" s="78"/>
      <c r="I74" s="78"/>
      <c r="J74" s="78"/>
      <c r="K74" s="79"/>
      <c r="L74" s="80"/>
      <c r="M74" s="78"/>
      <c r="N74" s="78"/>
      <c r="O74" s="78"/>
      <c r="P74" s="78"/>
      <c r="Q74" s="78"/>
      <c r="R74" s="78"/>
      <c r="S74" s="241"/>
    </row>
    <row r="75">
      <c r="A75" s="240"/>
      <c r="B75" s="78"/>
      <c r="C75" s="78"/>
      <c r="D75" s="78"/>
      <c r="E75" s="78"/>
      <c r="F75" s="78"/>
      <c r="G75" s="78"/>
      <c r="H75" s="78"/>
      <c r="I75" s="78"/>
      <c r="J75" s="78"/>
      <c r="K75" s="79"/>
      <c r="L75" s="80"/>
      <c r="M75" s="78"/>
      <c r="N75" s="78"/>
      <c r="O75" s="78"/>
      <c r="P75" s="78"/>
      <c r="Q75" s="78"/>
      <c r="R75" s="78"/>
      <c r="S75" s="241"/>
    </row>
    <row r="76">
      <c r="A76" s="240"/>
      <c r="B76" s="78"/>
      <c r="C76" s="78"/>
      <c r="D76" s="78"/>
      <c r="E76" s="78"/>
      <c r="F76" s="78"/>
      <c r="G76" s="78"/>
      <c r="H76" s="78"/>
      <c r="I76" s="78"/>
      <c r="J76" s="78"/>
      <c r="K76" s="79"/>
      <c r="L76" s="80"/>
      <c r="M76" s="78"/>
      <c r="N76" s="78"/>
      <c r="O76" s="78"/>
      <c r="P76" s="78"/>
      <c r="Q76" s="78"/>
      <c r="R76" s="78"/>
      <c r="S76" s="241"/>
    </row>
    <row r="77">
      <c r="A77" s="240"/>
      <c r="B77" s="78"/>
      <c r="C77" s="78"/>
      <c r="D77" s="78"/>
      <c r="E77" s="78"/>
      <c r="F77" s="78"/>
      <c r="G77" s="78"/>
      <c r="H77" s="78"/>
      <c r="I77" s="78"/>
      <c r="J77" s="78"/>
      <c r="K77" s="79"/>
      <c r="L77" s="80"/>
      <c r="M77" s="78"/>
      <c r="N77" s="78"/>
      <c r="O77" s="78"/>
      <c r="P77" s="78"/>
      <c r="Q77" s="78"/>
      <c r="R77" s="78"/>
      <c r="S77" s="241"/>
    </row>
    <row r="78">
      <c r="A78" s="240"/>
      <c r="B78" s="78"/>
      <c r="C78" s="78"/>
      <c r="D78" s="78"/>
      <c r="E78" s="78"/>
      <c r="F78" s="78"/>
      <c r="G78" s="78"/>
      <c r="H78" s="78"/>
      <c r="I78" s="78"/>
      <c r="J78" s="78"/>
      <c r="K78" s="79"/>
      <c r="L78" s="80"/>
      <c r="M78" s="78"/>
      <c r="N78" s="78"/>
      <c r="O78" s="78"/>
      <c r="P78" s="78"/>
      <c r="Q78" s="78"/>
      <c r="R78" s="78"/>
      <c r="S78" s="241"/>
    </row>
    <row r="79">
      <c r="A79" s="240"/>
      <c r="B79" s="78"/>
      <c r="C79" s="78"/>
      <c r="D79" s="78"/>
      <c r="E79" s="78"/>
      <c r="F79" s="78"/>
      <c r="G79" s="78"/>
      <c r="H79" s="78"/>
      <c r="I79" s="78"/>
      <c r="J79" s="78"/>
      <c r="K79" s="79"/>
      <c r="L79" s="80"/>
      <c r="M79" s="78"/>
      <c r="N79" s="78"/>
      <c r="O79" s="78"/>
      <c r="P79" s="78"/>
      <c r="Q79" s="78"/>
      <c r="R79" s="78"/>
      <c r="S79" s="241"/>
    </row>
    <row r="80">
      <c r="A80" s="240"/>
      <c r="B80" s="78"/>
      <c r="C80" s="78"/>
      <c r="D80" s="78"/>
      <c r="E80" s="78"/>
      <c r="F80" s="78"/>
      <c r="G80" s="78"/>
      <c r="H80" s="78"/>
      <c r="I80" s="78"/>
      <c r="J80" s="78"/>
      <c r="K80" s="79"/>
      <c r="L80" s="80"/>
      <c r="M80" s="78"/>
      <c r="N80" s="78"/>
      <c r="O80" s="78"/>
      <c r="P80" s="78"/>
      <c r="Q80" s="78"/>
      <c r="R80" s="78"/>
      <c r="S80" s="241"/>
    </row>
    <row r="81">
      <c r="A81" s="240"/>
      <c r="B81" s="78"/>
      <c r="C81" s="78"/>
      <c r="D81" s="78"/>
      <c r="E81" s="78"/>
      <c r="F81" s="78"/>
      <c r="G81" s="78"/>
      <c r="H81" s="78"/>
      <c r="I81" s="78"/>
      <c r="J81" s="78"/>
      <c r="K81" s="79"/>
      <c r="L81" s="80"/>
      <c r="M81" s="78"/>
      <c r="N81" s="78"/>
      <c r="O81" s="78"/>
      <c r="P81" s="78"/>
      <c r="Q81" s="78"/>
      <c r="R81" s="78"/>
      <c r="S81" s="241"/>
    </row>
    <row r="82">
      <c r="A82" s="240"/>
      <c r="B82" s="78"/>
      <c r="C82" s="78"/>
      <c r="D82" s="78"/>
      <c r="E82" s="78"/>
      <c r="F82" s="78"/>
      <c r="G82" s="78"/>
      <c r="H82" s="78"/>
      <c r="I82" s="78"/>
      <c r="J82" s="78"/>
      <c r="K82" s="79"/>
      <c r="L82" s="80"/>
      <c r="M82" s="78"/>
      <c r="N82" s="78"/>
      <c r="O82" s="78"/>
      <c r="P82" s="78"/>
      <c r="Q82" s="78"/>
      <c r="R82" s="78"/>
      <c r="S82" s="241"/>
    </row>
    <row r="83">
      <c r="A83" s="240"/>
      <c r="B83" s="78"/>
      <c r="C83" s="78"/>
      <c r="D83" s="78"/>
      <c r="E83" s="78"/>
      <c r="F83" s="78"/>
      <c r="G83" s="78"/>
      <c r="H83" s="78"/>
      <c r="I83" s="78"/>
      <c r="J83" s="78"/>
      <c r="K83" s="79"/>
      <c r="L83" s="80"/>
      <c r="M83" s="78"/>
      <c r="N83" s="78"/>
      <c r="O83" s="78"/>
      <c r="P83" s="78"/>
      <c r="Q83" s="78"/>
      <c r="R83" s="78"/>
      <c r="S83" s="241"/>
    </row>
    <row r="84">
      <c r="A84" s="240"/>
      <c r="B84" s="78"/>
      <c r="C84" s="78"/>
      <c r="D84" s="78"/>
      <c r="E84" s="78"/>
      <c r="F84" s="78"/>
      <c r="G84" s="78"/>
      <c r="H84" s="78"/>
      <c r="I84" s="78"/>
      <c r="J84" s="78"/>
      <c r="K84" s="79"/>
      <c r="L84" s="80"/>
      <c r="M84" s="78"/>
      <c r="N84" s="78"/>
      <c r="O84" s="78"/>
      <c r="P84" s="78"/>
      <c r="Q84" s="78"/>
      <c r="R84" s="78"/>
      <c r="S84" s="241"/>
    </row>
    <row r="85">
      <c r="A85" s="242"/>
      <c r="B85" s="78"/>
      <c r="C85" s="78"/>
      <c r="D85" s="78"/>
      <c r="E85" s="78"/>
      <c r="F85" s="78"/>
      <c r="G85" s="78"/>
      <c r="H85" s="78"/>
      <c r="I85" s="78"/>
      <c r="J85" s="78"/>
      <c r="K85" s="79"/>
      <c r="L85" s="82"/>
      <c r="M85" s="78"/>
      <c r="N85" s="78"/>
      <c r="O85" s="78"/>
      <c r="P85" s="78"/>
      <c r="Q85" s="78"/>
      <c r="R85" s="78"/>
      <c r="S85" s="241"/>
    </row>
    <row r="86">
      <c r="A86" s="242"/>
      <c r="B86" s="78"/>
      <c r="C86" s="78"/>
      <c r="D86" s="78"/>
      <c r="E86" s="78"/>
      <c r="F86" s="78"/>
      <c r="G86" s="78"/>
      <c r="H86" s="78"/>
      <c r="I86" s="78"/>
      <c r="J86" s="78"/>
      <c r="K86" s="79"/>
      <c r="L86" s="82"/>
      <c r="M86" s="78"/>
      <c r="N86" s="78"/>
      <c r="O86" s="78"/>
      <c r="P86" s="78"/>
      <c r="Q86" s="78"/>
      <c r="R86" s="78"/>
      <c r="S86" s="241"/>
    </row>
    <row r="87">
      <c r="A87" s="243"/>
      <c r="B87" s="84"/>
      <c r="C87" s="84"/>
      <c r="D87" s="84"/>
      <c r="E87" s="84"/>
      <c r="F87" s="84"/>
      <c r="G87" s="84"/>
      <c r="H87" s="84"/>
      <c r="I87" s="84"/>
      <c r="J87" s="84"/>
      <c r="K87" s="85"/>
      <c r="L87" s="86"/>
      <c r="M87" s="84"/>
      <c r="N87" s="84"/>
      <c r="O87" s="84"/>
      <c r="P87" s="84"/>
      <c r="Q87" s="84"/>
      <c r="R87" s="84"/>
      <c r="S87" s="244"/>
    </row>
    <row r="88" ht="30.0" customHeight="1">
      <c r="A88" s="87" t="str">
        <f>systemData_copyrightMessage</f>
        <v>Fractal RPG v0.5.0.0 (Squishy Meatloaf | Pantsless Robot) 2019 - 202X SparkliTwizzl
Licensed under CC BY-NC-SA 4.0</v>
      </c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</row>
  </sheetData>
  <mergeCells count="111">
    <mergeCell ref="B8:J8"/>
    <mergeCell ref="B9:J9"/>
    <mergeCell ref="B10:J10"/>
    <mergeCell ref="B11:J11"/>
    <mergeCell ref="B12:J12"/>
    <mergeCell ref="B13:J13"/>
    <mergeCell ref="B14:J14"/>
    <mergeCell ref="D16:E16"/>
    <mergeCell ref="H16:I16"/>
    <mergeCell ref="A3:A4"/>
    <mergeCell ref="A27:A29"/>
    <mergeCell ref="B27:B29"/>
    <mergeCell ref="C27:C29"/>
    <mergeCell ref="D27:D29"/>
    <mergeCell ref="E27:E29"/>
    <mergeCell ref="D3:R3"/>
    <mergeCell ref="D4:R4"/>
    <mergeCell ref="B6:J6"/>
    <mergeCell ref="L6:S6"/>
    <mergeCell ref="B7:J7"/>
    <mergeCell ref="L7:S24"/>
    <mergeCell ref="A26:S26"/>
    <mergeCell ref="J28:K28"/>
    <mergeCell ref="L28:M28"/>
    <mergeCell ref="A64:K64"/>
    <mergeCell ref="L64:S64"/>
    <mergeCell ref="A65:K65"/>
    <mergeCell ref="L65:S65"/>
    <mergeCell ref="A66:K66"/>
    <mergeCell ref="L66:S66"/>
    <mergeCell ref="L67:S67"/>
    <mergeCell ref="A67:K67"/>
    <mergeCell ref="A68:K68"/>
    <mergeCell ref="L68:S68"/>
    <mergeCell ref="A69:K69"/>
    <mergeCell ref="L69:S69"/>
    <mergeCell ref="A70:K70"/>
    <mergeCell ref="L70:S70"/>
    <mergeCell ref="A71:K71"/>
    <mergeCell ref="L71:S71"/>
    <mergeCell ref="A72:K72"/>
    <mergeCell ref="L72:S72"/>
    <mergeCell ref="A73:K73"/>
    <mergeCell ref="L73:S73"/>
    <mergeCell ref="L74:S74"/>
    <mergeCell ref="A74:K74"/>
    <mergeCell ref="A75:K75"/>
    <mergeCell ref="L75:S75"/>
    <mergeCell ref="A76:K76"/>
    <mergeCell ref="L76:S76"/>
    <mergeCell ref="A77:K77"/>
    <mergeCell ref="L77:S77"/>
    <mergeCell ref="A78:K78"/>
    <mergeCell ref="L78:S78"/>
    <mergeCell ref="A79:K79"/>
    <mergeCell ref="L79:S79"/>
    <mergeCell ref="A80:K80"/>
    <mergeCell ref="L80:S80"/>
    <mergeCell ref="L81:S81"/>
    <mergeCell ref="A85:K85"/>
    <mergeCell ref="L85:S85"/>
    <mergeCell ref="A86:K86"/>
    <mergeCell ref="L86:S86"/>
    <mergeCell ref="A87:K87"/>
    <mergeCell ref="L87:S87"/>
    <mergeCell ref="A88:S88"/>
    <mergeCell ref="A81:K81"/>
    <mergeCell ref="A82:K82"/>
    <mergeCell ref="L82:S82"/>
    <mergeCell ref="A83:K83"/>
    <mergeCell ref="L83:S83"/>
    <mergeCell ref="A84:K84"/>
    <mergeCell ref="L84:S84"/>
    <mergeCell ref="F27:G28"/>
    <mergeCell ref="H27:O27"/>
    <mergeCell ref="P27:P29"/>
    <mergeCell ref="Q27:Q29"/>
    <mergeCell ref="R27:R29"/>
    <mergeCell ref="S27:S29"/>
    <mergeCell ref="H28:I28"/>
    <mergeCell ref="F42:G43"/>
    <mergeCell ref="H42:O42"/>
    <mergeCell ref="H43:I43"/>
    <mergeCell ref="J43:K43"/>
    <mergeCell ref="L43:M43"/>
    <mergeCell ref="N43:O43"/>
    <mergeCell ref="P42:P44"/>
    <mergeCell ref="Q42:Q44"/>
    <mergeCell ref="R42:R44"/>
    <mergeCell ref="S42:S44"/>
    <mergeCell ref="N28:O28"/>
    <mergeCell ref="A41:S41"/>
    <mergeCell ref="A42:A44"/>
    <mergeCell ref="B42:B44"/>
    <mergeCell ref="C42:C44"/>
    <mergeCell ref="D42:D44"/>
    <mergeCell ref="E42:E44"/>
    <mergeCell ref="A56:S56"/>
    <mergeCell ref="B57:S57"/>
    <mergeCell ref="A58:K58"/>
    <mergeCell ref="L58:S58"/>
    <mergeCell ref="A59:K59"/>
    <mergeCell ref="L59:S59"/>
    <mergeCell ref="L60:S60"/>
    <mergeCell ref="A60:K60"/>
    <mergeCell ref="A61:K61"/>
    <mergeCell ref="L61:S61"/>
    <mergeCell ref="A62:K62"/>
    <mergeCell ref="L62:S62"/>
    <mergeCell ref="A63:K63"/>
    <mergeCell ref="L63:S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13"/>
    <col customWidth="1" min="2" max="3" width="1.38"/>
    <col customWidth="1" min="4" max="6" width="9.5"/>
    <col customWidth="1" min="7" max="8" width="1.38"/>
    <col customWidth="1" min="9" max="11" width="9.5"/>
    <col customWidth="1" min="12" max="13" width="1.38"/>
    <col customWidth="1" min="14" max="16" width="9.5"/>
  </cols>
  <sheetData>
    <row r="1" ht="22.5" customHeight="1">
      <c r="A1" s="19" t="str">
        <f>systemData_systemLogo</f>
        <v/>
      </c>
      <c r="D1" s="2" t="str">
        <f>systemData_versionTitle</f>
        <v>Fractal RPG v0.5.0.0 (Pantsless Robot)</v>
      </c>
      <c r="P1" s="19"/>
    </row>
    <row r="2" ht="45.0" customHeight="1">
      <c r="D2" s="19"/>
      <c r="E2" s="3" t="s">
        <v>29</v>
      </c>
      <c r="O2" s="3"/>
      <c r="P2" s="89"/>
    </row>
    <row r="3" ht="15.0" customHeight="1">
      <c r="A3" s="23"/>
      <c r="B3" s="23"/>
      <c r="C3" s="23"/>
      <c r="D3" s="17"/>
      <c r="E3" s="20" t="s">
        <v>1</v>
      </c>
      <c r="F3" s="10"/>
      <c r="G3" s="11"/>
      <c r="H3" s="11"/>
      <c r="I3" s="11"/>
      <c r="J3" s="11"/>
      <c r="K3" s="11"/>
      <c r="L3" s="11"/>
      <c r="M3" s="11"/>
      <c r="N3" s="12"/>
      <c r="O3" s="17"/>
      <c r="P3" s="17"/>
    </row>
    <row r="4" ht="15.0" customHeight="1">
      <c r="A4" s="23"/>
      <c r="B4" s="23"/>
      <c r="C4" s="23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15.0" customHeight="1">
      <c r="A5" s="23"/>
      <c r="B5" s="23"/>
      <c r="C5" s="23"/>
      <c r="D5" s="10" t="s">
        <v>30</v>
      </c>
      <c r="E5" s="11"/>
      <c r="F5" s="12"/>
      <c r="G5" s="17"/>
      <c r="H5" s="17"/>
      <c r="I5" s="10" t="s">
        <v>31</v>
      </c>
      <c r="J5" s="11"/>
      <c r="K5" s="12"/>
      <c r="L5" s="17"/>
      <c r="M5" s="17"/>
      <c r="N5" s="10" t="s">
        <v>32</v>
      </c>
      <c r="O5" s="11"/>
      <c r="P5" s="12"/>
    </row>
    <row r="6" ht="15.0" customHeight="1">
      <c r="A6" s="90" t="s">
        <v>33</v>
      </c>
      <c r="C6" s="90"/>
      <c r="D6" s="91" t="s">
        <v>34</v>
      </c>
      <c r="E6" s="31"/>
      <c r="F6" s="32"/>
      <c r="G6" s="92"/>
      <c r="H6" s="92"/>
      <c r="I6" s="91" t="s">
        <v>35</v>
      </c>
      <c r="J6" s="31"/>
      <c r="K6" s="32"/>
      <c r="L6" s="92"/>
      <c r="M6" s="92"/>
      <c r="N6" s="91" t="s">
        <v>36</v>
      </c>
      <c r="O6" s="31"/>
      <c r="P6" s="32"/>
    </row>
    <row r="7" ht="15.0" customHeight="1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</row>
    <row r="8" ht="15.0" customHeight="1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5"/>
      <c r="N8" s="245" t="str">
        <f>PROPER(skillName_1_1_1)</f>
        <v>Strength</v>
      </c>
      <c r="O8" s="11"/>
      <c r="P8" s="12"/>
    </row>
    <row r="9" ht="15.0" customHeight="1">
      <c r="A9" s="99"/>
      <c r="B9" s="99"/>
      <c r="C9" s="99"/>
      <c r="D9" s="99"/>
      <c r="E9" s="99"/>
      <c r="F9" s="99"/>
      <c r="G9" s="99"/>
      <c r="H9" s="99"/>
      <c r="I9" s="94"/>
      <c r="J9" s="94"/>
      <c r="K9" s="94"/>
      <c r="L9" s="100"/>
      <c r="M9" s="101"/>
      <c r="N9" s="102"/>
      <c r="O9" s="246" t="s">
        <v>48</v>
      </c>
      <c r="P9" s="247" t="s">
        <v>49</v>
      </c>
    </row>
    <row r="10" ht="7.5" customHeight="1">
      <c r="A10" s="94"/>
      <c r="B10" s="94"/>
      <c r="C10" s="94"/>
      <c r="D10" s="94"/>
      <c r="E10" s="94"/>
      <c r="F10" s="94"/>
      <c r="G10" s="94"/>
      <c r="H10" s="94"/>
      <c r="I10" s="105"/>
      <c r="J10" s="105"/>
      <c r="K10" s="105"/>
      <c r="L10" s="106"/>
      <c r="M10" s="105"/>
      <c r="N10" s="23"/>
      <c r="O10" s="23"/>
      <c r="P10" s="23"/>
    </row>
    <row r="11" ht="15.0" customHeight="1">
      <c r="A11" s="94"/>
      <c r="B11" s="94"/>
      <c r="C11" s="94"/>
      <c r="D11" s="94"/>
      <c r="E11" s="94"/>
      <c r="F11" s="94"/>
      <c r="G11" s="94"/>
      <c r="H11" s="95"/>
      <c r="I11" s="248" t="str">
        <f>PROPER(skillName_1_1)</f>
        <v>Athletics</v>
      </c>
      <c r="J11" s="11"/>
      <c r="K11" s="12"/>
      <c r="L11" s="109"/>
      <c r="M11" s="110"/>
      <c r="N11" s="245" t="str">
        <f>PROPER(skillName_1_1_2)</f>
        <v>Stamina</v>
      </c>
      <c r="O11" s="11"/>
      <c r="P11" s="12"/>
    </row>
    <row r="12" ht="15.0" customHeight="1">
      <c r="A12" s="94"/>
      <c r="B12" s="94"/>
      <c r="C12" s="94"/>
      <c r="D12" s="94"/>
      <c r="E12" s="94"/>
      <c r="F12" s="94"/>
      <c r="G12" s="100"/>
      <c r="H12" s="101"/>
      <c r="I12" s="102"/>
      <c r="J12" s="246" t="s">
        <v>48</v>
      </c>
      <c r="K12" s="247" t="s">
        <v>49</v>
      </c>
      <c r="L12" s="112"/>
      <c r="M12" s="113"/>
      <c r="N12" s="102"/>
      <c r="O12" s="246" t="s">
        <v>48</v>
      </c>
      <c r="P12" s="247" t="s">
        <v>49</v>
      </c>
    </row>
    <row r="13" ht="7.5" customHeight="1">
      <c r="A13" s="94"/>
      <c r="B13" s="94"/>
      <c r="C13" s="94"/>
      <c r="D13" s="94"/>
      <c r="E13" s="94"/>
      <c r="F13" s="94"/>
      <c r="G13" s="100"/>
      <c r="H13" s="94"/>
      <c r="I13" s="94"/>
      <c r="J13" s="94"/>
      <c r="K13" s="94"/>
      <c r="L13" s="100"/>
      <c r="M13" s="94"/>
      <c r="N13" s="23"/>
      <c r="O13" s="23"/>
      <c r="P13" s="23"/>
    </row>
    <row r="14" ht="15.0" customHeight="1">
      <c r="A14" s="94"/>
      <c r="B14" s="94"/>
      <c r="C14" s="94"/>
      <c r="D14" s="94"/>
      <c r="E14" s="94"/>
      <c r="F14" s="94"/>
      <c r="G14" s="100"/>
      <c r="H14" s="94"/>
      <c r="I14" s="94"/>
      <c r="J14" s="94"/>
      <c r="K14" s="94"/>
      <c r="L14" s="100"/>
      <c r="M14" s="95"/>
      <c r="N14" s="245" t="str">
        <f>PROPER(skillName_1_1_3)</f>
        <v>Resilience</v>
      </c>
      <c r="O14" s="11"/>
      <c r="P14" s="12"/>
    </row>
    <row r="15" ht="15.0" customHeight="1">
      <c r="A15" s="94"/>
      <c r="B15" s="94"/>
      <c r="C15" s="94"/>
      <c r="D15" s="94"/>
      <c r="E15" s="94"/>
      <c r="F15" s="94"/>
      <c r="G15" s="100"/>
      <c r="H15" s="94"/>
      <c r="I15" s="94"/>
      <c r="J15" s="94"/>
      <c r="K15" s="94"/>
      <c r="L15" s="94"/>
      <c r="M15" s="101"/>
      <c r="N15" s="102"/>
      <c r="O15" s="246" t="s">
        <v>48</v>
      </c>
      <c r="P15" s="247" t="s">
        <v>49</v>
      </c>
    </row>
    <row r="16" ht="7.5" customHeight="1">
      <c r="A16" s="94"/>
      <c r="B16" s="94"/>
      <c r="C16" s="94"/>
      <c r="D16" s="94"/>
      <c r="E16" s="94"/>
      <c r="F16" s="94"/>
      <c r="G16" s="100"/>
      <c r="H16" s="94"/>
      <c r="I16" s="94"/>
      <c r="J16" s="94"/>
      <c r="K16" s="94"/>
      <c r="L16" s="94"/>
      <c r="M16" s="94"/>
      <c r="N16" s="23"/>
      <c r="O16" s="23"/>
      <c r="P16" s="23"/>
    </row>
    <row r="17" ht="15.0" customHeight="1">
      <c r="A17" s="94"/>
      <c r="B17" s="94"/>
      <c r="C17" s="94"/>
      <c r="D17" s="94"/>
      <c r="E17" s="94"/>
      <c r="F17" s="94"/>
      <c r="G17" s="100"/>
      <c r="H17" s="94"/>
      <c r="I17" s="94"/>
      <c r="J17" s="94"/>
      <c r="K17" s="94"/>
      <c r="L17" s="94"/>
      <c r="M17" s="95"/>
      <c r="N17" s="245" t="str">
        <f>PROPER(skillName_1_2_1)</f>
        <v>Acrobatics</v>
      </c>
      <c r="O17" s="11"/>
      <c r="P17" s="12"/>
    </row>
    <row r="18" ht="15.0" customHeight="1">
      <c r="A18" s="94"/>
      <c r="B18" s="94"/>
      <c r="C18" s="94"/>
      <c r="D18" s="94"/>
      <c r="E18" s="94"/>
      <c r="F18" s="94"/>
      <c r="G18" s="100"/>
      <c r="H18" s="94"/>
      <c r="I18" s="94"/>
      <c r="J18" s="94"/>
      <c r="K18" s="94"/>
      <c r="L18" s="100"/>
      <c r="M18" s="101"/>
      <c r="N18" s="102"/>
      <c r="O18" s="246" t="s">
        <v>48</v>
      </c>
      <c r="P18" s="247" t="s">
        <v>49</v>
      </c>
    </row>
    <row r="19" ht="7.5" customHeight="1">
      <c r="A19" s="94"/>
      <c r="B19" s="94"/>
      <c r="C19" s="94"/>
      <c r="D19" s="105"/>
      <c r="E19" s="105"/>
      <c r="F19" s="105"/>
      <c r="G19" s="106"/>
      <c r="H19" s="105"/>
      <c r="I19" s="105"/>
      <c r="J19" s="105"/>
      <c r="K19" s="105"/>
      <c r="L19" s="106"/>
      <c r="M19" s="105"/>
      <c r="N19" s="23"/>
      <c r="O19" s="23"/>
      <c r="P19" s="23"/>
    </row>
    <row r="20" ht="15.0" customHeight="1">
      <c r="A20" s="94"/>
      <c r="B20" s="94"/>
      <c r="C20" s="95"/>
      <c r="D20" s="248" t="str">
        <f>PROPER(skillName_1)</f>
        <v>Physical</v>
      </c>
      <c r="E20" s="11"/>
      <c r="F20" s="12"/>
      <c r="G20" s="109"/>
      <c r="H20" s="110"/>
      <c r="I20" s="248" t="str">
        <f>PROPER(skillName_1_2)</f>
        <v>Agility</v>
      </c>
      <c r="J20" s="11"/>
      <c r="K20" s="12"/>
      <c r="L20" s="109"/>
      <c r="M20" s="110"/>
      <c r="N20" s="245" t="str">
        <f>PROPER(skillName_1_2_2)</f>
        <v>Haste</v>
      </c>
      <c r="O20" s="11"/>
      <c r="P20" s="12"/>
    </row>
    <row r="21" ht="15.0" customHeight="1">
      <c r="A21" s="94"/>
      <c r="B21" s="100"/>
      <c r="C21" s="101"/>
      <c r="D21" s="102"/>
      <c r="E21" s="246" t="s">
        <v>48</v>
      </c>
      <c r="F21" s="247" t="s">
        <v>49</v>
      </c>
      <c r="G21" s="112"/>
      <c r="H21" s="113"/>
      <c r="I21" s="102"/>
      <c r="J21" s="246" t="s">
        <v>48</v>
      </c>
      <c r="K21" s="247" t="s">
        <v>49</v>
      </c>
      <c r="L21" s="112"/>
      <c r="M21" s="113"/>
      <c r="N21" s="102"/>
      <c r="O21" s="246" t="s">
        <v>48</v>
      </c>
      <c r="P21" s="247" t="s">
        <v>49</v>
      </c>
    </row>
    <row r="22" ht="7.5" customHeight="1">
      <c r="A22" s="94"/>
      <c r="B22" s="100"/>
      <c r="C22" s="94"/>
      <c r="D22" s="94"/>
      <c r="E22" s="94"/>
      <c r="F22" s="94"/>
      <c r="G22" s="100"/>
      <c r="H22" s="94"/>
      <c r="I22" s="94"/>
      <c r="J22" s="94"/>
      <c r="K22" s="94"/>
      <c r="L22" s="100"/>
      <c r="M22" s="94"/>
      <c r="N22" s="23"/>
      <c r="O22" s="23"/>
      <c r="P22" s="23"/>
    </row>
    <row r="23" ht="15.0" customHeight="1">
      <c r="A23" s="94"/>
      <c r="B23" s="100"/>
      <c r="C23" s="94"/>
      <c r="D23" s="94"/>
      <c r="E23" s="94"/>
      <c r="F23" s="94"/>
      <c r="G23" s="100"/>
      <c r="H23" s="94"/>
      <c r="I23" s="94"/>
      <c r="J23" s="94"/>
      <c r="K23" s="94"/>
      <c r="L23" s="100"/>
      <c r="M23" s="95"/>
      <c r="N23" s="245" t="str">
        <f>PROPER(skillName_1_2_3)</f>
        <v>Reflexes</v>
      </c>
      <c r="O23" s="11"/>
      <c r="P23" s="12"/>
    </row>
    <row r="24" ht="15.0" customHeight="1">
      <c r="A24" s="19"/>
      <c r="B24" s="121"/>
      <c r="C24" s="19"/>
      <c r="D24" s="94"/>
      <c r="E24" s="94"/>
      <c r="F24" s="94"/>
      <c r="G24" s="100"/>
      <c r="H24" s="94"/>
      <c r="I24" s="94"/>
      <c r="J24" s="94"/>
      <c r="K24" s="94"/>
      <c r="L24" s="94"/>
      <c r="M24" s="101"/>
      <c r="N24" s="102"/>
      <c r="O24" s="246" t="s">
        <v>48</v>
      </c>
      <c r="P24" s="247" t="s">
        <v>49</v>
      </c>
    </row>
    <row r="25" ht="7.5" customHeight="1">
      <c r="A25" s="94"/>
      <c r="B25" s="100"/>
      <c r="C25" s="94"/>
      <c r="D25" s="94"/>
      <c r="E25" s="94"/>
      <c r="F25" s="94"/>
      <c r="G25" s="100"/>
      <c r="H25" s="94"/>
      <c r="I25" s="94"/>
      <c r="J25" s="94"/>
      <c r="K25" s="94"/>
      <c r="L25" s="94"/>
      <c r="M25" s="94"/>
      <c r="N25" s="105"/>
      <c r="O25" s="105"/>
      <c r="P25" s="105"/>
    </row>
    <row r="26" ht="15.0" customHeight="1">
      <c r="A26" s="94"/>
      <c r="B26" s="100"/>
      <c r="C26" s="94"/>
      <c r="D26" s="94"/>
      <c r="E26" s="94"/>
      <c r="F26" s="94"/>
      <c r="G26" s="100"/>
      <c r="H26" s="94"/>
      <c r="I26" s="94"/>
      <c r="J26" s="94"/>
      <c r="K26" s="94"/>
      <c r="L26" s="94"/>
      <c r="M26" s="95"/>
      <c r="N26" s="248" t="str">
        <f>PROPER(skillName_1_3_1)</f>
        <v>Finesse</v>
      </c>
      <c r="O26" s="11"/>
      <c r="P26" s="12"/>
    </row>
    <row r="27" ht="15.0" customHeight="1">
      <c r="A27" s="94"/>
      <c r="B27" s="100"/>
      <c r="C27" s="94"/>
      <c r="D27" s="94"/>
      <c r="E27" s="94"/>
      <c r="F27" s="94"/>
      <c r="G27" s="100"/>
      <c r="H27" s="94"/>
      <c r="I27" s="94"/>
      <c r="J27" s="94"/>
      <c r="K27" s="94"/>
      <c r="L27" s="100"/>
      <c r="M27" s="101"/>
      <c r="N27" s="102"/>
      <c r="O27" s="246" t="s">
        <v>48</v>
      </c>
      <c r="P27" s="247" t="s">
        <v>49</v>
      </c>
    </row>
    <row r="28" ht="7.5" customHeight="1">
      <c r="A28" s="94"/>
      <c r="B28" s="100"/>
      <c r="C28" s="94"/>
      <c r="D28" s="94"/>
      <c r="E28" s="94"/>
      <c r="F28" s="94"/>
      <c r="G28" s="100"/>
      <c r="H28" s="94"/>
      <c r="I28" s="105"/>
      <c r="J28" s="105"/>
      <c r="K28" s="105"/>
      <c r="L28" s="106"/>
      <c r="M28" s="105"/>
      <c r="N28" s="105"/>
      <c r="O28" s="105"/>
      <c r="P28" s="105"/>
    </row>
    <row r="29" ht="15.0" customHeight="1">
      <c r="A29" s="94"/>
      <c r="B29" s="100"/>
      <c r="C29" s="94"/>
      <c r="D29" s="94"/>
      <c r="E29" s="94"/>
      <c r="F29" s="94"/>
      <c r="G29" s="100"/>
      <c r="H29" s="95"/>
      <c r="I29" s="248" t="str">
        <f>PROPER(skillName_1_3)</f>
        <v>Precision</v>
      </c>
      <c r="J29" s="11"/>
      <c r="K29" s="12"/>
      <c r="L29" s="109"/>
      <c r="M29" s="110"/>
      <c r="N29" s="248" t="str">
        <f>PROPER(skillName_1_3_2)</f>
        <v>Dexterity</v>
      </c>
      <c r="O29" s="11"/>
      <c r="P29" s="12"/>
    </row>
    <row r="30" ht="15.0" customHeight="1">
      <c r="A30" s="94"/>
      <c r="B30" s="100"/>
      <c r="C30" s="94"/>
      <c r="D30" s="94"/>
      <c r="E30" s="94"/>
      <c r="F30" s="94"/>
      <c r="G30" s="94"/>
      <c r="H30" s="101"/>
      <c r="I30" s="102"/>
      <c r="J30" s="246" t="s">
        <v>48</v>
      </c>
      <c r="K30" s="247" t="s">
        <v>49</v>
      </c>
      <c r="L30" s="112"/>
      <c r="M30" s="113"/>
      <c r="N30" s="102"/>
      <c r="O30" s="246" t="s">
        <v>48</v>
      </c>
      <c r="P30" s="247" t="s">
        <v>49</v>
      </c>
    </row>
    <row r="31" ht="7.5" customHeight="1">
      <c r="A31" s="94"/>
      <c r="B31" s="100"/>
      <c r="C31" s="94"/>
      <c r="D31" s="94"/>
      <c r="E31" s="94"/>
      <c r="F31" s="94"/>
      <c r="G31" s="94"/>
      <c r="H31" s="94"/>
      <c r="I31" s="94"/>
      <c r="J31" s="94"/>
      <c r="K31" s="94"/>
      <c r="L31" s="100"/>
      <c r="M31" s="94"/>
      <c r="N31" s="105"/>
      <c r="O31" s="105"/>
      <c r="P31" s="105"/>
    </row>
    <row r="32" ht="15.0" customHeight="1">
      <c r="A32" s="94"/>
      <c r="B32" s="100"/>
      <c r="C32" s="94"/>
      <c r="D32" s="94"/>
      <c r="E32" s="94"/>
      <c r="F32" s="94"/>
      <c r="G32" s="94"/>
      <c r="H32" s="94"/>
      <c r="I32" s="94"/>
      <c r="J32" s="94"/>
      <c r="K32" s="94"/>
      <c r="L32" s="100"/>
      <c r="M32" s="95"/>
      <c r="N32" s="248" t="str">
        <f>PROPER(skillName_1_3_3)</f>
        <v>Stealth</v>
      </c>
      <c r="O32" s="11"/>
      <c r="P32" s="12"/>
    </row>
    <row r="33" ht="15.0" customHeight="1">
      <c r="A33" s="94"/>
      <c r="B33" s="100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101"/>
      <c r="N33" s="102"/>
      <c r="O33" s="246" t="s">
        <v>48</v>
      </c>
      <c r="P33" s="247" t="s">
        <v>49</v>
      </c>
    </row>
    <row r="34" ht="7.5" customHeight="1">
      <c r="A34" s="94"/>
      <c r="B34" s="100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105"/>
      <c r="O34" s="105"/>
      <c r="P34" s="105"/>
    </row>
    <row r="35" ht="15.0" customHeight="1">
      <c r="A35" s="94"/>
      <c r="B35" s="100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5"/>
      <c r="N35" s="248" t="str">
        <f>PROPER(skillName_2_1_1)</f>
        <v>Academics</v>
      </c>
      <c r="O35" s="11"/>
      <c r="P35" s="12"/>
    </row>
    <row r="36" ht="15.0" customHeight="1">
      <c r="A36" s="94"/>
      <c r="B36" s="100"/>
      <c r="C36" s="94"/>
      <c r="D36" s="94"/>
      <c r="E36" s="94"/>
      <c r="F36" s="94"/>
      <c r="G36" s="94"/>
      <c r="H36" s="94"/>
      <c r="I36" s="94"/>
      <c r="J36" s="94"/>
      <c r="K36" s="94"/>
      <c r="L36" s="100"/>
      <c r="M36" s="101"/>
      <c r="N36" s="102"/>
      <c r="O36" s="246" t="s">
        <v>48</v>
      </c>
      <c r="P36" s="247" t="s">
        <v>49</v>
      </c>
    </row>
    <row r="37" ht="7.5" customHeight="1">
      <c r="A37" s="94"/>
      <c r="B37" s="100"/>
      <c r="C37" s="94"/>
      <c r="D37" s="94"/>
      <c r="E37" s="94"/>
      <c r="F37" s="94"/>
      <c r="G37" s="94"/>
      <c r="H37" s="94"/>
      <c r="I37" s="105"/>
      <c r="J37" s="105"/>
      <c r="K37" s="105"/>
      <c r="L37" s="106"/>
      <c r="M37" s="105"/>
      <c r="N37" s="105"/>
      <c r="O37" s="105"/>
      <c r="P37" s="105"/>
    </row>
    <row r="38" ht="15.0" customHeight="1">
      <c r="A38" s="94"/>
      <c r="B38" s="100"/>
      <c r="C38" s="94"/>
      <c r="D38" s="94"/>
      <c r="E38" s="94"/>
      <c r="F38" s="94"/>
      <c r="G38" s="94"/>
      <c r="H38" s="95"/>
      <c r="I38" s="248" t="str">
        <f>PROPER(skillName_2_1)</f>
        <v>Knowledge</v>
      </c>
      <c r="J38" s="11"/>
      <c r="K38" s="12"/>
      <c r="L38" s="109"/>
      <c r="M38" s="110"/>
      <c r="N38" s="248" t="str">
        <f>PROPER(skillName_2_1_2)</f>
        <v>Deduction</v>
      </c>
      <c r="O38" s="11"/>
      <c r="P38" s="12"/>
    </row>
    <row r="39" ht="15.0" customHeight="1">
      <c r="A39" s="94"/>
      <c r="B39" s="100"/>
      <c r="C39" s="94"/>
      <c r="D39" s="94"/>
      <c r="E39" s="94"/>
      <c r="F39" s="94"/>
      <c r="G39" s="100"/>
      <c r="H39" s="101"/>
      <c r="I39" s="102"/>
      <c r="J39" s="246" t="s">
        <v>48</v>
      </c>
      <c r="K39" s="247" t="s">
        <v>49</v>
      </c>
      <c r="L39" s="112"/>
      <c r="M39" s="113"/>
      <c r="N39" s="102"/>
      <c r="O39" s="246" t="s">
        <v>48</v>
      </c>
      <c r="P39" s="247" t="s">
        <v>49</v>
      </c>
    </row>
    <row r="40" ht="7.5" customHeight="1">
      <c r="A40" s="94"/>
      <c r="B40" s="100"/>
      <c r="C40" s="94"/>
      <c r="D40" s="94"/>
      <c r="E40" s="94"/>
      <c r="F40" s="94"/>
      <c r="G40" s="100"/>
      <c r="H40" s="94"/>
      <c r="I40" s="94"/>
      <c r="J40" s="94"/>
      <c r="K40" s="94"/>
      <c r="L40" s="100"/>
      <c r="M40" s="94"/>
      <c r="N40" s="105"/>
      <c r="O40" s="105"/>
      <c r="P40" s="105"/>
    </row>
    <row r="41" ht="15.0" customHeight="1">
      <c r="A41" s="94"/>
      <c r="B41" s="100"/>
      <c r="C41" s="94"/>
      <c r="D41" s="94"/>
      <c r="E41" s="94"/>
      <c r="F41" s="94"/>
      <c r="G41" s="100"/>
      <c r="H41" s="94"/>
      <c r="I41" s="94"/>
      <c r="J41" s="94"/>
      <c r="K41" s="94"/>
      <c r="L41" s="100"/>
      <c r="M41" s="95"/>
      <c r="N41" s="248" t="str">
        <f>PROPER(skillName_2_1_3)</f>
        <v>Communication</v>
      </c>
      <c r="O41" s="11"/>
      <c r="P41" s="12"/>
    </row>
    <row r="42" ht="15.0" customHeight="1">
      <c r="A42" s="94"/>
      <c r="B42" s="100"/>
      <c r="C42" s="94"/>
      <c r="D42" s="94"/>
      <c r="E42" s="94"/>
      <c r="F42" s="94"/>
      <c r="G42" s="100"/>
      <c r="H42" s="94"/>
      <c r="I42" s="94"/>
      <c r="J42" s="94"/>
      <c r="K42" s="94"/>
      <c r="L42" s="94"/>
      <c r="M42" s="101"/>
      <c r="N42" s="102"/>
      <c r="O42" s="246" t="s">
        <v>48</v>
      </c>
      <c r="P42" s="247" t="s">
        <v>49</v>
      </c>
    </row>
    <row r="43" ht="7.5" customHeight="1">
      <c r="A43" s="94"/>
      <c r="B43" s="100"/>
      <c r="C43" s="94"/>
      <c r="D43" s="94"/>
      <c r="E43" s="94"/>
      <c r="F43" s="94"/>
      <c r="G43" s="100"/>
      <c r="H43" s="94"/>
      <c r="I43" s="94"/>
      <c r="J43" s="94"/>
      <c r="K43" s="94"/>
      <c r="L43" s="94"/>
      <c r="M43" s="94"/>
      <c r="N43" s="105"/>
      <c r="O43" s="105"/>
      <c r="P43" s="105"/>
    </row>
    <row r="44" ht="15.0" customHeight="1">
      <c r="A44" s="94"/>
      <c r="B44" s="100"/>
      <c r="C44" s="94"/>
      <c r="D44" s="94"/>
      <c r="E44" s="94"/>
      <c r="F44" s="94"/>
      <c r="G44" s="100"/>
      <c r="H44" s="94"/>
      <c r="I44" s="94"/>
      <c r="J44" s="94"/>
      <c r="K44" s="94"/>
      <c r="L44" s="94"/>
      <c r="M44" s="95"/>
      <c r="N44" s="248" t="str">
        <f>PROPER(skillName_2_2_1)</f>
        <v>Perception</v>
      </c>
      <c r="O44" s="11"/>
      <c r="P44" s="12"/>
    </row>
    <row r="45" ht="15.0" customHeight="1">
      <c r="A45" s="94"/>
      <c r="B45" s="100"/>
      <c r="C45" s="94"/>
      <c r="D45" s="94"/>
      <c r="E45" s="94"/>
      <c r="F45" s="94"/>
      <c r="G45" s="100"/>
      <c r="H45" s="94"/>
      <c r="I45" s="94"/>
      <c r="J45" s="94"/>
      <c r="K45" s="94"/>
      <c r="L45" s="100"/>
      <c r="M45" s="101"/>
      <c r="N45" s="102"/>
      <c r="O45" s="246" t="s">
        <v>48</v>
      </c>
      <c r="P45" s="247" t="s">
        <v>49</v>
      </c>
    </row>
    <row r="46" ht="7.5" customHeight="1">
      <c r="A46" s="132"/>
      <c r="B46" s="133"/>
      <c r="C46" s="132"/>
      <c r="D46" s="105"/>
      <c r="E46" s="105"/>
      <c r="F46" s="105"/>
      <c r="G46" s="106"/>
      <c r="H46" s="105"/>
      <c r="I46" s="105"/>
      <c r="J46" s="105"/>
      <c r="K46" s="105"/>
      <c r="L46" s="106"/>
      <c r="M46" s="105"/>
      <c r="N46" s="105"/>
      <c r="O46" s="105"/>
      <c r="P46" s="105"/>
    </row>
    <row r="47" ht="15.0" customHeight="1">
      <c r="A47" s="249" t="str">
        <f>PROPER(skillName_0)</f>
        <v>Competence</v>
      </c>
      <c r="B47" s="135"/>
      <c r="C47" s="136"/>
      <c r="D47" s="248" t="str">
        <f>PROPER(skillName_2)</f>
        <v>Mental</v>
      </c>
      <c r="E47" s="11"/>
      <c r="F47" s="12"/>
      <c r="G47" s="109"/>
      <c r="H47" s="110"/>
      <c r="I47" s="248" t="str">
        <f>PROPER(skillName_2_2)</f>
        <v>Wisdom</v>
      </c>
      <c r="J47" s="11"/>
      <c r="K47" s="12"/>
      <c r="L47" s="109"/>
      <c r="M47" s="110"/>
      <c r="N47" s="248" t="str">
        <f>PROPER(skillName_2_2_2)</f>
        <v>Intuition</v>
      </c>
      <c r="O47" s="11"/>
      <c r="P47" s="12"/>
    </row>
    <row r="48" ht="15.0" customHeight="1">
      <c r="A48" s="102"/>
      <c r="B48" s="141"/>
      <c r="C48" s="142"/>
      <c r="D48" s="102"/>
      <c r="E48" s="246" t="s">
        <v>48</v>
      </c>
      <c r="F48" s="247" t="s">
        <v>49</v>
      </c>
      <c r="G48" s="112"/>
      <c r="H48" s="113"/>
      <c r="I48" s="102"/>
      <c r="J48" s="246" t="s">
        <v>48</v>
      </c>
      <c r="K48" s="247" t="s">
        <v>49</v>
      </c>
      <c r="L48" s="112"/>
      <c r="M48" s="113"/>
      <c r="N48" s="102"/>
      <c r="O48" s="246" t="s">
        <v>48</v>
      </c>
      <c r="P48" s="247" t="s">
        <v>49</v>
      </c>
    </row>
    <row r="49" ht="7.5" customHeight="1">
      <c r="A49" s="94"/>
      <c r="B49" s="100"/>
      <c r="C49" s="94"/>
      <c r="D49" s="94"/>
      <c r="E49" s="94"/>
      <c r="F49" s="94"/>
      <c r="G49" s="100"/>
      <c r="H49" s="94"/>
      <c r="I49" s="94"/>
      <c r="J49" s="94"/>
      <c r="K49" s="94"/>
      <c r="L49" s="100"/>
      <c r="M49" s="94"/>
      <c r="N49" s="105"/>
      <c r="O49" s="105"/>
      <c r="P49" s="105"/>
    </row>
    <row r="50" ht="15.0" customHeight="1">
      <c r="A50" s="94"/>
      <c r="B50" s="100"/>
      <c r="C50" s="94"/>
      <c r="D50" s="94"/>
      <c r="E50" s="94"/>
      <c r="F50" s="94"/>
      <c r="G50" s="100"/>
      <c r="H50" s="94"/>
      <c r="I50" s="94"/>
      <c r="J50" s="94"/>
      <c r="K50" s="94"/>
      <c r="L50" s="100"/>
      <c r="M50" s="95"/>
      <c r="N50" s="248" t="str">
        <f>PROPER(skillName_2_2_3)</f>
        <v>Resourcefulness</v>
      </c>
      <c r="O50" s="11"/>
      <c r="P50" s="12"/>
    </row>
    <row r="51" ht="15.0" customHeight="1">
      <c r="A51" s="94"/>
      <c r="B51" s="100"/>
      <c r="C51" s="94"/>
      <c r="D51" s="94"/>
      <c r="E51" s="94"/>
      <c r="F51" s="94"/>
      <c r="G51" s="100"/>
      <c r="H51" s="94"/>
      <c r="I51" s="94"/>
      <c r="J51" s="94"/>
      <c r="K51" s="94"/>
      <c r="L51" s="94"/>
      <c r="M51" s="101"/>
      <c r="N51" s="102"/>
      <c r="O51" s="246" t="s">
        <v>48</v>
      </c>
      <c r="P51" s="247" t="s">
        <v>49</v>
      </c>
    </row>
    <row r="52" ht="7.5" customHeight="1">
      <c r="A52" s="94"/>
      <c r="B52" s="100"/>
      <c r="C52" s="94"/>
      <c r="D52" s="94"/>
      <c r="E52" s="94"/>
      <c r="F52" s="94"/>
      <c r="G52" s="100"/>
      <c r="H52" s="94"/>
      <c r="I52" s="94"/>
      <c r="J52" s="94"/>
      <c r="K52" s="94"/>
      <c r="L52" s="94"/>
      <c r="M52" s="94"/>
      <c r="N52" s="105"/>
      <c r="O52" s="105"/>
      <c r="P52" s="105"/>
    </row>
    <row r="53" ht="15.0" customHeight="1">
      <c r="A53" s="94"/>
      <c r="B53" s="100"/>
      <c r="C53" s="94"/>
      <c r="D53" s="94"/>
      <c r="E53" s="94"/>
      <c r="F53" s="94"/>
      <c r="G53" s="100"/>
      <c r="H53" s="94"/>
      <c r="I53" s="94"/>
      <c r="J53" s="94"/>
      <c r="K53" s="94"/>
      <c r="L53" s="94"/>
      <c r="M53" s="95"/>
      <c r="N53" s="248" t="str">
        <f>PROPER(skillName_2_3_1)</f>
        <v>Persuasion</v>
      </c>
      <c r="O53" s="11"/>
      <c r="P53" s="12"/>
    </row>
    <row r="54" ht="15.0" customHeight="1">
      <c r="A54" s="94"/>
      <c r="B54" s="100"/>
      <c r="C54" s="94"/>
      <c r="D54" s="94"/>
      <c r="E54" s="94"/>
      <c r="F54" s="94"/>
      <c r="G54" s="100"/>
      <c r="H54" s="94"/>
      <c r="I54" s="94"/>
      <c r="J54" s="94"/>
      <c r="K54" s="94"/>
      <c r="L54" s="100"/>
      <c r="M54" s="101"/>
      <c r="N54" s="102"/>
      <c r="O54" s="246" t="s">
        <v>48</v>
      </c>
      <c r="P54" s="247" t="s">
        <v>49</v>
      </c>
    </row>
    <row r="55" ht="7.5" customHeight="1">
      <c r="A55" s="94"/>
      <c r="B55" s="100"/>
      <c r="C55" s="94"/>
      <c r="D55" s="94"/>
      <c r="E55" s="94"/>
      <c r="F55" s="94"/>
      <c r="G55" s="100"/>
      <c r="H55" s="94"/>
      <c r="I55" s="105"/>
      <c r="J55" s="105"/>
      <c r="K55" s="105"/>
      <c r="L55" s="106"/>
      <c r="M55" s="105"/>
      <c r="N55" s="105"/>
      <c r="O55" s="105"/>
      <c r="P55" s="105"/>
    </row>
    <row r="56" ht="15.0" customHeight="1">
      <c r="A56" s="94"/>
      <c r="B56" s="100"/>
      <c r="C56" s="94"/>
      <c r="D56" s="94"/>
      <c r="E56" s="94"/>
      <c r="F56" s="94"/>
      <c r="G56" s="100"/>
      <c r="H56" s="95"/>
      <c r="I56" s="248" t="str">
        <f>PROPER(skillName_2_3)</f>
        <v>Presence</v>
      </c>
      <c r="J56" s="11"/>
      <c r="K56" s="12"/>
      <c r="L56" s="109"/>
      <c r="M56" s="110"/>
      <c r="N56" s="248" t="str">
        <f>PROPER(skillName_2_3_2)</f>
        <v>Deception</v>
      </c>
      <c r="O56" s="11"/>
      <c r="P56" s="12"/>
    </row>
    <row r="57" ht="15.0" customHeight="1">
      <c r="A57" s="94"/>
      <c r="B57" s="100"/>
      <c r="C57" s="94"/>
      <c r="D57" s="94"/>
      <c r="E57" s="94"/>
      <c r="F57" s="94"/>
      <c r="G57" s="94"/>
      <c r="H57" s="101"/>
      <c r="I57" s="102"/>
      <c r="J57" s="246" t="s">
        <v>48</v>
      </c>
      <c r="K57" s="247" t="s">
        <v>49</v>
      </c>
      <c r="L57" s="112"/>
      <c r="M57" s="113"/>
      <c r="N57" s="102"/>
      <c r="O57" s="246" t="s">
        <v>48</v>
      </c>
      <c r="P57" s="247" t="s">
        <v>49</v>
      </c>
    </row>
    <row r="58" ht="7.5" customHeight="1">
      <c r="A58" s="94"/>
      <c r="B58" s="100"/>
      <c r="C58" s="94"/>
      <c r="D58" s="94"/>
      <c r="E58" s="94"/>
      <c r="F58" s="94"/>
      <c r="G58" s="94"/>
      <c r="H58" s="94"/>
      <c r="I58" s="94"/>
      <c r="J58" s="94"/>
      <c r="K58" s="94"/>
      <c r="L58" s="100"/>
      <c r="M58" s="94"/>
      <c r="N58" s="105"/>
      <c r="O58" s="105"/>
      <c r="P58" s="105"/>
    </row>
    <row r="59" ht="15.0" customHeight="1">
      <c r="A59" s="94"/>
      <c r="B59" s="100"/>
      <c r="C59" s="94"/>
      <c r="D59" s="94"/>
      <c r="E59" s="94"/>
      <c r="F59" s="94"/>
      <c r="G59" s="94"/>
      <c r="H59" s="94"/>
      <c r="I59" s="94"/>
      <c r="J59" s="94"/>
      <c r="K59" s="94"/>
      <c r="L59" s="100"/>
      <c r="M59" s="95"/>
      <c r="N59" s="248" t="str">
        <f>PROPER(skillName_2_3_3)</f>
        <v>Intimidation</v>
      </c>
      <c r="O59" s="11"/>
      <c r="P59" s="12"/>
    </row>
    <row r="60" ht="15.0" customHeight="1">
      <c r="A60" s="94"/>
      <c r="B60" s="100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101"/>
      <c r="N60" s="102"/>
      <c r="O60" s="246" t="s">
        <v>48</v>
      </c>
      <c r="P60" s="247" t="s">
        <v>49</v>
      </c>
    </row>
    <row r="61" ht="7.5" customHeight="1">
      <c r="A61" s="94"/>
      <c r="B61" s="100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23"/>
      <c r="O61" s="23"/>
      <c r="P61" s="23"/>
    </row>
    <row r="62" ht="15.0" customHeight="1">
      <c r="A62" s="94"/>
      <c r="B62" s="100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5"/>
      <c r="N62" s="245" t="str">
        <f>PROPER(skillName_3_1_1)</f>
        <v>Enchanting</v>
      </c>
      <c r="O62" s="11"/>
      <c r="P62" s="12"/>
    </row>
    <row r="63" ht="15.0" customHeight="1">
      <c r="A63" s="94"/>
      <c r="B63" s="100"/>
      <c r="C63" s="94"/>
      <c r="D63" s="94"/>
      <c r="E63" s="94"/>
      <c r="F63" s="94"/>
      <c r="G63" s="94"/>
      <c r="H63" s="94"/>
      <c r="I63" s="94"/>
      <c r="J63" s="94"/>
      <c r="K63" s="94"/>
      <c r="L63" s="100"/>
      <c r="M63" s="101"/>
      <c r="N63" s="25"/>
      <c r="O63" s="246" t="s">
        <v>48</v>
      </c>
      <c r="P63" s="247" t="s">
        <v>49</v>
      </c>
    </row>
    <row r="64" ht="7.5" customHeight="1">
      <c r="A64" s="94"/>
      <c r="B64" s="100"/>
      <c r="C64" s="94"/>
      <c r="D64" s="94"/>
      <c r="E64" s="94"/>
      <c r="F64" s="94"/>
      <c r="G64" s="94"/>
      <c r="H64" s="94"/>
      <c r="I64" s="105"/>
      <c r="J64" s="105"/>
      <c r="K64" s="105"/>
      <c r="L64" s="106"/>
      <c r="M64" s="105"/>
      <c r="N64" s="23"/>
      <c r="O64" s="23"/>
      <c r="P64" s="23"/>
    </row>
    <row r="65" ht="15.0" customHeight="1">
      <c r="A65" s="94"/>
      <c r="B65" s="100"/>
      <c r="C65" s="94"/>
      <c r="D65" s="94"/>
      <c r="E65" s="94"/>
      <c r="F65" s="94"/>
      <c r="G65" s="94"/>
      <c r="H65" s="95"/>
      <c r="I65" s="248" t="str">
        <f>PROPER(skillName_3_1)</f>
        <v>Curses</v>
      </c>
      <c r="J65" s="11"/>
      <c r="K65" s="12"/>
      <c r="L65" s="109"/>
      <c r="M65" s="110"/>
      <c r="N65" s="245" t="str">
        <f>PROPER(skillName_3_1_2)</f>
        <v>Beholding</v>
      </c>
      <c r="O65" s="11"/>
      <c r="P65" s="12"/>
    </row>
    <row r="66" ht="15.0" customHeight="1">
      <c r="A66" s="94"/>
      <c r="B66" s="100"/>
      <c r="C66" s="94"/>
      <c r="D66" s="94"/>
      <c r="E66" s="94"/>
      <c r="F66" s="94"/>
      <c r="G66" s="100"/>
      <c r="H66" s="101"/>
      <c r="I66" s="102"/>
      <c r="J66" s="246" t="s">
        <v>48</v>
      </c>
      <c r="K66" s="247" t="s">
        <v>49</v>
      </c>
      <c r="L66" s="112"/>
      <c r="M66" s="113"/>
      <c r="N66" s="25"/>
      <c r="O66" s="246" t="s">
        <v>48</v>
      </c>
      <c r="P66" s="247" t="s">
        <v>49</v>
      </c>
    </row>
    <row r="67" ht="7.5" customHeight="1">
      <c r="A67" s="94"/>
      <c r="B67" s="100"/>
      <c r="C67" s="94"/>
      <c r="D67" s="94"/>
      <c r="E67" s="94"/>
      <c r="F67" s="94"/>
      <c r="G67" s="100"/>
      <c r="H67" s="94"/>
      <c r="I67" s="94"/>
      <c r="J67" s="94"/>
      <c r="K67" s="94"/>
      <c r="L67" s="100"/>
      <c r="M67" s="94"/>
      <c r="N67" s="23"/>
      <c r="O67" s="23"/>
      <c r="P67" s="23"/>
    </row>
    <row r="68" ht="15.0" customHeight="1">
      <c r="A68" s="94"/>
      <c r="B68" s="100"/>
      <c r="C68" s="94"/>
      <c r="D68" s="94"/>
      <c r="E68" s="94"/>
      <c r="F68" s="94"/>
      <c r="G68" s="100"/>
      <c r="H68" s="94"/>
      <c r="I68" s="94"/>
      <c r="J68" s="94"/>
      <c r="K68" s="94"/>
      <c r="L68" s="100"/>
      <c r="M68" s="95"/>
      <c r="N68" s="245" t="str">
        <f>PROPER(skillName_3_1_3)</f>
        <v>Transmutation</v>
      </c>
      <c r="O68" s="11"/>
      <c r="P68" s="12"/>
    </row>
    <row r="69" ht="15.0" customHeight="1">
      <c r="A69" s="94"/>
      <c r="B69" s="100"/>
      <c r="C69" s="94"/>
      <c r="D69" s="94"/>
      <c r="E69" s="94"/>
      <c r="F69" s="94"/>
      <c r="G69" s="100"/>
      <c r="H69" s="94"/>
      <c r="I69" s="94"/>
      <c r="J69" s="94"/>
      <c r="K69" s="94"/>
      <c r="L69" s="94"/>
      <c r="M69" s="101"/>
      <c r="N69" s="102"/>
      <c r="O69" s="246" t="s">
        <v>48</v>
      </c>
      <c r="P69" s="247" t="s">
        <v>49</v>
      </c>
    </row>
    <row r="70" ht="7.5" customHeight="1">
      <c r="A70" s="94"/>
      <c r="B70" s="100"/>
      <c r="C70" s="94"/>
      <c r="D70" s="94"/>
      <c r="E70" s="94"/>
      <c r="F70" s="94"/>
      <c r="G70" s="100"/>
      <c r="H70" s="94"/>
      <c r="I70" s="94"/>
      <c r="J70" s="94"/>
      <c r="K70" s="94"/>
      <c r="L70" s="94"/>
      <c r="M70" s="94"/>
      <c r="N70" s="23"/>
      <c r="O70" s="23"/>
      <c r="P70" s="23"/>
    </row>
    <row r="71" ht="15.0" customHeight="1">
      <c r="A71" s="94"/>
      <c r="B71" s="100"/>
      <c r="C71" s="94"/>
      <c r="D71" s="94"/>
      <c r="E71" s="94"/>
      <c r="F71" s="94"/>
      <c r="G71" s="100"/>
      <c r="H71" s="94"/>
      <c r="I71" s="94"/>
      <c r="J71" s="94"/>
      <c r="K71" s="94"/>
      <c r="L71" s="94"/>
      <c r="M71" s="95"/>
      <c r="N71" s="245" t="str">
        <f>PROPER(skillName_3_2_1)</f>
        <v>Invocation</v>
      </c>
      <c r="O71" s="11"/>
      <c r="P71" s="12"/>
    </row>
    <row r="72" ht="15.0" customHeight="1">
      <c r="A72" s="94"/>
      <c r="B72" s="100"/>
      <c r="C72" s="94"/>
      <c r="D72" s="94"/>
      <c r="E72" s="94"/>
      <c r="F72" s="94"/>
      <c r="G72" s="100"/>
      <c r="H72" s="94"/>
      <c r="I72" s="94"/>
      <c r="J72" s="94"/>
      <c r="K72" s="94"/>
      <c r="L72" s="100"/>
      <c r="M72" s="101"/>
      <c r="N72" s="102"/>
      <c r="O72" s="246" t="s">
        <v>48</v>
      </c>
      <c r="P72" s="247" t="s">
        <v>49</v>
      </c>
    </row>
    <row r="73" ht="7.5" customHeight="1">
      <c r="A73" s="94"/>
      <c r="B73" s="100"/>
      <c r="C73" s="94"/>
      <c r="D73" s="105"/>
      <c r="E73" s="105"/>
      <c r="F73" s="105"/>
      <c r="G73" s="106"/>
      <c r="H73" s="105"/>
      <c r="I73" s="105"/>
      <c r="J73" s="105"/>
      <c r="K73" s="105"/>
      <c r="L73" s="106"/>
      <c r="M73" s="105"/>
      <c r="N73" s="23"/>
      <c r="O73" s="23"/>
      <c r="P73" s="23"/>
    </row>
    <row r="74" ht="15.0" customHeight="1">
      <c r="A74" s="94"/>
      <c r="B74" s="100"/>
      <c r="C74" s="95"/>
      <c r="D74" s="248" t="str">
        <f>PROPER(skillName_3)</f>
        <v>Spiritual</v>
      </c>
      <c r="E74" s="11"/>
      <c r="F74" s="12"/>
      <c r="G74" s="109"/>
      <c r="H74" s="110"/>
      <c r="I74" s="248" t="str">
        <f>PROPER(skillName_3_2)</f>
        <v>Spells</v>
      </c>
      <c r="J74" s="11"/>
      <c r="K74" s="12"/>
      <c r="L74" s="109"/>
      <c r="M74" s="110"/>
      <c r="N74" s="245" t="str">
        <f>PROPER(skillName_3_2_2)</f>
        <v>Illusions</v>
      </c>
      <c r="O74" s="11"/>
      <c r="P74" s="12"/>
    </row>
    <row r="75" ht="15.0" customHeight="1">
      <c r="A75" s="94"/>
      <c r="B75" s="94"/>
      <c r="C75" s="101"/>
      <c r="D75" s="102"/>
      <c r="E75" s="246" t="s">
        <v>48</v>
      </c>
      <c r="F75" s="247" t="s">
        <v>49</v>
      </c>
      <c r="G75" s="112"/>
      <c r="H75" s="113"/>
      <c r="I75" s="102"/>
      <c r="J75" s="246" t="s">
        <v>48</v>
      </c>
      <c r="K75" s="247" t="s">
        <v>49</v>
      </c>
      <c r="L75" s="112"/>
      <c r="M75" s="113"/>
      <c r="N75" s="102"/>
      <c r="O75" s="246" t="s">
        <v>48</v>
      </c>
      <c r="P75" s="247" t="s">
        <v>49</v>
      </c>
    </row>
    <row r="76" ht="7.5" customHeight="1">
      <c r="A76" s="94"/>
      <c r="B76" s="94"/>
      <c r="C76" s="94"/>
      <c r="D76" s="94"/>
      <c r="E76" s="94"/>
      <c r="F76" s="94"/>
      <c r="G76" s="100"/>
      <c r="H76" s="94"/>
      <c r="I76" s="94"/>
      <c r="J76" s="94"/>
      <c r="K76" s="94"/>
      <c r="L76" s="100"/>
      <c r="M76" s="94"/>
      <c r="N76" s="23"/>
      <c r="O76" s="23"/>
      <c r="P76" s="23"/>
    </row>
    <row r="77" ht="15.0" customHeight="1">
      <c r="A77" s="94"/>
      <c r="B77" s="94"/>
      <c r="C77" s="94"/>
      <c r="D77" s="94"/>
      <c r="E77" s="94"/>
      <c r="F77" s="94"/>
      <c r="G77" s="100"/>
      <c r="H77" s="94"/>
      <c r="I77" s="94"/>
      <c r="J77" s="94"/>
      <c r="K77" s="94"/>
      <c r="L77" s="100"/>
      <c r="M77" s="95"/>
      <c r="N77" s="245" t="str">
        <f>PROPER(skillName_3_2_3)</f>
        <v>Fabrication</v>
      </c>
      <c r="O77" s="11"/>
      <c r="P77" s="12"/>
    </row>
    <row r="78" ht="15.0" customHeight="1">
      <c r="A78" s="94"/>
      <c r="B78" s="94"/>
      <c r="C78" s="94"/>
      <c r="D78" s="94"/>
      <c r="E78" s="94"/>
      <c r="F78" s="94"/>
      <c r="G78" s="100"/>
      <c r="H78" s="94"/>
      <c r="I78" s="94"/>
      <c r="J78" s="94"/>
      <c r="K78" s="94"/>
      <c r="L78" s="94"/>
      <c r="M78" s="101"/>
      <c r="N78" s="102"/>
      <c r="O78" s="246" t="s">
        <v>48</v>
      </c>
      <c r="P78" s="247" t="s">
        <v>49</v>
      </c>
    </row>
    <row r="79" ht="7.5" customHeight="1">
      <c r="A79" s="94"/>
      <c r="B79" s="94"/>
      <c r="C79" s="94"/>
      <c r="D79" s="94"/>
      <c r="E79" s="94"/>
      <c r="F79" s="94"/>
      <c r="G79" s="100"/>
      <c r="H79" s="94"/>
      <c r="I79" s="94"/>
      <c r="J79" s="94"/>
      <c r="K79" s="94"/>
      <c r="L79" s="94"/>
      <c r="M79" s="94"/>
      <c r="N79" s="23"/>
      <c r="O79" s="23"/>
      <c r="P79" s="23"/>
    </row>
    <row r="80" ht="15.0" customHeight="1">
      <c r="A80" s="94"/>
      <c r="B80" s="94"/>
      <c r="C80" s="94"/>
      <c r="D80" s="94"/>
      <c r="E80" s="94"/>
      <c r="F80" s="94"/>
      <c r="G80" s="100"/>
      <c r="H80" s="94"/>
      <c r="I80" s="94"/>
      <c r="J80" s="94"/>
      <c r="K80" s="94"/>
      <c r="L80" s="94"/>
      <c r="M80" s="95"/>
      <c r="N80" s="245" t="str">
        <f>PROPER(skillName_3_3_1)</f>
        <v>Jinxes</v>
      </c>
      <c r="O80" s="11"/>
      <c r="P80" s="12"/>
    </row>
    <row r="81" ht="15.0" customHeight="1">
      <c r="A81" s="94"/>
      <c r="B81" s="94"/>
      <c r="C81" s="94"/>
      <c r="D81" s="94"/>
      <c r="E81" s="94"/>
      <c r="F81" s="94"/>
      <c r="G81" s="100"/>
      <c r="H81" s="94"/>
      <c r="I81" s="94"/>
      <c r="J81" s="94"/>
      <c r="K81" s="94"/>
      <c r="L81" s="100"/>
      <c r="M81" s="101"/>
      <c r="N81" s="102"/>
      <c r="O81" s="246" t="s">
        <v>48</v>
      </c>
      <c r="P81" s="247" t="s">
        <v>49</v>
      </c>
    </row>
    <row r="82" ht="7.5" customHeight="1">
      <c r="A82" s="94"/>
      <c r="B82" s="94"/>
      <c r="C82" s="94"/>
      <c r="D82" s="94"/>
      <c r="E82" s="94"/>
      <c r="F82" s="94"/>
      <c r="G82" s="100"/>
      <c r="H82" s="94"/>
      <c r="I82" s="105"/>
      <c r="J82" s="105"/>
      <c r="K82" s="105"/>
      <c r="L82" s="106"/>
      <c r="M82" s="105"/>
      <c r="N82" s="23"/>
      <c r="O82" s="23"/>
      <c r="P82" s="23"/>
    </row>
    <row r="83" ht="15.0" customHeight="1">
      <c r="A83" s="94"/>
      <c r="B83" s="94"/>
      <c r="C83" s="94"/>
      <c r="D83" s="94"/>
      <c r="E83" s="94"/>
      <c r="F83" s="94"/>
      <c r="G83" s="100"/>
      <c r="H83" s="95"/>
      <c r="I83" s="248" t="str">
        <f>PROPER(skillName_3_3)</f>
        <v>Hexes</v>
      </c>
      <c r="J83" s="11"/>
      <c r="K83" s="12"/>
      <c r="L83" s="109"/>
      <c r="M83" s="110"/>
      <c r="N83" s="245" t="str">
        <f>PROPER(skillName_3_3_2)</f>
        <v>Possession</v>
      </c>
      <c r="O83" s="11"/>
      <c r="P83" s="12"/>
    </row>
    <row r="84" ht="15.0" customHeight="1">
      <c r="A84" s="94"/>
      <c r="B84" s="94"/>
      <c r="C84" s="94"/>
      <c r="D84" s="94"/>
      <c r="E84" s="19"/>
      <c r="F84" s="19" t="s">
        <v>37</v>
      </c>
      <c r="G84" s="19"/>
      <c r="H84" s="164"/>
      <c r="I84" s="102"/>
      <c r="J84" s="246" t="s">
        <v>48</v>
      </c>
      <c r="K84" s="247" t="s">
        <v>49</v>
      </c>
      <c r="L84" s="112"/>
      <c r="M84" s="113"/>
      <c r="N84" s="102"/>
      <c r="O84" s="246" t="s">
        <v>48</v>
      </c>
      <c r="P84" s="247" t="s">
        <v>49</v>
      </c>
    </row>
    <row r="85" ht="7.5" customHeight="1">
      <c r="A85" s="94"/>
      <c r="B85" s="94"/>
      <c r="C85" s="94"/>
      <c r="D85" s="94"/>
      <c r="E85" s="94"/>
      <c r="F85" s="94"/>
      <c r="G85" s="94"/>
      <c r="H85" s="94"/>
      <c r="I85" s="165"/>
      <c r="J85" s="166"/>
      <c r="K85" s="166"/>
      <c r="L85" s="167"/>
      <c r="M85" s="166"/>
      <c r="N85" s="23"/>
      <c r="O85" s="23"/>
      <c r="P85" s="23"/>
    </row>
    <row r="86" ht="15.0" customHeight="1">
      <c r="A86" s="94"/>
      <c r="B86" s="94"/>
      <c r="C86" s="94"/>
      <c r="D86" s="94"/>
      <c r="E86" s="94"/>
      <c r="F86" s="94"/>
      <c r="G86" s="94"/>
      <c r="H86" s="94"/>
      <c r="I86" s="165"/>
      <c r="J86" s="166"/>
      <c r="K86" s="166"/>
      <c r="L86" s="167"/>
      <c r="M86" s="168"/>
      <c r="N86" s="245" t="str">
        <f>PROPER(skillName_3_3_3)</f>
        <v>Restoration</v>
      </c>
      <c r="O86" s="11"/>
      <c r="P86" s="12"/>
    </row>
    <row r="87" ht="15.0" customHeight="1">
      <c r="A87" s="169"/>
      <c r="B87" s="169"/>
      <c r="C87" s="169"/>
      <c r="D87" s="169"/>
      <c r="E87" s="169"/>
      <c r="F87" s="169"/>
      <c r="G87" s="169"/>
      <c r="H87" s="169"/>
      <c r="I87" s="165"/>
      <c r="J87" s="166"/>
      <c r="K87" s="166"/>
      <c r="L87" s="166"/>
      <c r="M87" s="170"/>
      <c r="N87" s="102"/>
      <c r="O87" s="246" t="s">
        <v>48</v>
      </c>
      <c r="P87" s="247" t="s">
        <v>49</v>
      </c>
    </row>
    <row r="88" ht="30.0" customHeight="1">
      <c r="A88" s="171" t="str">
        <f>systemData_copyrightMessage</f>
        <v>Fractal RPG v0.5.0.0 (Squishy Meatloaf | Pantsless Robot) 2019 - 202X SparkliTwizzl
Licensed under CC BY-NC-SA 4.0</v>
      </c>
    </row>
  </sheetData>
  <mergeCells count="51">
    <mergeCell ref="D5:F5"/>
    <mergeCell ref="D6:F6"/>
    <mergeCell ref="D20:F20"/>
    <mergeCell ref="D47:F47"/>
    <mergeCell ref="D74:F74"/>
    <mergeCell ref="A1:C2"/>
    <mergeCell ref="D1:O1"/>
    <mergeCell ref="E2:N2"/>
    <mergeCell ref="F3:N3"/>
    <mergeCell ref="I5:K5"/>
    <mergeCell ref="A6:B6"/>
    <mergeCell ref="I6:K6"/>
    <mergeCell ref="N5:P5"/>
    <mergeCell ref="N6:P6"/>
    <mergeCell ref="N8:P8"/>
    <mergeCell ref="I11:K11"/>
    <mergeCell ref="N11:P11"/>
    <mergeCell ref="N14:P14"/>
    <mergeCell ref="N17:P17"/>
    <mergeCell ref="I29:K29"/>
    <mergeCell ref="I38:K38"/>
    <mergeCell ref="I47:K47"/>
    <mergeCell ref="I56:K56"/>
    <mergeCell ref="I65:K65"/>
    <mergeCell ref="I74:K74"/>
    <mergeCell ref="I83:K83"/>
    <mergeCell ref="I20:K20"/>
    <mergeCell ref="N20:P20"/>
    <mergeCell ref="N23:P23"/>
    <mergeCell ref="N26:P26"/>
    <mergeCell ref="N29:P29"/>
    <mergeCell ref="N32:P32"/>
    <mergeCell ref="N35:P35"/>
    <mergeCell ref="N38:P38"/>
    <mergeCell ref="N41:P41"/>
    <mergeCell ref="N44:P44"/>
    <mergeCell ref="N47:P47"/>
    <mergeCell ref="N50:P50"/>
    <mergeCell ref="N53:P53"/>
    <mergeCell ref="N56:P56"/>
    <mergeCell ref="N80:P80"/>
    <mergeCell ref="N83:P83"/>
    <mergeCell ref="N86:P86"/>
    <mergeCell ref="A88:P88"/>
    <mergeCell ref="N59:P59"/>
    <mergeCell ref="N62:P62"/>
    <mergeCell ref="N65:P65"/>
    <mergeCell ref="N68:P68"/>
    <mergeCell ref="N71:P71"/>
    <mergeCell ref="N74:P74"/>
    <mergeCell ref="N77:P7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3" width="6.38"/>
    <col customWidth="1" min="4" max="4" width="37.63"/>
    <col customWidth="1" min="5" max="6" width="3.88"/>
    <col customWidth="1" min="7" max="9" width="6.38"/>
    <col customWidth="1" min="10" max="10" width="37.63"/>
    <col customWidth="1" min="11" max="12" width="3.88"/>
    <col customWidth="1" min="13" max="15" width="6.38"/>
    <col customWidth="1" min="16" max="17" width="18.88"/>
  </cols>
  <sheetData>
    <row r="1" ht="22.5" customHeight="1">
      <c r="A1" s="250" t="str">
        <f>systemData_systemLogo</f>
        <v/>
      </c>
      <c r="C1" s="250"/>
      <c r="D1" s="2" t="str">
        <f>systemData_versionTitle</f>
        <v>Fractal RPG v0.5.0.0 (Pantsless Robot)</v>
      </c>
      <c r="Q1" s="250"/>
    </row>
    <row r="2" ht="45.0" customHeight="1">
      <c r="C2" s="251"/>
      <c r="D2" s="251"/>
      <c r="E2" s="251"/>
      <c r="F2" s="251"/>
      <c r="G2" s="3" t="s">
        <v>38</v>
      </c>
      <c r="K2" s="251"/>
      <c r="L2" s="251"/>
      <c r="M2" s="251"/>
      <c r="N2" s="251"/>
      <c r="O2" s="251"/>
      <c r="P2" s="251"/>
      <c r="Q2" s="251"/>
    </row>
    <row r="3" ht="15.0" customHeight="1">
      <c r="A3" s="17"/>
      <c r="B3" s="17"/>
      <c r="C3" s="17"/>
      <c r="D3" s="172"/>
      <c r="E3" s="17"/>
      <c r="F3" s="17"/>
      <c r="G3" s="10" t="s">
        <v>1</v>
      </c>
      <c r="H3" s="12"/>
      <c r="I3" s="10"/>
      <c r="J3" s="12"/>
      <c r="K3" s="19"/>
      <c r="L3" s="19"/>
      <c r="M3" s="19"/>
      <c r="N3" s="19"/>
      <c r="O3" s="19"/>
      <c r="P3" s="19"/>
      <c r="Q3" s="19"/>
    </row>
    <row r="4" ht="15.0" customHeight="1">
      <c r="A4" s="19"/>
      <c r="B4" s="19"/>
      <c r="C4" s="19"/>
      <c r="D4" s="173"/>
      <c r="E4" s="90"/>
      <c r="F4" s="90"/>
      <c r="G4" s="174" t="s">
        <v>39</v>
      </c>
      <c r="H4" s="11"/>
      <c r="I4" s="11"/>
      <c r="J4" s="12"/>
      <c r="K4" s="19"/>
      <c r="L4" s="19"/>
      <c r="M4" s="19"/>
      <c r="N4" s="19"/>
      <c r="O4" s="19"/>
      <c r="P4" s="19"/>
      <c r="Q4" s="19"/>
    </row>
    <row r="5" ht="15.0" customHeight="1">
      <c r="A5" s="19"/>
      <c r="B5" s="19"/>
      <c r="C5" s="19"/>
      <c r="D5" s="173"/>
      <c r="E5" s="90" t="s">
        <v>33</v>
      </c>
      <c r="G5" s="91" t="s">
        <v>40</v>
      </c>
      <c r="H5" s="31"/>
      <c r="I5" s="31"/>
      <c r="J5" s="32"/>
      <c r="K5" s="19"/>
      <c r="L5" s="19"/>
      <c r="M5" s="19"/>
      <c r="N5" s="19"/>
      <c r="O5" s="19"/>
      <c r="P5" s="19"/>
      <c r="Q5" s="19"/>
    </row>
    <row r="6" ht="15.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ht="15.0" customHeight="1">
      <c r="A7" s="10" t="str">
        <f>UPPER(skillName_1)</f>
        <v>PHYSICAL</v>
      </c>
      <c r="B7" s="11"/>
      <c r="C7" s="11"/>
      <c r="D7" s="12"/>
      <c r="E7" s="175"/>
      <c r="F7" s="176"/>
      <c r="G7" s="10" t="str">
        <f>UPPER(skillName_2)</f>
        <v>MENTAL</v>
      </c>
      <c r="H7" s="11"/>
      <c r="I7" s="11"/>
      <c r="J7" s="12"/>
      <c r="K7" s="175"/>
      <c r="L7" s="176"/>
      <c r="M7" s="10" t="str">
        <f>UPPER(skillName_3)</f>
        <v>SPIRITUAL</v>
      </c>
      <c r="N7" s="11"/>
      <c r="O7" s="11"/>
      <c r="P7" s="11"/>
      <c r="Q7" s="12"/>
    </row>
    <row r="8" ht="15.0" customHeight="1">
      <c r="A8" s="19"/>
      <c r="B8" s="19"/>
      <c r="C8" s="19"/>
      <c r="D8" s="19"/>
      <c r="E8" s="175"/>
      <c r="F8" s="176"/>
      <c r="G8" s="19"/>
      <c r="H8" s="19"/>
      <c r="I8" s="19"/>
      <c r="J8" s="19"/>
      <c r="K8" s="175"/>
      <c r="L8" s="176"/>
      <c r="M8" s="19"/>
      <c r="N8" s="19"/>
      <c r="O8" s="19"/>
      <c r="P8" s="19"/>
      <c r="Q8" s="19"/>
    </row>
    <row r="9" ht="15.0" customHeight="1">
      <c r="A9" s="252" t="str">
        <f>PROPER(skillName_1_1_1)</f>
        <v>Strength</v>
      </c>
      <c r="B9" s="11"/>
      <c r="C9" s="11"/>
      <c r="D9" s="12"/>
      <c r="E9" s="193"/>
      <c r="F9" s="194"/>
      <c r="G9" s="252" t="str">
        <f>PROPER(skillName_2_1_1)</f>
        <v>Academics</v>
      </c>
      <c r="H9" s="11"/>
      <c r="I9" s="11"/>
      <c r="J9" s="12"/>
      <c r="K9" s="193"/>
      <c r="L9" s="194"/>
      <c r="M9" s="252" t="str">
        <f>PROPER(skillName_3_1_1)</f>
        <v>Enchanting</v>
      </c>
      <c r="N9" s="11"/>
      <c r="O9" s="11"/>
      <c r="P9" s="11"/>
      <c r="Q9" s="12"/>
    </row>
    <row r="10" ht="15.0" customHeight="1">
      <c r="A10" s="253"/>
      <c r="B10" s="246" t="s">
        <v>48</v>
      </c>
      <c r="C10" s="247" t="s">
        <v>49</v>
      </c>
      <c r="D10" s="254"/>
      <c r="E10" s="185"/>
      <c r="F10" s="186"/>
      <c r="G10" s="253"/>
      <c r="H10" s="246" t="s">
        <v>48</v>
      </c>
      <c r="I10" s="247" t="s">
        <v>49</v>
      </c>
      <c r="J10" s="254"/>
      <c r="K10" s="185"/>
      <c r="L10" s="186"/>
      <c r="M10" s="253"/>
      <c r="N10" s="246" t="s">
        <v>48</v>
      </c>
      <c r="O10" s="247" t="s">
        <v>49</v>
      </c>
      <c r="P10" s="255"/>
      <c r="Q10" s="32"/>
    </row>
    <row r="11" ht="15.0" customHeight="1">
      <c r="A11" s="256"/>
      <c r="B11" s="246" t="s">
        <v>48</v>
      </c>
      <c r="C11" s="247" t="s">
        <v>49</v>
      </c>
      <c r="D11" s="257"/>
      <c r="E11" s="185"/>
      <c r="F11" s="186"/>
      <c r="G11" s="256"/>
      <c r="H11" s="246" t="s">
        <v>48</v>
      </c>
      <c r="I11" s="247" t="s">
        <v>49</v>
      </c>
      <c r="J11" s="257"/>
      <c r="K11" s="185"/>
      <c r="L11" s="186"/>
      <c r="M11" s="256"/>
      <c r="N11" s="246" t="s">
        <v>48</v>
      </c>
      <c r="O11" s="247" t="s">
        <v>49</v>
      </c>
      <c r="P11" s="258"/>
      <c r="Q11" s="16"/>
    </row>
    <row r="12" ht="15.0" customHeight="1">
      <c r="A12" s="256"/>
      <c r="B12" s="246" t="s">
        <v>48</v>
      </c>
      <c r="C12" s="247" t="s">
        <v>49</v>
      </c>
      <c r="D12" s="257"/>
      <c r="E12" s="185"/>
      <c r="F12" s="186"/>
      <c r="G12" s="256"/>
      <c r="H12" s="246" t="s">
        <v>48</v>
      </c>
      <c r="I12" s="247" t="s">
        <v>49</v>
      </c>
      <c r="J12" s="257"/>
      <c r="K12" s="185"/>
      <c r="L12" s="186"/>
      <c r="M12" s="256"/>
      <c r="N12" s="246" t="s">
        <v>48</v>
      </c>
      <c r="O12" s="247" t="s">
        <v>49</v>
      </c>
      <c r="P12" s="258"/>
      <c r="Q12" s="16"/>
    </row>
    <row r="13" ht="7.5" customHeight="1">
      <c r="A13" s="259"/>
      <c r="B13" s="259"/>
      <c r="C13" s="259"/>
      <c r="D13" s="259"/>
      <c r="E13" s="193"/>
      <c r="F13" s="194"/>
      <c r="G13" s="259"/>
      <c r="H13" s="259"/>
      <c r="I13" s="259"/>
      <c r="J13" s="259"/>
      <c r="K13" s="193"/>
      <c r="L13" s="194"/>
      <c r="M13" s="259"/>
      <c r="N13" s="259"/>
      <c r="O13" s="259"/>
      <c r="P13" s="259"/>
      <c r="Q13" s="259"/>
    </row>
    <row r="14" ht="15.0" customHeight="1">
      <c r="A14" s="252" t="str">
        <f>PROPER(skillName_1_1_2)</f>
        <v>Stamina</v>
      </c>
      <c r="B14" s="11"/>
      <c r="C14" s="11"/>
      <c r="D14" s="12"/>
      <c r="E14" s="193"/>
      <c r="F14" s="194"/>
      <c r="G14" s="252" t="str">
        <f>PROPER(skillName_2_1_2)</f>
        <v>Deduction</v>
      </c>
      <c r="H14" s="11"/>
      <c r="I14" s="11"/>
      <c r="J14" s="12"/>
      <c r="K14" s="193"/>
      <c r="L14" s="194"/>
      <c r="M14" s="252" t="str">
        <f>PROPER(skillName_3_1_2)</f>
        <v>Beholding</v>
      </c>
      <c r="N14" s="11"/>
      <c r="O14" s="11"/>
      <c r="P14" s="11"/>
      <c r="Q14" s="12"/>
    </row>
    <row r="15" ht="15.0" customHeight="1">
      <c r="A15" s="253"/>
      <c r="B15" s="246" t="s">
        <v>48</v>
      </c>
      <c r="C15" s="247" t="s">
        <v>49</v>
      </c>
      <c r="D15" s="254"/>
      <c r="E15" s="185"/>
      <c r="F15" s="186"/>
      <c r="G15" s="253"/>
      <c r="H15" s="246" t="s">
        <v>48</v>
      </c>
      <c r="I15" s="247" t="s">
        <v>49</v>
      </c>
      <c r="J15" s="254"/>
      <c r="K15" s="185"/>
      <c r="L15" s="186"/>
      <c r="M15" s="253"/>
      <c r="N15" s="246" t="s">
        <v>48</v>
      </c>
      <c r="O15" s="247" t="s">
        <v>49</v>
      </c>
      <c r="P15" s="255"/>
      <c r="Q15" s="32"/>
    </row>
    <row r="16" ht="15.0" customHeight="1">
      <c r="A16" s="256"/>
      <c r="B16" s="246" t="s">
        <v>48</v>
      </c>
      <c r="C16" s="247" t="s">
        <v>49</v>
      </c>
      <c r="D16" s="257"/>
      <c r="E16" s="185"/>
      <c r="F16" s="186"/>
      <c r="G16" s="256"/>
      <c r="H16" s="246" t="s">
        <v>48</v>
      </c>
      <c r="I16" s="247" t="s">
        <v>49</v>
      </c>
      <c r="J16" s="257"/>
      <c r="K16" s="185"/>
      <c r="L16" s="186"/>
      <c r="M16" s="256"/>
      <c r="N16" s="246" t="s">
        <v>48</v>
      </c>
      <c r="O16" s="247" t="s">
        <v>49</v>
      </c>
      <c r="P16" s="258"/>
      <c r="Q16" s="16"/>
    </row>
    <row r="17" ht="15.0" customHeight="1">
      <c r="A17" s="256"/>
      <c r="B17" s="246" t="s">
        <v>48</v>
      </c>
      <c r="C17" s="247" t="s">
        <v>49</v>
      </c>
      <c r="D17" s="257"/>
      <c r="E17" s="185"/>
      <c r="F17" s="186"/>
      <c r="G17" s="256"/>
      <c r="H17" s="246" t="s">
        <v>48</v>
      </c>
      <c r="I17" s="247" t="s">
        <v>49</v>
      </c>
      <c r="J17" s="257"/>
      <c r="K17" s="185"/>
      <c r="L17" s="186"/>
      <c r="M17" s="256"/>
      <c r="N17" s="246" t="s">
        <v>48</v>
      </c>
      <c r="O17" s="247" t="s">
        <v>49</v>
      </c>
      <c r="P17" s="258"/>
      <c r="Q17" s="16"/>
    </row>
    <row r="18" ht="7.5" customHeight="1">
      <c r="A18" s="259"/>
      <c r="B18" s="259"/>
      <c r="C18" s="259"/>
      <c r="D18" s="259"/>
      <c r="E18" s="193"/>
      <c r="F18" s="194"/>
      <c r="G18" s="259"/>
      <c r="H18" s="259"/>
      <c r="I18" s="259"/>
      <c r="J18" s="259"/>
      <c r="K18" s="193"/>
      <c r="L18" s="194"/>
      <c r="M18" s="259"/>
      <c r="N18" s="259"/>
      <c r="O18" s="259"/>
      <c r="P18" s="259"/>
      <c r="Q18" s="259"/>
    </row>
    <row r="19" ht="15.0" customHeight="1">
      <c r="A19" s="252" t="str">
        <f>PROPER(skillName_1_1_3)</f>
        <v>Resilience</v>
      </c>
      <c r="B19" s="11"/>
      <c r="C19" s="11"/>
      <c r="D19" s="12"/>
      <c r="E19" s="193"/>
      <c r="F19" s="194"/>
      <c r="G19" s="252" t="str">
        <f>PROPER(skillName_2_1_3)</f>
        <v>Communication</v>
      </c>
      <c r="H19" s="11"/>
      <c r="I19" s="11"/>
      <c r="J19" s="12"/>
      <c r="K19" s="193"/>
      <c r="L19" s="194"/>
      <c r="M19" s="252" t="str">
        <f>PROPER(skillName_3_1_3)</f>
        <v>Transmutation</v>
      </c>
      <c r="N19" s="11"/>
      <c r="O19" s="11"/>
      <c r="P19" s="11"/>
      <c r="Q19" s="12"/>
    </row>
    <row r="20" ht="15.0" customHeight="1">
      <c r="A20" s="253"/>
      <c r="B20" s="246" t="s">
        <v>48</v>
      </c>
      <c r="C20" s="247" t="s">
        <v>49</v>
      </c>
      <c r="D20" s="254"/>
      <c r="E20" s="185"/>
      <c r="F20" s="186"/>
      <c r="G20" s="253"/>
      <c r="H20" s="246" t="s">
        <v>48</v>
      </c>
      <c r="I20" s="247" t="s">
        <v>49</v>
      </c>
      <c r="J20" s="254"/>
      <c r="K20" s="185"/>
      <c r="L20" s="186"/>
      <c r="M20" s="253"/>
      <c r="N20" s="246" t="s">
        <v>48</v>
      </c>
      <c r="O20" s="247" t="s">
        <v>49</v>
      </c>
      <c r="P20" s="255"/>
      <c r="Q20" s="32"/>
    </row>
    <row r="21" ht="15.0" customHeight="1">
      <c r="A21" s="256"/>
      <c r="B21" s="246" t="s">
        <v>48</v>
      </c>
      <c r="C21" s="247" t="s">
        <v>49</v>
      </c>
      <c r="D21" s="257"/>
      <c r="E21" s="185"/>
      <c r="F21" s="186"/>
      <c r="G21" s="256"/>
      <c r="H21" s="246" t="s">
        <v>48</v>
      </c>
      <c r="I21" s="247" t="s">
        <v>49</v>
      </c>
      <c r="J21" s="257"/>
      <c r="K21" s="185"/>
      <c r="L21" s="186"/>
      <c r="M21" s="256"/>
      <c r="N21" s="246" t="s">
        <v>48</v>
      </c>
      <c r="O21" s="247" t="s">
        <v>49</v>
      </c>
      <c r="P21" s="258"/>
      <c r="Q21" s="16"/>
    </row>
    <row r="22" ht="15.0" customHeight="1">
      <c r="A22" s="256"/>
      <c r="B22" s="246" t="s">
        <v>48</v>
      </c>
      <c r="C22" s="247" t="s">
        <v>49</v>
      </c>
      <c r="D22" s="257"/>
      <c r="E22" s="185"/>
      <c r="F22" s="186"/>
      <c r="G22" s="256"/>
      <c r="H22" s="246" t="s">
        <v>48</v>
      </c>
      <c r="I22" s="247" t="s">
        <v>49</v>
      </c>
      <c r="J22" s="257"/>
      <c r="K22" s="185"/>
      <c r="L22" s="186"/>
      <c r="M22" s="256"/>
      <c r="N22" s="246" t="s">
        <v>48</v>
      </c>
      <c r="O22" s="247" t="s">
        <v>49</v>
      </c>
      <c r="P22" s="258"/>
      <c r="Q22" s="16"/>
    </row>
    <row r="23" ht="22.5" customHeight="1">
      <c r="A23" s="195"/>
      <c r="B23" s="195"/>
      <c r="C23" s="195"/>
      <c r="D23" s="195"/>
      <c r="E23" s="185"/>
      <c r="F23" s="186"/>
      <c r="G23" s="195"/>
      <c r="H23" s="195"/>
      <c r="I23" s="195"/>
      <c r="J23" s="195"/>
      <c r="K23" s="185"/>
      <c r="L23" s="186"/>
      <c r="M23" s="195"/>
      <c r="N23" s="195"/>
      <c r="O23" s="195"/>
      <c r="P23" s="195"/>
      <c r="Q23" s="195"/>
    </row>
    <row r="24" ht="15.0" customHeight="1">
      <c r="A24" s="252" t="str">
        <f>PROPER(skillName_1_2_1)</f>
        <v>Acrobatics</v>
      </c>
      <c r="B24" s="11"/>
      <c r="C24" s="11"/>
      <c r="D24" s="12"/>
      <c r="E24" s="193"/>
      <c r="F24" s="194"/>
      <c r="G24" s="252" t="str">
        <f>PROPER(skillName_2_2_1)</f>
        <v>Perception</v>
      </c>
      <c r="H24" s="11"/>
      <c r="I24" s="11"/>
      <c r="J24" s="12"/>
      <c r="K24" s="193"/>
      <c r="L24" s="194"/>
      <c r="M24" s="252" t="str">
        <f>PROPER(skillName_3_2_1)</f>
        <v>Invocation</v>
      </c>
      <c r="N24" s="11"/>
      <c r="O24" s="11"/>
      <c r="P24" s="11"/>
      <c r="Q24" s="12"/>
    </row>
    <row r="25" ht="15.0" customHeight="1">
      <c r="A25" s="260"/>
      <c r="B25" s="261" t="s">
        <v>48</v>
      </c>
      <c r="C25" s="262" t="s">
        <v>49</v>
      </c>
      <c r="D25" s="254"/>
      <c r="E25" s="185"/>
      <c r="F25" s="186"/>
      <c r="G25" s="260"/>
      <c r="H25" s="261" t="s">
        <v>48</v>
      </c>
      <c r="I25" s="262" t="s">
        <v>49</v>
      </c>
      <c r="J25" s="254"/>
      <c r="K25" s="185"/>
      <c r="L25" s="186"/>
      <c r="M25" s="260"/>
      <c r="N25" s="261" t="s">
        <v>48</v>
      </c>
      <c r="O25" s="262" t="s">
        <v>49</v>
      </c>
      <c r="P25" s="255"/>
      <c r="Q25" s="32"/>
    </row>
    <row r="26" ht="15.0" customHeight="1">
      <c r="A26" s="256"/>
      <c r="B26" s="246" t="s">
        <v>48</v>
      </c>
      <c r="C26" s="247" t="s">
        <v>49</v>
      </c>
      <c r="D26" s="257"/>
      <c r="E26" s="185"/>
      <c r="F26" s="186"/>
      <c r="G26" s="256"/>
      <c r="H26" s="246" t="s">
        <v>48</v>
      </c>
      <c r="I26" s="247" t="s">
        <v>49</v>
      </c>
      <c r="J26" s="257"/>
      <c r="K26" s="185"/>
      <c r="L26" s="186"/>
      <c r="M26" s="256"/>
      <c r="N26" s="246" t="s">
        <v>48</v>
      </c>
      <c r="O26" s="247" t="s">
        <v>49</v>
      </c>
      <c r="P26" s="258"/>
      <c r="Q26" s="16"/>
    </row>
    <row r="27" ht="15.0" customHeight="1">
      <c r="A27" s="256"/>
      <c r="B27" s="246" t="s">
        <v>48</v>
      </c>
      <c r="C27" s="247" t="s">
        <v>49</v>
      </c>
      <c r="D27" s="257"/>
      <c r="E27" s="185"/>
      <c r="F27" s="186"/>
      <c r="G27" s="256"/>
      <c r="H27" s="246" t="s">
        <v>48</v>
      </c>
      <c r="I27" s="247" t="s">
        <v>49</v>
      </c>
      <c r="J27" s="257"/>
      <c r="K27" s="185"/>
      <c r="L27" s="186"/>
      <c r="M27" s="256"/>
      <c r="N27" s="246" t="s">
        <v>48</v>
      </c>
      <c r="O27" s="247" t="s">
        <v>49</v>
      </c>
      <c r="P27" s="258"/>
      <c r="Q27" s="16"/>
    </row>
    <row r="28" ht="7.5" customHeight="1">
      <c r="A28" s="259"/>
      <c r="B28" s="259"/>
      <c r="C28" s="259"/>
      <c r="D28" s="259"/>
      <c r="E28" s="193"/>
      <c r="F28" s="194"/>
      <c r="G28" s="259"/>
      <c r="H28" s="259"/>
      <c r="I28" s="259"/>
      <c r="J28" s="259"/>
      <c r="K28" s="193"/>
      <c r="L28" s="194"/>
      <c r="M28" s="259"/>
      <c r="N28" s="259"/>
      <c r="O28" s="259"/>
      <c r="P28" s="259"/>
      <c r="Q28" s="259"/>
    </row>
    <row r="29" ht="15.0" customHeight="1">
      <c r="A29" s="252" t="str">
        <f>PROPER(skillName_1_2_2)</f>
        <v>Haste</v>
      </c>
      <c r="B29" s="11"/>
      <c r="C29" s="11"/>
      <c r="D29" s="12"/>
      <c r="E29" s="193"/>
      <c r="F29" s="194"/>
      <c r="G29" s="252" t="str">
        <f>PROPER(skillName_2_2_2)</f>
        <v>Intuition</v>
      </c>
      <c r="H29" s="11"/>
      <c r="I29" s="11"/>
      <c r="J29" s="12"/>
      <c r="K29" s="193"/>
      <c r="L29" s="194"/>
      <c r="M29" s="252" t="str">
        <f>PROPER(skillName_3_2_2)</f>
        <v>Illusions</v>
      </c>
      <c r="N29" s="11"/>
      <c r="O29" s="11"/>
      <c r="P29" s="11"/>
      <c r="Q29" s="12"/>
    </row>
    <row r="30" ht="15.0" customHeight="1">
      <c r="A30" s="253"/>
      <c r="B30" s="246" t="s">
        <v>48</v>
      </c>
      <c r="C30" s="247" t="s">
        <v>49</v>
      </c>
      <c r="D30" s="254"/>
      <c r="E30" s="185"/>
      <c r="F30" s="186"/>
      <c r="G30" s="253"/>
      <c r="H30" s="246" t="s">
        <v>48</v>
      </c>
      <c r="I30" s="247" t="s">
        <v>49</v>
      </c>
      <c r="J30" s="254"/>
      <c r="K30" s="185"/>
      <c r="L30" s="186"/>
      <c r="M30" s="253"/>
      <c r="N30" s="246" t="s">
        <v>48</v>
      </c>
      <c r="O30" s="247" t="s">
        <v>49</v>
      </c>
      <c r="P30" s="255"/>
      <c r="Q30" s="32"/>
    </row>
    <row r="31" ht="15.0" customHeight="1">
      <c r="A31" s="256"/>
      <c r="B31" s="246" t="s">
        <v>48</v>
      </c>
      <c r="C31" s="247" t="s">
        <v>49</v>
      </c>
      <c r="D31" s="257"/>
      <c r="E31" s="185"/>
      <c r="F31" s="186"/>
      <c r="G31" s="256"/>
      <c r="H31" s="246" t="s">
        <v>48</v>
      </c>
      <c r="I31" s="247" t="s">
        <v>49</v>
      </c>
      <c r="J31" s="257"/>
      <c r="K31" s="185"/>
      <c r="L31" s="186"/>
      <c r="M31" s="256"/>
      <c r="N31" s="246" t="s">
        <v>48</v>
      </c>
      <c r="O31" s="247" t="s">
        <v>49</v>
      </c>
      <c r="P31" s="258"/>
      <c r="Q31" s="16"/>
    </row>
    <row r="32" ht="15.0" customHeight="1">
      <c r="A32" s="256"/>
      <c r="B32" s="246" t="s">
        <v>48</v>
      </c>
      <c r="C32" s="247" t="s">
        <v>49</v>
      </c>
      <c r="D32" s="257"/>
      <c r="E32" s="185"/>
      <c r="F32" s="186"/>
      <c r="G32" s="256"/>
      <c r="H32" s="246" t="s">
        <v>48</v>
      </c>
      <c r="I32" s="247" t="s">
        <v>49</v>
      </c>
      <c r="J32" s="257"/>
      <c r="K32" s="185"/>
      <c r="L32" s="186"/>
      <c r="M32" s="256"/>
      <c r="N32" s="246" t="s">
        <v>48</v>
      </c>
      <c r="O32" s="247" t="s">
        <v>49</v>
      </c>
      <c r="P32" s="258"/>
      <c r="Q32" s="16"/>
    </row>
    <row r="33" ht="7.5" customHeight="1">
      <c r="A33" s="259"/>
      <c r="B33" s="259"/>
      <c r="C33" s="259"/>
      <c r="D33" s="259"/>
      <c r="E33" s="193"/>
      <c r="F33" s="194"/>
      <c r="G33" s="259"/>
      <c r="H33" s="259"/>
      <c r="I33" s="259"/>
      <c r="J33" s="259"/>
      <c r="K33" s="193"/>
      <c r="L33" s="194"/>
      <c r="M33" s="259"/>
      <c r="N33" s="259"/>
      <c r="O33" s="259"/>
      <c r="P33" s="259"/>
      <c r="Q33" s="259"/>
    </row>
    <row r="34" ht="15.0" customHeight="1">
      <c r="A34" s="252" t="str">
        <f>PROPER(skillName_1_2_3)</f>
        <v>Reflexes</v>
      </c>
      <c r="B34" s="11"/>
      <c r="C34" s="11"/>
      <c r="D34" s="12"/>
      <c r="E34" s="193"/>
      <c r="F34" s="194"/>
      <c r="G34" s="252" t="str">
        <f>PROPER(skillName_2_2_3)</f>
        <v>Resourcefulness</v>
      </c>
      <c r="H34" s="11"/>
      <c r="I34" s="11"/>
      <c r="J34" s="12"/>
      <c r="K34" s="193"/>
      <c r="L34" s="194"/>
      <c r="M34" s="252" t="str">
        <f>PROPER(skillName_3_2_3)</f>
        <v>Fabrication</v>
      </c>
      <c r="N34" s="11"/>
      <c r="O34" s="11"/>
      <c r="P34" s="11"/>
      <c r="Q34" s="12"/>
    </row>
    <row r="35" ht="15.0" customHeight="1">
      <c r="A35" s="253"/>
      <c r="B35" s="246" t="s">
        <v>48</v>
      </c>
      <c r="C35" s="247" t="s">
        <v>49</v>
      </c>
      <c r="D35" s="254"/>
      <c r="E35" s="185"/>
      <c r="F35" s="186"/>
      <c r="G35" s="253"/>
      <c r="H35" s="246" t="s">
        <v>48</v>
      </c>
      <c r="I35" s="247" t="s">
        <v>49</v>
      </c>
      <c r="J35" s="254"/>
      <c r="K35" s="185"/>
      <c r="L35" s="186"/>
      <c r="M35" s="253"/>
      <c r="N35" s="246" t="s">
        <v>48</v>
      </c>
      <c r="O35" s="247" t="s">
        <v>49</v>
      </c>
      <c r="P35" s="255"/>
      <c r="Q35" s="32"/>
    </row>
    <row r="36" ht="15.0" customHeight="1">
      <c r="A36" s="256"/>
      <c r="B36" s="246" t="s">
        <v>48</v>
      </c>
      <c r="C36" s="247" t="s">
        <v>49</v>
      </c>
      <c r="D36" s="257"/>
      <c r="E36" s="185"/>
      <c r="F36" s="186"/>
      <c r="G36" s="256"/>
      <c r="H36" s="246" t="s">
        <v>48</v>
      </c>
      <c r="I36" s="247" t="s">
        <v>49</v>
      </c>
      <c r="J36" s="257"/>
      <c r="K36" s="185"/>
      <c r="L36" s="186"/>
      <c r="M36" s="256"/>
      <c r="N36" s="246" t="s">
        <v>48</v>
      </c>
      <c r="O36" s="247" t="s">
        <v>49</v>
      </c>
      <c r="P36" s="258"/>
      <c r="Q36" s="16"/>
    </row>
    <row r="37" ht="15.0" customHeight="1">
      <c r="A37" s="256"/>
      <c r="B37" s="246" t="s">
        <v>48</v>
      </c>
      <c r="C37" s="247" t="s">
        <v>49</v>
      </c>
      <c r="D37" s="257"/>
      <c r="E37" s="185"/>
      <c r="F37" s="186"/>
      <c r="G37" s="256"/>
      <c r="H37" s="246" t="s">
        <v>48</v>
      </c>
      <c r="I37" s="247" t="s">
        <v>49</v>
      </c>
      <c r="J37" s="257"/>
      <c r="K37" s="185"/>
      <c r="L37" s="186"/>
      <c r="M37" s="256"/>
      <c r="N37" s="246" t="s">
        <v>48</v>
      </c>
      <c r="O37" s="247" t="s">
        <v>49</v>
      </c>
      <c r="P37" s="258"/>
      <c r="Q37" s="16"/>
    </row>
    <row r="38" ht="22.5" customHeight="1">
      <c r="A38" s="195"/>
      <c r="B38" s="195"/>
      <c r="C38" s="195"/>
      <c r="D38" s="195"/>
      <c r="E38" s="185"/>
      <c r="F38" s="186"/>
      <c r="G38" s="195"/>
      <c r="H38" s="195"/>
      <c r="I38" s="195"/>
      <c r="J38" s="195"/>
      <c r="K38" s="185"/>
      <c r="L38" s="186"/>
      <c r="M38" s="195"/>
      <c r="N38" s="195"/>
      <c r="O38" s="195"/>
      <c r="P38" s="195"/>
      <c r="Q38" s="195"/>
    </row>
    <row r="39" ht="15.0" customHeight="1">
      <c r="A39" s="252" t="str">
        <f>PROPER(skillName_1_3_1)</f>
        <v>Finesse</v>
      </c>
      <c r="B39" s="11"/>
      <c r="C39" s="11"/>
      <c r="D39" s="12"/>
      <c r="E39" s="193"/>
      <c r="F39" s="194"/>
      <c r="G39" s="252" t="str">
        <f>PROPER(skillName_2_3_1)</f>
        <v>Persuasion</v>
      </c>
      <c r="H39" s="11"/>
      <c r="I39" s="11"/>
      <c r="J39" s="12"/>
      <c r="K39" s="193"/>
      <c r="L39" s="194"/>
      <c r="M39" s="252" t="str">
        <f>PROPER(skillName_3_3_1)</f>
        <v>Jinxes</v>
      </c>
      <c r="N39" s="11"/>
      <c r="O39" s="11"/>
      <c r="P39" s="11"/>
      <c r="Q39" s="12"/>
    </row>
    <row r="40" ht="15.0" customHeight="1">
      <c r="A40" s="260"/>
      <c r="B40" s="261" t="s">
        <v>48</v>
      </c>
      <c r="C40" s="262" t="s">
        <v>49</v>
      </c>
      <c r="D40" s="254"/>
      <c r="E40" s="185"/>
      <c r="F40" s="186"/>
      <c r="G40" s="260"/>
      <c r="H40" s="261" t="s">
        <v>48</v>
      </c>
      <c r="I40" s="262" t="s">
        <v>49</v>
      </c>
      <c r="J40" s="254"/>
      <c r="K40" s="185"/>
      <c r="L40" s="186"/>
      <c r="M40" s="260"/>
      <c r="N40" s="261" t="s">
        <v>48</v>
      </c>
      <c r="O40" s="262" t="s">
        <v>49</v>
      </c>
      <c r="P40" s="255"/>
      <c r="Q40" s="32"/>
    </row>
    <row r="41" ht="15.0" customHeight="1">
      <c r="A41" s="256"/>
      <c r="B41" s="246" t="s">
        <v>48</v>
      </c>
      <c r="C41" s="247" t="s">
        <v>49</v>
      </c>
      <c r="D41" s="257"/>
      <c r="E41" s="185"/>
      <c r="F41" s="186"/>
      <c r="G41" s="256"/>
      <c r="H41" s="246" t="s">
        <v>48</v>
      </c>
      <c r="I41" s="247" t="s">
        <v>49</v>
      </c>
      <c r="J41" s="257"/>
      <c r="K41" s="185"/>
      <c r="L41" s="186"/>
      <c r="M41" s="256"/>
      <c r="N41" s="246" t="s">
        <v>48</v>
      </c>
      <c r="O41" s="247" t="s">
        <v>49</v>
      </c>
      <c r="P41" s="258"/>
      <c r="Q41" s="16"/>
    </row>
    <row r="42" ht="15.0" customHeight="1">
      <c r="A42" s="256"/>
      <c r="B42" s="246" t="s">
        <v>48</v>
      </c>
      <c r="C42" s="247" t="s">
        <v>49</v>
      </c>
      <c r="D42" s="257"/>
      <c r="E42" s="185"/>
      <c r="F42" s="186"/>
      <c r="G42" s="256"/>
      <c r="H42" s="246" t="s">
        <v>48</v>
      </c>
      <c r="I42" s="247" t="s">
        <v>49</v>
      </c>
      <c r="J42" s="257"/>
      <c r="K42" s="185"/>
      <c r="L42" s="186"/>
      <c r="M42" s="256"/>
      <c r="N42" s="246" t="s">
        <v>48</v>
      </c>
      <c r="O42" s="247" t="s">
        <v>49</v>
      </c>
      <c r="P42" s="258"/>
      <c r="Q42" s="16"/>
    </row>
    <row r="43" ht="7.5" customHeight="1">
      <c r="A43" s="259"/>
      <c r="B43" s="259"/>
      <c r="C43" s="259"/>
      <c r="D43" s="259"/>
      <c r="E43" s="204"/>
      <c r="F43" s="205"/>
      <c r="G43" s="259"/>
      <c r="H43" s="259"/>
      <c r="I43" s="259"/>
      <c r="J43" s="259"/>
      <c r="K43" s="204"/>
      <c r="L43" s="205"/>
      <c r="M43" s="259"/>
      <c r="N43" s="259"/>
      <c r="O43" s="259"/>
      <c r="P43" s="259"/>
      <c r="Q43" s="259"/>
    </row>
    <row r="44" ht="15.0" customHeight="1">
      <c r="A44" s="252" t="str">
        <f>PROPER(skillName_1_3_2)</f>
        <v>Dexterity</v>
      </c>
      <c r="B44" s="11"/>
      <c r="C44" s="11"/>
      <c r="D44" s="12"/>
      <c r="E44" s="204"/>
      <c r="F44" s="205"/>
      <c r="G44" s="252" t="str">
        <f>PROPER(skillName_2_3_2)</f>
        <v>Deception</v>
      </c>
      <c r="H44" s="11"/>
      <c r="I44" s="11"/>
      <c r="J44" s="12"/>
      <c r="K44" s="204"/>
      <c r="L44" s="205"/>
      <c r="M44" s="252" t="str">
        <f>PROPER(skillName_3_3_2)</f>
        <v>Possession</v>
      </c>
      <c r="N44" s="11"/>
      <c r="O44" s="11"/>
      <c r="P44" s="11"/>
      <c r="Q44" s="12"/>
    </row>
    <row r="45" ht="15.0" customHeight="1">
      <c r="A45" s="253"/>
      <c r="B45" s="246" t="s">
        <v>48</v>
      </c>
      <c r="C45" s="247" t="s">
        <v>49</v>
      </c>
      <c r="D45" s="254"/>
      <c r="E45" s="263"/>
      <c r="F45" s="264"/>
      <c r="G45" s="253"/>
      <c r="H45" s="246" t="s">
        <v>48</v>
      </c>
      <c r="I45" s="247" t="s">
        <v>49</v>
      </c>
      <c r="J45" s="254"/>
      <c r="K45" s="263"/>
      <c r="L45" s="264"/>
      <c r="M45" s="253"/>
      <c r="N45" s="246" t="s">
        <v>48</v>
      </c>
      <c r="O45" s="247" t="s">
        <v>49</v>
      </c>
      <c r="P45" s="255"/>
      <c r="Q45" s="32"/>
    </row>
    <row r="46" ht="15.0" customHeight="1">
      <c r="A46" s="256"/>
      <c r="B46" s="246" t="s">
        <v>48</v>
      </c>
      <c r="C46" s="247" t="s">
        <v>49</v>
      </c>
      <c r="D46" s="257"/>
      <c r="E46" s="263"/>
      <c r="F46" s="264"/>
      <c r="G46" s="256"/>
      <c r="H46" s="246" t="s">
        <v>48</v>
      </c>
      <c r="I46" s="247" t="s">
        <v>49</v>
      </c>
      <c r="J46" s="257"/>
      <c r="K46" s="263"/>
      <c r="L46" s="264"/>
      <c r="M46" s="256"/>
      <c r="N46" s="246" t="s">
        <v>48</v>
      </c>
      <c r="O46" s="247" t="s">
        <v>49</v>
      </c>
      <c r="P46" s="258"/>
      <c r="Q46" s="16"/>
    </row>
    <row r="47" ht="15.0" customHeight="1">
      <c r="A47" s="256"/>
      <c r="B47" s="246" t="s">
        <v>48</v>
      </c>
      <c r="C47" s="247" t="s">
        <v>49</v>
      </c>
      <c r="D47" s="257"/>
      <c r="E47" s="185"/>
      <c r="F47" s="186"/>
      <c r="G47" s="256"/>
      <c r="H47" s="246" t="s">
        <v>48</v>
      </c>
      <c r="I47" s="247" t="s">
        <v>49</v>
      </c>
      <c r="J47" s="257"/>
      <c r="K47" s="185"/>
      <c r="L47" s="186"/>
      <c r="M47" s="256"/>
      <c r="N47" s="246" t="s">
        <v>48</v>
      </c>
      <c r="O47" s="247" t="s">
        <v>49</v>
      </c>
      <c r="P47" s="258"/>
      <c r="Q47" s="16"/>
    </row>
    <row r="48" ht="7.5" customHeight="1">
      <c r="A48" s="259"/>
      <c r="B48" s="259"/>
      <c r="C48" s="259"/>
      <c r="D48" s="259"/>
      <c r="E48" s="204"/>
      <c r="F48" s="205"/>
      <c r="G48" s="259"/>
      <c r="H48" s="259"/>
      <c r="I48" s="259"/>
      <c r="J48" s="259"/>
      <c r="K48" s="204"/>
      <c r="L48" s="205"/>
      <c r="M48" s="259"/>
      <c r="N48" s="259"/>
      <c r="O48" s="259"/>
      <c r="P48" s="259"/>
      <c r="Q48" s="259"/>
    </row>
    <row r="49" ht="15.0" customHeight="1">
      <c r="A49" s="252" t="str">
        <f>PROPER(skillName_1_3_3)</f>
        <v>Stealth</v>
      </c>
      <c r="B49" s="11"/>
      <c r="C49" s="11"/>
      <c r="D49" s="12"/>
      <c r="E49" s="204"/>
      <c r="F49" s="205"/>
      <c r="G49" s="252" t="str">
        <f>PROPER(skillName_2_3_3)</f>
        <v>Intimidation</v>
      </c>
      <c r="H49" s="11"/>
      <c r="I49" s="11"/>
      <c r="J49" s="12"/>
      <c r="K49" s="204"/>
      <c r="L49" s="205"/>
      <c r="M49" s="252" t="str">
        <f>PROPER(skillName_3_3_3)</f>
        <v>Restoration</v>
      </c>
      <c r="N49" s="11"/>
      <c r="O49" s="11"/>
      <c r="P49" s="11"/>
      <c r="Q49" s="12"/>
    </row>
    <row r="50" ht="15.0" customHeight="1">
      <c r="A50" s="253"/>
      <c r="B50" s="246" t="s">
        <v>48</v>
      </c>
      <c r="C50" s="247" t="s">
        <v>49</v>
      </c>
      <c r="D50" s="254"/>
      <c r="E50" s="185"/>
      <c r="F50" s="186"/>
      <c r="G50" s="260"/>
      <c r="H50" s="261" t="s">
        <v>48</v>
      </c>
      <c r="I50" s="262" t="s">
        <v>49</v>
      </c>
      <c r="J50" s="254"/>
      <c r="K50" s="185"/>
      <c r="L50" s="186"/>
      <c r="M50" s="260"/>
      <c r="N50" s="261" t="s">
        <v>48</v>
      </c>
      <c r="O50" s="262" t="s">
        <v>49</v>
      </c>
      <c r="P50" s="255"/>
      <c r="Q50" s="32"/>
    </row>
    <row r="51" ht="15.0" customHeight="1">
      <c r="A51" s="256"/>
      <c r="B51" s="246" t="s">
        <v>48</v>
      </c>
      <c r="C51" s="247" t="s">
        <v>49</v>
      </c>
      <c r="D51" s="257"/>
      <c r="E51" s="185"/>
      <c r="F51" s="186"/>
      <c r="G51" s="256"/>
      <c r="H51" s="246" t="s">
        <v>48</v>
      </c>
      <c r="I51" s="247" t="s">
        <v>49</v>
      </c>
      <c r="J51" s="257"/>
      <c r="K51" s="185"/>
      <c r="L51" s="186"/>
      <c r="M51" s="256"/>
      <c r="N51" s="246" t="s">
        <v>48</v>
      </c>
      <c r="O51" s="247" t="s">
        <v>49</v>
      </c>
      <c r="P51" s="258"/>
      <c r="Q51" s="16"/>
    </row>
    <row r="52" ht="15.0" customHeight="1">
      <c r="A52" s="256"/>
      <c r="B52" s="246" t="s">
        <v>48</v>
      </c>
      <c r="C52" s="247" t="s">
        <v>49</v>
      </c>
      <c r="D52" s="257"/>
      <c r="E52" s="185"/>
      <c r="F52" s="186"/>
      <c r="G52" s="256"/>
      <c r="H52" s="246" t="s">
        <v>48</v>
      </c>
      <c r="I52" s="247" t="s">
        <v>49</v>
      </c>
      <c r="J52" s="257"/>
      <c r="K52" s="185"/>
      <c r="L52" s="186"/>
      <c r="M52" s="256"/>
      <c r="N52" s="246" t="s">
        <v>48</v>
      </c>
      <c r="O52" s="247" t="s">
        <v>49</v>
      </c>
      <c r="P52" s="258"/>
      <c r="Q52" s="16"/>
    </row>
    <row r="53" ht="30.0" customHeight="1">
      <c r="A53" s="171" t="str">
        <f>systemData_copyrightMessage</f>
        <v>Fractal RPG v0.5.0.0 (Squishy Meatloaf | Pantsless Robot) 2019 - 202X SparkliTwizzl
Licensed under CC BY-NC-SA 4.0</v>
      </c>
      <c r="Q53" s="171"/>
    </row>
  </sheetData>
  <mergeCells count="66">
    <mergeCell ref="P30:Q30"/>
    <mergeCell ref="P31:Q31"/>
    <mergeCell ref="P32:Q32"/>
    <mergeCell ref="M34:Q34"/>
    <mergeCell ref="P35:Q35"/>
    <mergeCell ref="P36:Q36"/>
    <mergeCell ref="P37:Q37"/>
    <mergeCell ref="P50:Q50"/>
    <mergeCell ref="P51:Q51"/>
    <mergeCell ref="P52:Q52"/>
    <mergeCell ref="M39:Q39"/>
    <mergeCell ref="P40:Q40"/>
    <mergeCell ref="P41:Q41"/>
    <mergeCell ref="P42:Q42"/>
    <mergeCell ref="P45:Q45"/>
    <mergeCell ref="P46:Q46"/>
    <mergeCell ref="P47:Q47"/>
    <mergeCell ref="A1:B2"/>
    <mergeCell ref="D1:P1"/>
    <mergeCell ref="G2:J2"/>
    <mergeCell ref="G3:H3"/>
    <mergeCell ref="I3:J3"/>
    <mergeCell ref="G4:J4"/>
    <mergeCell ref="G5:J5"/>
    <mergeCell ref="E5:F5"/>
    <mergeCell ref="A7:D7"/>
    <mergeCell ref="G7:J7"/>
    <mergeCell ref="M7:Q7"/>
    <mergeCell ref="A9:D9"/>
    <mergeCell ref="G9:J9"/>
    <mergeCell ref="M9:Q9"/>
    <mergeCell ref="P10:Q10"/>
    <mergeCell ref="P11:Q11"/>
    <mergeCell ref="P12:Q12"/>
    <mergeCell ref="A14:D14"/>
    <mergeCell ref="G14:J14"/>
    <mergeCell ref="M14:Q14"/>
    <mergeCell ref="P15:Q15"/>
    <mergeCell ref="A19:D19"/>
    <mergeCell ref="A24:D24"/>
    <mergeCell ref="A29:D29"/>
    <mergeCell ref="A34:D34"/>
    <mergeCell ref="A39:D39"/>
    <mergeCell ref="A44:D44"/>
    <mergeCell ref="A49:D49"/>
    <mergeCell ref="P16:Q16"/>
    <mergeCell ref="P17:Q17"/>
    <mergeCell ref="G19:J19"/>
    <mergeCell ref="M19:Q19"/>
    <mergeCell ref="P20:Q20"/>
    <mergeCell ref="P21:Q21"/>
    <mergeCell ref="P22:Q22"/>
    <mergeCell ref="G24:J24"/>
    <mergeCell ref="M24:Q24"/>
    <mergeCell ref="P25:Q25"/>
    <mergeCell ref="P26:Q26"/>
    <mergeCell ref="P27:Q27"/>
    <mergeCell ref="G29:J29"/>
    <mergeCell ref="M29:Q29"/>
    <mergeCell ref="G34:J34"/>
    <mergeCell ref="G39:J39"/>
    <mergeCell ref="G44:J44"/>
    <mergeCell ref="M44:Q44"/>
    <mergeCell ref="G49:J49"/>
    <mergeCell ref="M49:Q49"/>
    <mergeCell ref="A53:P5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 ht="22.5" customHeight="1">
      <c r="A1" s="2" t="str">
        <f>systemData_versionTitle</f>
        <v>Fractal RPG v0.5.0.0 (Pantsless Robot)</v>
      </c>
    </row>
    <row r="2" ht="45.0" customHeight="1">
      <c r="A2" s="3" t="s">
        <v>50</v>
      </c>
    </row>
    <row r="3" ht="15.0" customHeight="1">
      <c r="A3" s="195"/>
    </row>
    <row r="4" ht="15.0" customHeight="1">
      <c r="A4" s="195"/>
    </row>
    <row r="5" ht="15.0" customHeight="1">
      <c r="A5" s="172"/>
    </row>
    <row r="6" ht="15.0" customHeight="1">
      <c r="A6" s="195"/>
    </row>
    <row r="7" ht="15.0" customHeight="1">
      <c r="A7" s="195"/>
    </row>
    <row r="8" ht="15.0" customHeight="1">
      <c r="A8" s="195"/>
    </row>
    <row r="9" ht="15.0" customHeight="1">
      <c r="A9" s="195"/>
    </row>
    <row r="10" ht="15.0" customHeight="1">
      <c r="A10" s="172"/>
    </row>
    <row r="11" ht="15.0" customHeight="1">
      <c r="A11" s="195"/>
    </row>
    <row r="12" ht="15.0" customHeight="1">
      <c r="A12" s="195"/>
    </row>
    <row r="13" ht="15.0" customHeight="1">
      <c r="A13" s="195"/>
    </row>
    <row r="14" ht="15.0" customHeight="1">
      <c r="A14" s="195"/>
    </row>
    <row r="15" ht="15.0" customHeight="1">
      <c r="A15" s="172"/>
    </row>
    <row r="16" ht="15.0" customHeight="1">
      <c r="A16" s="195"/>
    </row>
    <row r="17" ht="15.0" customHeight="1">
      <c r="A17" s="195"/>
    </row>
    <row r="18" ht="15.0" customHeight="1">
      <c r="A18" s="195"/>
    </row>
    <row r="19" ht="15.0" customHeight="1">
      <c r="A19" s="195"/>
    </row>
    <row r="20" ht="15.0" customHeight="1">
      <c r="A20" s="172"/>
    </row>
    <row r="21" ht="15.0" customHeight="1">
      <c r="A21" s="195"/>
    </row>
    <row r="22" ht="15.0" customHeight="1">
      <c r="A22" s="195"/>
    </row>
    <row r="23" ht="15.0" customHeight="1">
      <c r="A23" s="195"/>
    </row>
    <row r="24" ht="15.0" customHeight="1">
      <c r="A24" s="195"/>
    </row>
    <row r="25" ht="15.0" customHeight="1">
      <c r="A25" s="172"/>
    </row>
    <row r="26" ht="15.0" customHeight="1">
      <c r="A26" s="195"/>
    </row>
    <row r="27" ht="15.0" customHeight="1">
      <c r="A27" s="195"/>
    </row>
    <row r="28" ht="15.0" customHeight="1">
      <c r="A28" s="195"/>
    </row>
    <row r="29" ht="15.0" customHeight="1">
      <c r="A29" s="195"/>
    </row>
    <row r="30" ht="15.0" customHeight="1">
      <c r="A30" s="172"/>
    </row>
    <row r="31" ht="15.0" customHeight="1">
      <c r="A31" s="195"/>
    </row>
    <row r="32" ht="15.0" customHeight="1">
      <c r="A32" s="195"/>
    </row>
    <row r="33" ht="15.0" customHeight="1">
      <c r="A33" s="195"/>
    </row>
    <row r="34" ht="15.0" customHeight="1">
      <c r="A34" s="195"/>
    </row>
    <row r="35" ht="15.0" customHeight="1">
      <c r="A35" s="172"/>
    </row>
    <row r="36" ht="15.0" customHeight="1">
      <c r="A36" s="195"/>
    </row>
    <row r="37" ht="15.0" customHeight="1">
      <c r="A37" s="195"/>
    </row>
    <row r="38" ht="15.0" customHeight="1">
      <c r="A38" s="195"/>
    </row>
    <row r="39" ht="15.0" customHeight="1">
      <c r="A39" s="195"/>
    </row>
    <row r="40" ht="15.0" customHeight="1">
      <c r="A40" s="172"/>
    </row>
    <row r="41" ht="15.0" customHeight="1">
      <c r="A41" s="195"/>
    </row>
    <row r="42" ht="15.0" customHeight="1">
      <c r="A42" s="195"/>
    </row>
    <row r="43" ht="15.0" customHeight="1">
      <c r="A43" s="195"/>
    </row>
    <row r="44" ht="15.0" customHeight="1">
      <c r="A44" s="195"/>
    </row>
    <row r="45" ht="15.0" customHeight="1">
      <c r="A45" s="172"/>
    </row>
    <row r="46" ht="15.0" customHeight="1">
      <c r="A46" s="195"/>
    </row>
    <row r="47" ht="15.0" customHeight="1">
      <c r="A47" s="195"/>
    </row>
    <row r="48" ht="15.0" customHeight="1">
      <c r="A48" s="195"/>
    </row>
    <row r="49" ht="30.0" customHeight="1">
      <c r="A49" s="171" t="str">
        <f>systemData_copyrightMessage</f>
        <v>Fractal RPG v0.5.0.0 (Squishy Meatloaf | Pantsless Robot) 2019 - 202X SparkliTwizzl
Licensed under CC BY-NC-SA 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2.63"/>
    <col customWidth="1" min="2" max="2" width="2.63"/>
    <col customWidth="1" min="4" max="4" width="2.63"/>
    <col customWidth="1" min="6" max="6" width="2.63"/>
    <col customWidth="1" min="8" max="8" width="2.63"/>
    <col customWidth="1" min="10" max="10" width="2.63"/>
    <col customWidth="1" min="12" max="12" width="2.63"/>
    <col customWidth="1" min="14" max="14" width="2.63"/>
  </cols>
  <sheetData>
    <row r="1" ht="22.5" customHeight="1">
      <c r="A1" s="2" t="str">
        <f>systemData_systemLogo</f>
        <v/>
      </c>
      <c r="B1" s="2" t="str">
        <f>systemData_versionTitle</f>
        <v>Fractal RPG v0.5.0.0 (Pantsless Robot)</v>
      </c>
      <c r="O1" s="2"/>
    </row>
    <row r="2" ht="45.0" customHeight="1">
      <c r="B2" s="3" t="s">
        <v>51</v>
      </c>
      <c r="O2" s="3"/>
    </row>
    <row r="3" ht="15.0" customHeight="1">
      <c r="A3" s="265"/>
      <c r="B3" s="265"/>
      <c r="C3" s="265"/>
      <c r="D3" s="265"/>
      <c r="E3" s="266" t="s">
        <v>1</v>
      </c>
      <c r="F3" s="267"/>
      <c r="G3" s="11"/>
      <c r="H3" s="11"/>
      <c r="I3" s="11"/>
      <c r="J3" s="11"/>
      <c r="K3" s="11"/>
      <c r="L3" s="12"/>
      <c r="M3" s="265"/>
      <c r="N3" s="265"/>
      <c r="O3" s="265"/>
    </row>
    <row r="4" ht="15.0" customHeight="1">
      <c r="A4" s="265"/>
      <c r="B4" s="265"/>
      <c r="C4" s="265"/>
      <c r="D4" s="265"/>
      <c r="E4" s="268"/>
      <c r="F4" s="268"/>
      <c r="G4" s="269"/>
      <c r="H4" s="269"/>
      <c r="I4" s="269"/>
      <c r="J4" s="269"/>
      <c r="K4" s="269"/>
      <c r="L4" s="269"/>
      <c r="M4" s="265"/>
      <c r="N4" s="265"/>
      <c r="O4" s="265"/>
    </row>
    <row r="5">
      <c r="A5" s="270" t="s">
        <v>52</v>
      </c>
      <c r="B5" s="271" t="s">
        <v>53</v>
      </c>
      <c r="C5" s="272"/>
      <c r="D5" s="271" t="s">
        <v>54</v>
      </c>
      <c r="E5" s="272"/>
      <c r="F5" s="271" t="s">
        <v>48</v>
      </c>
      <c r="G5" s="272"/>
      <c r="H5" s="273" t="s">
        <v>55</v>
      </c>
      <c r="I5" s="272"/>
      <c r="J5" s="273" t="s">
        <v>56</v>
      </c>
      <c r="K5" s="272"/>
      <c r="L5" s="273" t="s">
        <v>57</v>
      </c>
      <c r="M5" s="272"/>
      <c r="N5" s="273" t="s">
        <v>58</v>
      </c>
      <c r="O5" s="274"/>
    </row>
    <row r="6">
      <c r="A6" s="275" t="str">
        <f t="array" ref="A6">PROPER(INDEX(traitName_labels_list,ROW()-ROW($A$5)))</f>
        <v>Anxiety</v>
      </c>
      <c r="B6" s="276" t="b">
        <v>0</v>
      </c>
      <c r="C6" s="277" t="str">
        <f t="array" ref="C6">PROPER(INDEX(traitName_positive3_list,ROW()-ROW($A$5)))</f>
        <v>Serene</v>
      </c>
      <c r="D6" s="276" t="b">
        <v>0</v>
      </c>
      <c r="E6" s="277" t="str">
        <f t="array" ref="E6">PROPER(INDEX(traitName_positive2_list,ROW()-ROW($A$5)))</f>
        <v>Carefree</v>
      </c>
      <c r="F6" s="276" t="b">
        <v>0</v>
      </c>
      <c r="G6" s="277" t="str">
        <f t="array" ref="G6">PROPER(INDEX(traitName_positive1_list,ROW()-ROW($A$5)))</f>
        <v>Relaxed</v>
      </c>
      <c r="H6" s="276" t="b">
        <v>0</v>
      </c>
      <c r="I6" s="278" t="str">
        <f t="array" ref="I6">PROPER(INDEX(traitName_neutral_list,ROW()-ROW($A$5)))</f>
        <v>Stable</v>
      </c>
      <c r="J6" s="279" t="b">
        <v>0</v>
      </c>
      <c r="K6" s="277" t="str">
        <f t="array" ref="K6">PROPER(INDEX(traitName_negative1_list,ROW()-ROW($A$5)))</f>
        <v>Uncomfortable</v>
      </c>
      <c r="L6" s="276" t="b">
        <v>0</v>
      </c>
      <c r="M6" s="277" t="str">
        <f t="array" ref="M6">PROPER(INDEX(traitName_negative2_list,ROW()-ROW($A$5)))</f>
        <v>Tense</v>
      </c>
      <c r="N6" s="276" t="b">
        <v>0</v>
      </c>
      <c r="O6" s="280" t="str">
        <f t="array" ref="O6">PROPER(INDEX(traitName_negative3_list,ROW()-ROW($A$5)))</f>
        <v>Agitated</v>
      </c>
    </row>
    <row r="7">
      <c r="A7" s="281" t="str">
        <f t="array" ref="A7">PROPER(INDEX(traitName_labels_list,ROW()-ROW($A$5)))</f>
        <v>Attention</v>
      </c>
      <c r="B7" s="282" t="b">
        <v>0</v>
      </c>
      <c r="C7" s="283" t="str">
        <f t="array" ref="C7">PROPER(INDEX(traitName_positive3_list,ROW()-ROW($A$5)))</f>
        <v>Fixated</v>
      </c>
      <c r="D7" s="282" t="b">
        <v>0</v>
      </c>
      <c r="E7" s="283" t="str">
        <f t="array" ref="E7">PROPER(INDEX(traitName_positive2_list,ROW()-ROW($A$5)))</f>
        <v>Dedicated</v>
      </c>
      <c r="F7" s="282" t="b">
        <v>0</v>
      </c>
      <c r="G7" s="283" t="str">
        <f t="array" ref="G7">PROPER(INDEX(traitName_positive1_list,ROW()-ROW($A$5)))</f>
        <v>Focused</v>
      </c>
      <c r="H7" s="282" t="b">
        <v>0</v>
      </c>
      <c r="I7" s="284" t="str">
        <f t="array" ref="I7">PROPER(INDEX(traitName_neutral_list,ROW()-ROW($A$5)))</f>
        <v>Disinterested</v>
      </c>
      <c r="J7" s="285" t="b">
        <v>0</v>
      </c>
      <c r="K7" s="283" t="str">
        <f t="array" ref="K7">PROPER(INDEX(traitName_negative1_list,ROW()-ROW($A$5)))</f>
        <v>Preoccupied</v>
      </c>
      <c r="L7" s="282" t="b">
        <v>0</v>
      </c>
      <c r="M7" s="283" t="str">
        <f t="array" ref="M7">PROPER(INDEX(traitName_negative2_list,ROW()-ROW($A$5)))</f>
        <v>Distracted</v>
      </c>
      <c r="N7" s="282" t="b">
        <v>0</v>
      </c>
      <c r="O7" s="286" t="str">
        <f t="array" ref="O7">PROPER(INDEX(traitName_negative3_list,ROW()-ROW($A$5)))</f>
        <v>Flustered</v>
      </c>
    </row>
    <row r="8">
      <c r="A8" s="275" t="str">
        <f t="array" ref="A8">PROPER(INDEX(traitName_labels_list,ROW()-ROW($A$5)))</f>
        <v>Caution</v>
      </c>
      <c r="B8" s="276" t="b">
        <v>0</v>
      </c>
      <c r="C8" s="277" t="str">
        <f t="array" ref="C8">PROPER(INDEX(traitName_positive3_list,ROW()-ROW($A$5)))</f>
        <v>Meticulous</v>
      </c>
      <c r="D8" s="276" t="b">
        <v>0</v>
      </c>
      <c r="E8" s="277" t="str">
        <f t="array" ref="E8">PROPER(INDEX(traitName_positive2_list,ROW()-ROW($A$5)))</f>
        <v>Thorough</v>
      </c>
      <c r="F8" s="276" t="b">
        <v>0</v>
      </c>
      <c r="G8" s="277" t="str">
        <f t="array" ref="G8">PROPER(INDEX(traitName_positive1_list,ROW()-ROW($A$5)))</f>
        <v>Careful</v>
      </c>
      <c r="H8" s="276" t="b">
        <v>0</v>
      </c>
      <c r="I8" s="278" t="str">
        <f t="array" ref="I8">PROPER(INDEX(traitName_neutral_list,ROW()-ROW($A$5)))</f>
        <v>Aware</v>
      </c>
      <c r="J8" s="279" t="b">
        <v>0</v>
      </c>
      <c r="K8" s="277" t="str">
        <f t="array" ref="K8">PROPER(INDEX(traitName_negative1_list,ROW()-ROW($A$5)))</f>
        <v>Careless</v>
      </c>
      <c r="L8" s="276" t="b">
        <v>0</v>
      </c>
      <c r="M8" s="277" t="str">
        <f t="array" ref="M8">PROPER(INDEX(traitName_negative2_list,ROW()-ROW($A$5)))</f>
        <v>Negligent</v>
      </c>
      <c r="N8" s="276" t="b">
        <v>0</v>
      </c>
      <c r="O8" s="280" t="str">
        <f t="array" ref="O8">PROPER(INDEX(traitName_negative3_list,ROW()-ROW($A$5)))</f>
        <v>Self-Destructive</v>
      </c>
    </row>
    <row r="9">
      <c r="A9" s="281" t="str">
        <f t="array" ref="A9">PROPER(INDEX(traitName_labels_list,ROW()-ROW($A$5)))</f>
        <v>Confidence</v>
      </c>
      <c r="B9" s="282" t="b">
        <v>0</v>
      </c>
      <c r="C9" s="283" t="str">
        <f t="array" ref="C9">PROPER(INDEX(traitName_positive3_list,ROW()-ROW($A$5)))</f>
        <v>Emphatic</v>
      </c>
      <c r="D9" s="282" t="b">
        <v>0</v>
      </c>
      <c r="E9" s="283" t="str">
        <f t="array" ref="E9">PROPER(INDEX(traitName_positive2_list,ROW()-ROW($A$5)))</f>
        <v>Confident</v>
      </c>
      <c r="F9" s="282" t="b">
        <v>0</v>
      </c>
      <c r="G9" s="283" t="str">
        <f t="array" ref="G9">PROPER(INDEX(traitName_positive1_list,ROW()-ROW($A$5)))</f>
        <v>Assertive</v>
      </c>
      <c r="H9" s="282" t="b">
        <v>0</v>
      </c>
      <c r="I9" s="284" t="str">
        <f t="array" ref="I9">PROPER(INDEX(traitName_neutral_list,ROW()-ROW($A$5)))</f>
        <v>Undecided</v>
      </c>
      <c r="J9" s="285" t="b">
        <v>0</v>
      </c>
      <c r="K9" s="283" t="str">
        <f t="array" ref="K9">PROPER(INDEX(traitName_negative1_list,ROW()-ROW($A$5)))</f>
        <v>Self-Conscious</v>
      </c>
      <c r="L9" s="282" t="b">
        <v>0</v>
      </c>
      <c r="M9" s="283" t="str">
        <f t="array" ref="M9">PROPER(INDEX(traitName_negative2_list,ROW()-ROW($A$5)))</f>
        <v>Insecure</v>
      </c>
      <c r="N9" s="282" t="b">
        <v>0</v>
      </c>
      <c r="O9" s="286" t="str">
        <f t="array" ref="O9">PROPER(INDEX(traitName_negative3_list,ROW()-ROW($A$5)))</f>
        <v>Withdrawn</v>
      </c>
    </row>
    <row r="10">
      <c r="A10" s="275" t="str">
        <f t="array" ref="A10">PROPER(INDEX(traitName_labels_list,ROW()-ROW($A$5)))</f>
        <v>Curiosity</v>
      </c>
      <c r="B10" s="276" t="b">
        <v>0</v>
      </c>
      <c r="C10" s="277" t="str">
        <f t="array" ref="C10">PROPER(INDEX(traitName_positive3_list,ROW()-ROW($A$5)))</f>
        <v>Nosy</v>
      </c>
      <c r="D10" s="276" t="b">
        <v>0</v>
      </c>
      <c r="E10" s="277" t="str">
        <f t="array" ref="E10">PROPER(INDEX(traitName_positive2_list,ROW()-ROW($A$5)))</f>
        <v>Inquisitive</v>
      </c>
      <c r="F10" s="276" t="b">
        <v>0</v>
      </c>
      <c r="G10" s="277" t="str">
        <f t="array" ref="G10">PROPER(INDEX(traitName_positive1_list,ROW()-ROW($A$5)))</f>
        <v>Curious</v>
      </c>
      <c r="H10" s="276" t="b">
        <v>0</v>
      </c>
      <c r="I10" s="278" t="str">
        <f t="array" ref="I10">PROPER(INDEX(traitName_neutral_list,ROW()-ROW($A$5)))</f>
        <v>Disengaged</v>
      </c>
      <c r="J10" s="279" t="b">
        <v>0</v>
      </c>
      <c r="K10" s="277" t="str">
        <f t="array" ref="K10">PROPER(INDEX(traitName_negative1_list,ROW()-ROW($A$5)))</f>
        <v>Unexcited</v>
      </c>
      <c r="L10" s="276" t="b">
        <v>0</v>
      </c>
      <c r="M10" s="277" t="str">
        <f t="array" ref="M10">PROPER(INDEX(traitName_negative2_list,ROW()-ROW($A$5)))</f>
        <v>Bored</v>
      </c>
      <c r="N10" s="276" t="b">
        <v>0</v>
      </c>
      <c r="O10" s="280" t="str">
        <f t="array" ref="O10">PROPER(INDEX(traitName_negative3_list,ROW()-ROW($A$5)))</f>
        <v>Removed</v>
      </c>
    </row>
    <row r="11">
      <c r="A11" s="281" t="str">
        <f t="array" ref="A11">PROPER(INDEX(traitName_labels_list,ROW()-ROW($A$5)))</f>
        <v>Decisiveness</v>
      </c>
      <c r="B11" s="282" t="b">
        <v>0</v>
      </c>
      <c r="C11" s="283" t="str">
        <f t="array" ref="C11">PROPER(INDEX(traitName_positive3_list,ROW()-ROW($A$5)))</f>
        <v>Adamant</v>
      </c>
      <c r="D11" s="282" t="b">
        <v>0</v>
      </c>
      <c r="E11" s="283" t="str">
        <f t="array" ref="E11">PROPER(INDEX(traitName_positive2_list,ROW()-ROW($A$5)))</f>
        <v>Resolute</v>
      </c>
      <c r="F11" s="282" t="b">
        <v>0</v>
      </c>
      <c r="G11" s="283" t="str">
        <f t="array" ref="G11">PROPER(INDEX(traitName_positive1_list,ROW()-ROW($A$5)))</f>
        <v>Decisive</v>
      </c>
      <c r="H11" s="282" t="b">
        <v>0</v>
      </c>
      <c r="I11" s="284" t="str">
        <f t="array" ref="I11">PROPER(INDEX(traitName_neutral_list,ROW()-ROW($A$5)))</f>
        <v>Indifferent</v>
      </c>
      <c r="J11" s="285" t="b">
        <v>0</v>
      </c>
      <c r="K11" s="283" t="str">
        <f t="array" ref="K11">PROPER(INDEX(traitName_negative1_list,ROW()-ROW($A$5)))</f>
        <v>Hesitant</v>
      </c>
      <c r="L11" s="282" t="b">
        <v>0</v>
      </c>
      <c r="M11" s="283" t="str">
        <f t="array" ref="M11">PROPER(INDEX(traitName_negative2_list,ROW()-ROW($A$5)))</f>
        <v>Vague</v>
      </c>
      <c r="N11" s="282" t="b">
        <v>0</v>
      </c>
      <c r="O11" s="286" t="str">
        <f t="array" ref="O11">PROPER(INDEX(traitName_negative3_list,ROW()-ROW($A$5)))</f>
        <v>Evasive</v>
      </c>
    </row>
    <row r="12">
      <c r="A12" s="275" t="str">
        <f t="array" ref="A12">PROPER(INDEX(traitName_labels_list,ROW()-ROW($A$5)))</f>
        <v>Determination</v>
      </c>
      <c r="B12" s="276" t="b">
        <v>0</v>
      </c>
      <c r="C12" s="277" t="str">
        <f t="array" ref="C12">PROPER(INDEX(traitName_positive3_list,ROW()-ROW($A$5)))</f>
        <v>Relentless</v>
      </c>
      <c r="D12" s="276" t="b">
        <v>0</v>
      </c>
      <c r="E12" s="277" t="str">
        <f t="array" ref="E12">PROPER(INDEX(traitName_positive2_list,ROW()-ROW($A$5)))</f>
        <v>Devoted</v>
      </c>
      <c r="F12" s="276" t="b">
        <v>0</v>
      </c>
      <c r="G12" s="277" t="str">
        <f t="array" ref="G12">PROPER(INDEX(traitName_positive1_list,ROW()-ROW($A$5)))</f>
        <v>Committed</v>
      </c>
      <c r="H12" s="276" t="b">
        <v>0</v>
      </c>
      <c r="I12" s="278" t="str">
        <f t="array" ref="I12">PROPER(INDEX(traitName_neutral_list,ROW()-ROW($A$5)))</f>
        <v>Apathetic</v>
      </c>
      <c r="J12" s="279" t="b">
        <v>0</v>
      </c>
      <c r="K12" s="277" t="str">
        <f t="array" ref="K12">PROPER(INDEX(traitName_negative1_list,ROW()-ROW($A$5)))</f>
        <v>Uncommitted</v>
      </c>
      <c r="L12" s="276" t="b">
        <v>0</v>
      </c>
      <c r="M12" s="277" t="str">
        <f t="array" ref="M12">PROPER(INDEX(traitName_negative2_list,ROW()-ROW($A$5)))</f>
        <v>Yielding</v>
      </c>
      <c r="N12" s="276" t="b">
        <v>0</v>
      </c>
      <c r="O12" s="280" t="str">
        <f t="array" ref="O12">PROPER(INDEX(traitName_negative3_list,ROW()-ROW($A$5)))</f>
        <v>Submissive</v>
      </c>
    </row>
    <row r="13">
      <c r="A13" s="281" t="str">
        <f t="array" ref="A13">PROPER(INDEX(traitName_labels_list,ROW()-ROW($A$5)))</f>
        <v>Disposition</v>
      </c>
      <c r="B13" s="282" t="b">
        <v>0</v>
      </c>
      <c r="C13" s="283" t="str">
        <f t="array" ref="C13">PROPER(INDEX(traitName_positive3_list,ROW()-ROW($A$5)))</f>
        <v>Pacifistic</v>
      </c>
      <c r="D13" s="282" t="b">
        <v>0</v>
      </c>
      <c r="E13" s="283" t="str">
        <f t="array" ref="E13">PROPER(INDEX(traitName_positive2_list,ROW()-ROW($A$5)))</f>
        <v>Humane</v>
      </c>
      <c r="F13" s="282" t="b">
        <v>0</v>
      </c>
      <c r="G13" s="283" t="str">
        <f t="array" ref="G13">PROPER(INDEX(traitName_positive1_list,ROW()-ROW($A$5)))</f>
        <v>Gracious</v>
      </c>
      <c r="H13" s="282" t="b">
        <v>0</v>
      </c>
      <c r="I13" s="284" t="str">
        <f t="array" ref="I13">PROPER(INDEX(traitName_neutral_list,ROW()-ROW($A$5)))</f>
        <v>Detached</v>
      </c>
      <c r="J13" s="285" t="b">
        <v>0</v>
      </c>
      <c r="K13" s="283" t="str">
        <f t="array" ref="K13">PROPER(INDEX(traitName_negative1_list,ROW()-ROW($A$5)))</f>
        <v>Cruel</v>
      </c>
      <c r="L13" s="282" t="b">
        <v>0</v>
      </c>
      <c r="M13" s="283" t="str">
        <f t="array" ref="M13">PROPER(INDEX(traitName_negative2_list,ROW()-ROW($A$5)))</f>
        <v>Heartless</v>
      </c>
      <c r="N13" s="282" t="b">
        <v>0</v>
      </c>
      <c r="O13" s="286" t="str">
        <f t="array" ref="O13">PROPER(INDEX(traitName_negative3_list,ROW()-ROW($A$5)))</f>
        <v>Psychopathic</v>
      </c>
    </row>
    <row r="14">
      <c r="A14" s="275" t="str">
        <f t="array" ref="A14">PROPER(INDEX(traitName_labels_list,ROW()-ROW($A$5)))</f>
        <v>Effort</v>
      </c>
      <c r="B14" s="276" t="b">
        <v>0</v>
      </c>
      <c r="C14" s="277" t="str">
        <f t="array" ref="C14">PROPER(INDEX(traitName_positive3_list,ROW()-ROW($A$5)))</f>
        <v>Fanatical</v>
      </c>
      <c r="D14" s="276" t="b">
        <v>0</v>
      </c>
      <c r="E14" s="277" t="str">
        <f t="array" ref="E14">PROPER(INDEX(traitName_positive2_list,ROW()-ROW($A$5)))</f>
        <v>Zealous</v>
      </c>
      <c r="F14" s="276" t="b">
        <v>0</v>
      </c>
      <c r="G14" s="277" t="str">
        <f t="array" ref="G14">PROPER(INDEX(traitName_positive1_list,ROW()-ROW($A$5)))</f>
        <v>Eager</v>
      </c>
      <c r="H14" s="276" t="b">
        <v>0</v>
      </c>
      <c r="I14" s="278" t="str">
        <f t="array" ref="I14">PROPER(INDEX(traitName_neutral_list,ROW()-ROW($A$5)))</f>
        <v>Inactive</v>
      </c>
      <c r="J14" s="279" t="b">
        <v>0</v>
      </c>
      <c r="K14" s="277" t="str">
        <f t="array" ref="K14">PROPER(INDEX(traitName_negative1_list,ROW()-ROW($A$5)))</f>
        <v>Sluggish</v>
      </c>
      <c r="L14" s="276" t="b">
        <v>0</v>
      </c>
      <c r="M14" s="277" t="str">
        <f t="array" ref="M14">PROPER(INDEX(traitName_negative2_list,ROW()-ROW($A$5)))</f>
        <v>Lazy</v>
      </c>
      <c r="N14" s="276" t="b">
        <v>0</v>
      </c>
      <c r="O14" s="280" t="str">
        <f t="array" ref="O14">PROPER(INDEX(traitName_negative3_list,ROW()-ROW($A$5)))</f>
        <v>Lethargic</v>
      </c>
    </row>
    <row r="15">
      <c r="A15" s="281" t="str">
        <f t="array" ref="A15">PROPER(INDEX(traitName_labels_list,ROW()-ROW($A$5)))</f>
        <v>Emotion</v>
      </c>
      <c r="B15" s="282" t="b">
        <v>0</v>
      </c>
      <c r="C15" s="283" t="str">
        <f t="array" ref="C15">PROPER(INDEX(traitName_positive3_list,ROW()-ROW($A$5)))</f>
        <v>Flamboyant</v>
      </c>
      <c r="D15" s="282" t="b">
        <v>0</v>
      </c>
      <c r="E15" s="283" t="str">
        <f t="array" ref="E15">PROPER(INDEX(traitName_positive2_list,ROW()-ROW($A$5)))</f>
        <v>Excited</v>
      </c>
      <c r="F15" s="282" t="b">
        <v>0</v>
      </c>
      <c r="G15" s="283" t="str">
        <f t="array" ref="G15">PROPER(INDEX(traitName_positive1_list,ROW()-ROW($A$5)))</f>
        <v>Bubbly</v>
      </c>
      <c r="H15" s="282" t="b">
        <v>0</v>
      </c>
      <c r="I15" s="284" t="str">
        <f t="array" ref="I15">PROPER(INDEX(traitName_neutral_list,ROW()-ROW($A$5)))</f>
        <v>Balanced</v>
      </c>
      <c r="J15" s="285" t="b">
        <v>0</v>
      </c>
      <c r="K15" s="283" t="str">
        <f t="array" ref="K15">PROPER(INDEX(traitName_negative1_list,ROW()-ROW($A$5)))</f>
        <v>Sombre</v>
      </c>
      <c r="L15" s="282" t="b">
        <v>0</v>
      </c>
      <c r="M15" s="283" t="str">
        <f t="array" ref="M15">PROPER(INDEX(traitName_negative2_list,ROW()-ROW($A$5)))</f>
        <v>Stoic</v>
      </c>
      <c r="N15" s="282" t="b">
        <v>0</v>
      </c>
      <c r="O15" s="286" t="str">
        <f t="array" ref="O15">PROPER(INDEX(traitName_negative3_list,ROW()-ROW($A$5)))</f>
        <v>Deadpan</v>
      </c>
    </row>
    <row r="16">
      <c r="A16" s="275" t="str">
        <f t="array" ref="A16">PROPER(INDEX(traitName_labels_list,ROW()-ROW($A$5)))</f>
        <v>Empathy</v>
      </c>
      <c r="B16" s="276" t="b">
        <v>0</v>
      </c>
      <c r="C16" s="277" t="str">
        <f t="array" ref="C16">PROPER(INDEX(traitName_positive3_list,ROW()-ROW($A$5)))</f>
        <v>Compassionate</v>
      </c>
      <c r="D16" s="276" t="b">
        <v>0</v>
      </c>
      <c r="E16" s="277" t="str">
        <f t="array" ref="E16">PROPER(INDEX(traitName_positive2_list,ROW()-ROW($A$5)))</f>
        <v>Caring</v>
      </c>
      <c r="F16" s="276" t="b">
        <v>0</v>
      </c>
      <c r="G16" s="277" t="str">
        <f t="array" ref="G16">PROPER(INDEX(traitName_positive1_list,ROW()-ROW($A$5)))</f>
        <v>Sympathetic</v>
      </c>
      <c r="H16" s="276" t="b">
        <v>0</v>
      </c>
      <c r="I16" s="278" t="str">
        <f t="array" ref="I16">PROPER(INDEX(traitName_neutral_list,ROW()-ROW($A$5)))</f>
        <v>Uninvolved</v>
      </c>
      <c r="J16" s="279" t="b">
        <v>0</v>
      </c>
      <c r="K16" s="277" t="str">
        <f t="array" ref="K16">PROPER(INDEX(traitName_negative1_list,ROW()-ROW($A$5)))</f>
        <v>Aloof</v>
      </c>
      <c r="L16" s="276" t="b">
        <v>0</v>
      </c>
      <c r="M16" s="277" t="str">
        <f t="array" ref="M16">PROPER(INDEX(traitName_negative2_list,ROW()-ROW($A$5)))</f>
        <v>Insensitive</v>
      </c>
      <c r="N16" s="276" t="b">
        <v>0</v>
      </c>
      <c r="O16" s="280" t="str">
        <f t="array" ref="O16">PROPER(INDEX(traitName_negative3_list,ROW()-ROW($A$5)))</f>
        <v>Callous</v>
      </c>
    </row>
    <row r="17">
      <c r="A17" s="281" t="str">
        <f t="array" ref="A17">PROPER(INDEX(traitName_labels_list,ROW()-ROW($A$5)))</f>
        <v>Forcefulness</v>
      </c>
      <c r="B17" s="282" t="b">
        <v>0</v>
      </c>
      <c r="C17" s="283" t="str">
        <f t="array" ref="C17">PROPER(INDEX(traitName_positive3_list,ROW()-ROW($A$5)))</f>
        <v>Delicate</v>
      </c>
      <c r="D17" s="282" t="b">
        <v>0</v>
      </c>
      <c r="E17" s="283" t="str">
        <f t="array" ref="E17">PROPER(INDEX(traitName_positive2_list,ROW()-ROW($A$5)))</f>
        <v>Soft</v>
      </c>
      <c r="F17" s="282" t="b">
        <v>0</v>
      </c>
      <c r="G17" s="283" t="str">
        <f t="array" ref="G17">PROPER(INDEX(traitName_positive1_list,ROW()-ROW($A$5)))</f>
        <v>Gentle</v>
      </c>
      <c r="H17" s="282" t="b">
        <v>0</v>
      </c>
      <c r="I17" s="284" t="str">
        <f t="array" ref="I17">PROPER(INDEX(traitName_neutral_list,ROW()-ROW($A$5)))</f>
        <v>Moderate</v>
      </c>
      <c r="J17" s="285" t="b">
        <v>0</v>
      </c>
      <c r="K17" s="283" t="str">
        <f t="array" ref="K17">PROPER(INDEX(traitName_negative1_list,ROW()-ROW($A$5)))</f>
        <v>Rough</v>
      </c>
      <c r="L17" s="282" t="b">
        <v>0</v>
      </c>
      <c r="M17" s="283" t="str">
        <f t="array" ref="M17">PROPER(INDEX(traitName_negative2_list,ROW()-ROW($A$5)))</f>
        <v>Violent</v>
      </c>
      <c r="N17" s="282" t="b">
        <v>0</v>
      </c>
      <c r="O17" s="286" t="str">
        <f t="array" ref="O17">PROPER(INDEX(traitName_negative3_list,ROW()-ROW($A$5)))</f>
        <v>Savage</v>
      </c>
    </row>
    <row r="18">
      <c r="A18" s="275" t="str">
        <f t="array" ref="A18">PROPER(INDEX(traitName_labels_list,ROW()-ROW($A$5)))</f>
        <v>Formality</v>
      </c>
      <c r="B18" s="276" t="b">
        <v>0</v>
      </c>
      <c r="C18" s="277" t="str">
        <f t="array" ref="C18">PROPER(INDEX(traitName_positive3_list,ROW()-ROW($A$5)))</f>
        <v>Pompous</v>
      </c>
      <c r="D18" s="276" t="b">
        <v>0</v>
      </c>
      <c r="E18" s="277" t="str">
        <f t="array" ref="E18">PROPER(INDEX(traitName_positive2_list,ROW()-ROW($A$5)))</f>
        <v>Formal</v>
      </c>
      <c r="F18" s="276" t="b">
        <v>0</v>
      </c>
      <c r="G18" s="277" t="str">
        <f t="array" ref="G18">PROPER(INDEX(traitName_positive1_list,ROW()-ROW($A$5)))</f>
        <v>Orderly</v>
      </c>
      <c r="H18" s="276" t="b">
        <v>0</v>
      </c>
      <c r="I18" s="278" t="str">
        <f t="array" ref="I18">PROPER(INDEX(traitName_neutral_list,ROW()-ROW($A$5)))</f>
        <v>Plain</v>
      </c>
      <c r="J18" s="279" t="b">
        <v>0</v>
      </c>
      <c r="K18" s="277" t="str">
        <f t="array" ref="K18">PROPER(INDEX(traitName_negative1_list,ROW()-ROW($A$5)))</f>
        <v>Informal</v>
      </c>
      <c r="L18" s="276" t="b">
        <v>0</v>
      </c>
      <c r="M18" s="277" t="str">
        <f t="array" ref="M18">PROPER(INDEX(traitName_negative2_list,ROW()-ROW($A$5)))</f>
        <v>Casual</v>
      </c>
      <c r="N18" s="276" t="b">
        <v>0</v>
      </c>
      <c r="O18" s="280" t="str">
        <f t="array" ref="O18">PROPER(INDEX(traitName_negative3_list,ROW()-ROW($A$5)))</f>
        <v>Sloppy</v>
      </c>
    </row>
    <row r="19">
      <c r="A19" s="281" t="str">
        <f t="array" ref="A19">PROPER(INDEX(traitName_labels_list,ROW()-ROW($A$5)))</f>
        <v>Honesty</v>
      </c>
      <c r="B19" s="282" t="b">
        <v>0</v>
      </c>
      <c r="C19" s="283" t="str">
        <f t="array" ref="C19">PROPER(INDEX(traitName_positive3_list,ROW()-ROW($A$5)))</f>
        <v>Genuine</v>
      </c>
      <c r="D19" s="282" t="b">
        <v>0</v>
      </c>
      <c r="E19" s="283" t="str">
        <f t="array" ref="E19">PROPER(INDEX(traitName_positive2_list,ROW()-ROW($A$5)))</f>
        <v>Truthful</v>
      </c>
      <c r="F19" s="282" t="b">
        <v>0</v>
      </c>
      <c r="G19" s="283" t="str">
        <f t="array" ref="G19">PROPER(INDEX(traitName_positive1_list,ROW()-ROW($A$5)))</f>
        <v>Sincere</v>
      </c>
      <c r="H19" s="282" t="b">
        <v>0</v>
      </c>
      <c r="I19" s="284" t="str">
        <f t="array" ref="I19">PROPER(INDEX(traitName_neutral_list,ROW()-ROW($A$5)))</f>
        <v>Nebulous</v>
      </c>
      <c r="J19" s="285" t="b">
        <v>0</v>
      </c>
      <c r="K19" s="283" t="str">
        <f t="array" ref="K19">PROPER(INDEX(traitName_negative1_list,ROW()-ROW($A$5)))</f>
        <v>Misleading</v>
      </c>
      <c r="L19" s="282" t="b">
        <v>0</v>
      </c>
      <c r="M19" s="283" t="str">
        <f t="array" ref="M19">PROPER(INDEX(traitName_negative2_list,ROW()-ROW($A$5)))</f>
        <v>Dishonest</v>
      </c>
      <c r="N19" s="282" t="b">
        <v>0</v>
      </c>
      <c r="O19" s="286" t="str">
        <f t="array" ref="O19">PROPER(INDEX(traitName_negative3_list,ROW()-ROW($A$5)))</f>
        <v>Deceitful</v>
      </c>
    </row>
    <row r="20">
      <c r="A20" s="275" t="str">
        <f t="array" ref="A20">PROPER(INDEX(traitName_labels_list,ROW()-ROW($A$5)))</f>
        <v>Hygiene</v>
      </c>
      <c r="B20" s="276" t="b">
        <v>0</v>
      </c>
      <c r="C20" s="277" t="str">
        <f t="array" ref="C20">PROPER(INDEX(traitName_positive3_list,ROW()-ROW($A$5)))</f>
        <v>Spotless</v>
      </c>
      <c r="D20" s="276" t="b">
        <v>0</v>
      </c>
      <c r="E20" s="277" t="str">
        <f t="array" ref="E20">PROPER(INDEX(traitName_positive2_list,ROW()-ROW($A$5)))</f>
        <v>Clean</v>
      </c>
      <c r="F20" s="276" t="b">
        <v>0</v>
      </c>
      <c r="G20" s="277" t="str">
        <f t="array" ref="G20">PROPER(INDEX(traitName_positive1_list,ROW()-ROW($A$5)))</f>
        <v>Tidy</v>
      </c>
      <c r="H20" s="276" t="b">
        <v>0</v>
      </c>
      <c r="I20" s="278" t="str">
        <f t="array" ref="I20">PROPER(INDEX(traitName_neutral_list,ROW()-ROW($A$5)))</f>
        <v>Presentable</v>
      </c>
      <c r="J20" s="279" t="b">
        <v>0</v>
      </c>
      <c r="K20" s="277" t="str">
        <f t="array" ref="K20">PROPER(INDEX(traitName_negative1_list,ROW()-ROW($A$5)))</f>
        <v>Disheveled</v>
      </c>
      <c r="L20" s="276" t="b">
        <v>0</v>
      </c>
      <c r="M20" s="277" t="str">
        <f t="array" ref="M20">PROPER(INDEX(traitName_negative2_list,ROW()-ROW($A$5)))</f>
        <v>Dirty</v>
      </c>
      <c r="N20" s="276" t="b">
        <v>0</v>
      </c>
      <c r="O20" s="280" t="str">
        <f t="array" ref="O20">PROPER(INDEX(traitName_negative3_list,ROW()-ROW($A$5)))</f>
        <v>Disgusting</v>
      </c>
    </row>
    <row r="21">
      <c r="A21" s="281" t="str">
        <f t="array" ref="A21">PROPER(INDEX(traitName_labels_list,ROW()-ROW($A$5)))</f>
        <v>Lawfulness</v>
      </c>
      <c r="B21" s="282" t="b">
        <v>0</v>
      </c>
      <c r="C21" s="283" t="str">
        <f t="array" ref="C21">PROPER(INDEX(traitName_positive3_list,ROW()-ROW($A$5)))</f>
        <v>Patriotic</v>
      </c>
      <c r="D21" s="282" t="b">
        <v>0</v>
      </c>
      <c r="E21" s="283" t="str">
        <f t="array" ref="E21">PROPER(INDEX(traitName_positive2_list,ROW()-ROW($A$5)))</f>
        <v>Lawful</v>
      </c>
      <c r="F21" s="282" t="b">
        <v>0</v>
      </c>
      <c r="G21" s="283" t="str">
        <f t="array" ref="G21">PROPER(INDEX(traitName_positive1_list,ROW()-ROW($A$5)))</f>
        <v>Civil</v>
      </c>
      <c r="H21" s="282" t="b">
        <v>0</v>
      </c>
      <c r="I21" s="284" t="str">
        <f t="array" ref="I21">PROPER(INDEX(traitName_neutral_list,ROW()-ROW($A$5)))</f>
        <v>Impartial</v>
      </c>
      <c r="J21" s="285" t="b">
        <v>0</v>
      </c>
      <c r="K21" s="283" t="str">
        <f t="array" ref="K21">PROPER(INDEX(traitName_negative1_list,ROW()-ROW($A$5)))</f>
        <v>Delinquent</v>
      </c>
      <c r="L21" s="282" t="b">
        <v>0</v>
      </c>
      <c r="M21" s="283" t="str">
        <f t="array" ref="M21">PROPER(INDEX(traitName_negative2_list,ROW()-ROW($A$5)))</f>
        <v>Criminal</v>
      </c>
      <c r="N21" s="282" t="b">
        <v>0</v>
      </c>
      <c r="O21" s="286" t="str">
        <f t="array" ref="O21">PROPER(INDEX(traitName_negative3_list,ROW()-ROW($A$5)))</f>
        <v>Terroristic</v>
      </c>
    </row>
    <row r="22">
      <c r="A22" s="275" t="str">
        <f t="array" ref="A22">PROPER(INDEX(traitName_labels_list,ROW()-ROW($A$5)))</f>
        <v>Logic</v>
      </c>
      <c r="B22" s="276" t="b">
        <v>0</v>
      </c>
      <c r="C22" s="277" t="str">
        <f t="array" ref="C22">PROPER(INDEX(traitName_positive3_list,ROW()-ROW($A$5)))</f>
        <v>Objective</v>
      </c>
      <c r="D22" s="276" t="b">
        <v>0</v>
      </c>
      <c r="E22" s="277" t="str">
        <f t="array" ref="E22">PROPER(INDEX(traitName_positive2_list,ROW()-ROW($A$5)))</f>
        <v>Logical</v>
      </c>
      <c r="F22" s="276" t="b">
        <v>0</v>
      </c>
      <c r="G22" s="277" t="str">
        <f t="array" ref="G22">PROPER(INDEX(traitName_positive1_list,ROW()-ROW($A$5)))</f>
        <v>Rational</v>
      </c>
      <c r="H22" s="276" t="b">
        <v>0</v>
      </c>
      <c r="I22" s="278" t="str">
        <f t="array" ref="I22">PROPER(INDEX(traitName_neutral_list,ROW()-ROW($A$5)))</f>
        <v>Reasonable</v>
      </c>
      <c r="J22" s="279" t="b">
        <v>0</v>
      </c>
      <c r="K22" s="277" t="str">
        <f t="array" ref="K22">PROPER(INDEX(traitName_negative1_list,ROW()-ROW($A$5)))</f>
        <v>Subjective</v>
      </c>
      <c r="L22" s="276" t="b">
        <v>0</v>
      </c>
      <c r="M22" s="277" t="str">
        <f t="array" ref="M22">PROPER(INDEX(traitName_negative2_list,ROW()-ROW($A$5)))</f>
        <v>Unreasonable</v>
      </c>
      <c r="N22" s="276" t="b">
        <v>0</v>
      </c>
      <c r="O22" s="280" t="str">
        <f t="array" ref="O22">PROPER(INDEX(traitName_negative3_list,ROW()-ROW($A$5)))</f>
        <v>Irrational</v>
      </c>
    </row>
    <row r="23">
      <c r="A23" s="281" t="str">
        <f t="array" ref="A23">PROPER(INDEX(traitName_labels_list,ROW()-ROW($A$5)))</f>
        <v>Loyalty</v>
      </c>
      <c r="B23" s="282" t="b">
        <v>0</v>
      </c>
      <c r="C23" s="283" t="str">
        <f t="array" ref="C23">PROPER(INDEX(traitName_positive3_list,ROW()-ROW($A$5)))</f>
        <v>Inseparable</v>
      </c>
      <c r="D23" s="282" t="b">
        <v>0</v>
      </c>
      <c r="E23" s="283" t="str">
        <f t="array" ref="E23">PROPER(INDEX(traitName_positive2_list,ROW()-ROW($A$5)))</f>
        <v>Dutiful</v>
      </c>
      <c r="F23" s="282" t="b">
        <v>0</v>
      </c>
      <c r="G23" s="283" t="str">
        <f t="array" ref="G23">PROPER(INDEX(traitName_positive1_list,ROW()-ROW($A$5)))</f>
        <v>Loyal</v>
      </c>
      <c r="H23" s="282" t="b">
        <v>0</v>
      </c>
      <c r="I23" s="284" t="str">
        <f t="array" ref="I23">PROPER(INDEX(traitName_neutral_list,ROW()-ROW($A$5)))</f>
        <v>Passive</v>
      </c>
      <c r="J23" s="285" t="b">
        <v>0</v>
      </c>
      <c r="K23" s="283" t="str">
        <f t="array" ref="K23">PROPER(INDEX(traitName_negative1_list,ROW()-ROW($A$5)))</f>
        <v>Disloyal</v>
      </c>
      <c r="L23" s="282" t="b">
        <v>0</v>
      </c>
      <c r="M23" s="283" t="str">
        <f t="array" ref="M23">PROPER(INDEX(traitName_negative2_list,ROW()-ROW($A$5)))</f>
        <v>Traitorous</v>
      </c>
      <c r="N23" s="282" t="b">
        <v>0</v>
      </c>
      <c r="O23" s="286" t="str">
        <f t="array" ref="O23">PROPER(INDEX(traitName_negative3_list,ROW()-ROW($A$5)))</f>
        <v>Backstabbing</v>
      </c>
    </row>
    <row r="24">
      <c r="A24" s="275" t="str">
        <f t="array" ref="A24">PROPER(INDEX(traitName_labels_list,ROW()-ROW($A$5)))</f>
        <v>Manners</v>
      </c>
      <c r="B24" s="276" t="b">
        <v>0</v>
      </c>
      <c r="C24" s="277" t="str">
        <f t="array" ref="C24">PROPER(INDEX(traitName_positive3_list,ROW()-ROW($A$5)))</f>
        <v>Proper</v>
      </c>
      <c r="D24" s="276" t="b">
        <v>0</v>
      </c>
      <c r="E24" s="277" t="str">
        <f t="array" ref="E24">PROPER(INDEX(traitName_positive2_list,ROW()-ROW($A$5)))</f>
        <v>Polite</v>
      </c>
      <c r="F24" s="276" t="b">
        <v>0</v>
      </c>
      <c r="G24" s="277" t="str">
        <f t="array" ref="G24">PROPER(INDEX(traitName_positive1_list,ROW()-ROW($A$5)))</f>
        <v>Courteous</v>
      </c>
      <c r="H24" s="276" t="b">
        <v>0</v>
      </c>
      <c r="I24" s="278" t="str">
        <f t="array" ref="I24">PROPER(INDEX(traitName_neutral_list,ROW()-ROW($A$5)))</f>
        <v>Lukewarm</v>
      </c>
      <c r="J24" s="279" t="b">
        <v>0</v>
      </c>
      <c r="K24" s="277" t="str">
        <f t="array" ref="K24">PROPER(INDEX(traitName_negative1_list,ROW()-ROW($A$5)))</f>
        <v>Coarse</v>
      </c>
      <c r="L24" s="276" t="b">
        <v>0</v>
      </c>
      <c r="M24" s="277" t="str">
        <f t="array" ref="M24">PROPER(INDEX(traitName_negative2_list,ROW()-ROW($A$5)))</f>
        <v>Rude</v>
      </c>
      <c r="N24" s="276" t="b">
        <v>0</v>
      </c>
      <c r="O24" s="280" t="str">
        <f t="array" ref="O24">PROPER(INDEX(traitName_negative3_list,ROW()-ROW($A$5)))</f>
        <v>Repulsive</v>
      </c>
    </row>
    <row r="25">
      <c r="A25" s="281" t="str">
        <f t="array" ref="A25">PROPER(INDEX(traitName_labels_list,ROW()-ROW($A$5)))</f>
        <v>Memory</v>
      </c>
      <c r="B25" s="282" t="b">
        <v>0</v>
      </c>
      <c r="C25" s="283" t="str">
        <f t="array" ref="C25">PROPER(INDEX(traitName_positive3_list,ROW()-ROW($A$5)))</f>
        <v>Photographic</v>
      </c>
      <c r="D25" s="282" t="b">
        <v>0</v>
      </c>
      <c r="E25" s="283" t="str">
        <f t="array" ref="E25">PROPER(INDEX(traitName_positive2_list,ROW()-ROW($A$5)))</f>
        <v>Mindful</v>
      </c>
      <c r="F25" s="282" t="b">
        <v>0</v>
      </c>
      <c r="G25" s="283" t="str">
        <f t="array" ref="G25">PROPER(INDEX(traitName_positive1_list,ROW()-ROW($A$5)))</f>
        <v>Observant</v>
      </c>
      <c r="H25" s="282" t="b">
        <v>0</v>
      </c>
      <c r="I25" s="284" t="str">
        <f t="array" ref="I25">PROPER(INDEX(traitName_neutral_list,ROW()-ROW($A$5)))</f>
        <v>Attentive</v>
      </c>
      <c r="J25" s="285" t="b">
        <v>0</v>
      </c>
      <c r="K25" s="283" t="str">
        <f t="array" ref="K25">PROPER(INDEX(traitName_negative1_list,ROW()-ROW($A$5)))</f>
        <v>Inattentive</v>
      </c>
      <c r="L25" s="282" t="b">
        <v>0</v>
      </c>
      <c r="M25" s="283" t="str">
        <f t="array" ref="M25">PROPER(INDEX(traitName_negative2_list,ROW()-ROW($A$5)))</f>
        <v>Absentminded</v>
      </c>
      <c r="N25" s="282" t="b">
        <v>0</v>
      </c>
      <c r="O25" s="286" t="str">
        <f t="array" ref="O25">PROPER(INDEX(traitName_negative3_list,ROW()-ROW($A$5)))</f>
        <v>Forgetful</v>
      </c>
    </row>
    <row r="26">
      <c r="A26" s="275" t="str">
        <f t="array" ref="A26">PROPER(INDEX(traitName_labels_list,ROW()-ROW($A$5)))</f>
        <v>Mercy</v>
      </c>
      <c r="B26" s="276" t="b">
        <v>0</v>
      </c>
      <c r="C26" s="277" t="str">
        <f t="array" ref="C26">PROPER(INDEX(traitName_positive3_list,ROW()-ROW($A$5)))</f>
        <v>Forgiving</v>
      </c>
      <c r="D26" s="276" t="b">
        <v>0</v>
      </c>
      <c r="E26" s="277" t="str">
        <f t="array" ref="E26">PROPER(INDEX(traitName_positive2_list,ROW()-ROW($A$5)))</f>
        <v>Merciful</v>
      </c>
      <c r="F26" s="276" t="b">
        <v>0</v>
      </c>
      <c r="G26" s="277" t="str">
        <f t="array" ref="G26">PROPER(INDEX(traitName_positive1_list,ROW()-ROW($A$5)))</f>
        <v>Lenient</v>
      </c>
      <c r="H26" s="276" t="b">
        <v>0</v>
      </c>
      <c r="I26" s="278" t="str">
        <f t="array" ref="I26">PROPER(INDEX(traitName_neutral_list,ROW()-ROW($A$5)))</f>
        <v>Conditional</v>
      </c>
      <c r="J26" s="279" t="b">
        <v>0</v>
      </c>
      <c r="K26" s="277" t="str">
        <f t="array" ref="K26">PROPER(INDEX(traitName_negative1_list,ROW()-ROW($A$5)))</f>
        <v>Harsh</v>
      </c>
      <c r="L26" s="276" t="b">
        <v>0</v>
      </c>
      <c r="M26" s="277" t="str">
        <f t="array" ref="M26">PROPER(INDEX(traitName_negative2_list,ROW()-ROW($A$5)))</f>
        <v>Merciless</v>
      </c>
      <c r="N26" s="276" t="b">
        <v>0</v>
      </c>
      <c r="O26" s="280" t="str">
        <f t="array" ref="O26">PROPER(INDEX(traitName_negative3_list,ROW()-ROW($A$5)))</f>
        <v>Ruthless</v>
      </c>
    </row>
    <row r="27">
      <c r="A27" s="281" t="str">
        <f t="array" ref="A27">PROPER(INDEX(traitName_labels_list,ROW()-ROW($A$5)))</f>
        <v>Mindedness</v>
      </c>
      <c r="B27" s="282" t="b">
        <v>0</v>
      </c>
      <c r="C27" s="283" t="str">
        <f t="array" ref="C27">PROPER(INDEX(traitName_positive3_list,ROW()-ROW($A$5)))</f>
        <v>Broad</v>
      </c>
      <c r="D27" s="282" t="b">
        <v>0</v>
      </c>
      <c r="E27" s="283" t="str">
        <f t="array" ref="E27">PROPER(INDEX(traitName_positive2_list,ROW()-ROW($A$5)))</f>
        <v>Open</v>
      </c>
      <c r="F27" s="282" t="b">
        <v>0</v>
      </c>
      <c r="G27" s="283" t="str">
        <f t="array" ref="G27">PROPER(INDEX(traitName_positive1_list,ROW()-ROW($A$5)))</f>
        <v>Receptive</v>
      </c>
      <c r="H27" s="282" t="b">
        <v>0</v>
      </c>
      <c r="I27" s="284" t="str">
        <f t="array" ref="I27">PROPER(INDEX(traitName_neutral_list,ROW()-ROW($A$5)))</f>
        <v>Simple</v>
      </c>
      <c r="J27" s="285" t="b">
        <v>0</v>
      </c>
      <c r="K27" s="283" t="str">
        <f t="array" ref="K27">PROPER(INDEX(traitName_negative1_list,ROW()-ROW($A$5)))</f>
        <v>Unreceptive</v>
      </c>
      <c r="L27" s="282" t="b">
        <v>0</v>
      </c>
      <c r="M27" s="283" t="str">
        <f t="array" ref="M27">PROPER(INDEX(traitName_negative2_list,ROW()-ROW($A$5)))</f>
        <v>Closed</v>
      </c>
      <c r="N27" s="282" t="b">
        <v>0</v>
      </c>
      <c r="O27" s="286" t="str">
        <f t="array" ref="O27">PROPER(INDEX(traitName_negative3_list,ROW()-ROW($A$5)))</f>
        <v>Narrow</v>
      </c>
    </row>
    <row r="28">
      <c r="A28" s="275" t="str">
        <f t="array" ref="A28">PROPER(INDEX(traitName_labels_list,ROW()-ROW($A$5)))</f>
        <v>Morality</v>
      </c>
      <c r="B28" s="276" t="b">
        <v>0</v>
      </c>
      <c r="C28" s="277" t="str">
        <f t="array" ref="C28">PROPER(INDEX(traitName_positive3_list,ROW()-ROW($A$5)))</f>
        <v>Good</v>
      </c>
      <c r="D28" s="276" t="b">
        <v>0</v>
      </c>
      <c r="E28" s="277" t="str">
        <f t="array" ref="E28">PROPER(INDEX(traitName_positive2_list,ROW()-ROW($A$5)))</f>
        <v>Virtuous</v>
      </c>
      <c r="F28" s="276" t="b">
        <v>0</v>
      </c>
      <c r="G28" s="277" t="str">
        <f t="array" ref="G28">PROPER(INDEX(traitName_positive1_list,ROW()-ROW($A$5)))</f>
        <v>Decent</v>
      </c>
      <c r="H28" s="276" t="b">
        <v>0</v>
      </c>
      <c r="I28" s="278" t="str">
        <f t="array" ref="I28">PROPER(INDEX(traitName_neutral_list,ROW()-ROW($A$5)))</f>
        <v>Neutral</v>
      </c>
      <c r="J28" s="279" t="b">
        <v>0</v>
      </c>
      <c r="K28" s="277" t="str">
        <f t="array" ref="K28">PROPER(INDEX(traitName_negative1_list,ROW()-ROW($A$5)))</f>
        <v>Corrupt</v>
      </c>
      <c r="L28" s="276" t="b">
        <v>0</v>
      </c>
      <c r="M28" s="277" t="str">
        <f t="array" ref="M28">PROPER(INDEX(traitName_negative2_list,ROW()-ROW($A$5)))</f>
        <v>Wicked</v>
      </c>
      <c r="N28" s="276" t="b">
        <v>0</v>
      </c>
      <c r="O28" s="280" t="str">
        <f t="array" ref="O28">PROPER(INDEX(traitName_negative3_list,ROW()-ROW($A$5)))</f>
        <v>Evil</v>
      </c>
    </row>
    <row r="29">
      <c r="A29" s="281" t="str">
        <f t="array" ref="A29">PROPER(INDEX(traitName_labels_list,ROW()-ROW($A$5)))</f>
        <v>Naivete</v>
      </c>
      <c r="B29" s="282" t="b">
        <v>0</v>
      </c>
      <c r="C29" s="283" t="str">
        <f t="array" ref="C29">PROPER(INDEX(traitName_positive3_list,ROW()-ROW($A$5)))</f>
        <v>Cynical</v>
      </c>
      <c r="D29" s="282" t="b">
        <v>0</v>
      </c>
      <c r="E29" s="283" t="str">
        <f t="array" ref="E29">PROPER(INDEX(traitName_positive2_list,ROW()-ROW($A$5)))</f>
        <v>Distrustful</v>
      </c>
      <c r="F29" s="282" t="b">
        <v>0</v>
      </c>
      <c r="G29" s="283" t="str">
        <f t="array" ref="G29">PROPER(INDEX(traitName_positive1_list,ROW()-ROW($A$5)))</f>
        <v>Skeptical</v>
      </c>
      <c r="H29" s="282" t="b">
        <v>0</v>
      </c>
      <c r="I29" s="284" t="str">
        <f t="array" ref="I29">PROPER(INDEX(traitName_neutral_list,ROW()-ROW($A$5)))</f>
        <v>Innocent</v>
      </c>
      <c r="J29" s="285" t="b">
        <v>0</v>
      </c>
      <c r="K29" s="283" t="str">
        <f t="array" ref="K29">PROPER(INDEX(traitName_negative1_list,ROW()-ROW($A$5)))</f>
        <v>Unsuspecting</v>
      </c>
      <c r="L29" s="282" t="b">
        <v>0</v>
      </c>
      <c r="M29" s="283" t="str">
        <f t="array" ref="M29">PROPER(INDEX(traitName_negative2_list,ROW()-ROW($A$5)))</f>
        <v>Gullible</v>
      </c>
      <c r="N29" s="282" t="b">
        <v>0</v>
      </c>
      <c r="O29" s="286" t="str">
        <f t="array" ref="O29">PROPER(INDEX(traitName_negative3_list,ROW()-ROW($A$5)))</f>
        <v>Foolish</v>
      </c>
    </row>
    <row r="30">
      <c r="A30" s="275" t="str">
        <f t="array" ref="A30">PROPER(INDEX(traitName_labels_list,ROW()-ROW($A$5)))</f>
        <v>Patience</v>
      </c>
      <c r="B30" s="276" t="b">
        <v>0</v>
      </c>
      <c r="C30" s="277" t="str">
        <f t="array" ref="C30">PROPER(INDEX(traitName_positive3_list,ROW()-ROW($A$5)))</f>
        <v>Peaceful</v>
      </c>
      <c r="D30" s="276" t="b">
        <v>0</v>
      </c>
      <c r="E30" s="277" t="str">
        <f t="array" ref="E30">PROPER(INDEX(traitName_positive2_list,ROW()-ROW($A$5)))</f>
        <v>Patient</v>
      </c>
      <c r="F30" s="276" t="b">
        <v>0</v>
      </c>
      <c r="G30" s="277" t="str">
        <f t="array" ref="G30">PROPER(INDEX(traitName_positive1_list,ROW()-ROW($A$5)))</f>
        <v>Calm</v>
      </c>
      <c r="H30" s="276" t="b">
        <v>0</v>
      </c>
      <c r="I30" s="278" t="str">
        <f t="array" ref="I30">PROPER(INDEX(traitName_neutral_list,ROW()-ROW($A$5)))</f>
        <v>Unconcerned</v>
      </c>
      <c r="J30" s="279" t="b">
        <v>0</v>
      </c>
      <c r="K30" s="277" t="str">
        <f t="array" ref="K30">PROPER(INDEX(traitName_negative1_list,ROW()-ROW($A$5)))</f>
        <v>Restless</v>
      </c>
      <c r="L30" s="276" t="b">
        <v>0</v>
      </c>
      <c r="M30" s="277" t="str">
        <f t="array" ref="M30">PROPER(INDEX(traitName_negative2_list,ROW()-ROW($A$5)))</f>
        <v>Impatient</v>
      </c>
      <c r="N30" s="276" t="b">
        <v>0</v>
      </c>
      <c r="O30" s="280" t="str">
        <f t="array" ref="O30">PROPER(INDEX(traitName_negative3_list,ROW()-ROW($A$5)))</f>
        <v>Belligerent</v>
      </c>
    </row>
    <row r="31">
      <c r="A31" s="281" t="str">
        <f t="array" ref="A31">PROPER(INDEX(traitName_labels_list,ROW()-ROW($A$5)))</f>
        <v>Predictability</v>
      </c>
      <c r="B31" s="282" t="b">
        <v>0</v>
      </c>
      <c r="C31" s="283" t="str">
        <f t="array" ref="C31">PROPER(INDEX(traitName_positive3_list,ROW()-ROW($A$5)))</f>
        <v>Routine</v>
      </c>
      <c r="D31" s="282" t="b">
        <v>0</v>
      </c>
      <c r="E31" s="283" t="str">
        <f t="array" ref="E31">PROPER(INDEX(traitName_positive2_list,ROW()-ROW($A$5)))</f>
        <v>Periodic</v>
      </c>
      <c r="F31" s="282" t="b">
        <v>0</v>
      </c>
      <c r="G31" s="283" t="str">
        <f t="array" ref="G31">PROPER(INDEX(traitName_positive1_list,ROW()-ROW($A$5)))</f>
        <v>Predictable</v>
      </c>
      <c r="H31" s="282" t="b">
        <v>0</v>
      </c>
      <c r="I31" s="284" t="str">
        <f t="array" ref="I31">PROPER(INDEX(traitName_neutral_list,ROW()-ROW($A$5)))</f>
        <v>Inconsistent</v>
      </c>
      <c r="J31" s="285" t="b">
        <v>0</v>
      </c>
      <c r="K31" s="283" t="str">
        <f t="array" ref="K31">PROPER(INDEX(traitName_negative1_list,ROW()-ROW($A$5)))</f>
        <v>Spontaneous</v>
      </c>
      <c r="L31" s="282" t="b">
        <v>0</v>
      </c>
      <c r="M31" s="283" t="str">
        <f t="array" ref="M31">PROPER(INDEX(traitName_negative2_list,ROW()-ROW($A$5)))</f>
        <v>Erratic</v>
      </c>
      <c r="N31" s="282" t="b">
        <v>0</v>
      </c>
      <c r="O31" s="286" t="str">
        <f t="array" ref="O31">PROPER(INDEX(traitName_negative3_list,ROW()-ROW($A$5)))</f>
        <v>Chaotic</v>
      </c>
    </row>
    <row r="32">
      <c r="A32" s="275" t="str">
        <f t="array" ref="A32">PROPER(INDEX(traitName_labels_list,ROW()-ROW($A$5)))</f>
        <v>Restraint</v>
      </c>
      <c r="B32" s="276" t="b">
        <v>0</v>
      </c>
      <c r="C32" s="277" t="str">
        <f t="array" ref="C32">PROPER(INDEX(traitName_positive3_list,ROW()-ROW($A$5)))</f>
        <v>Steady</v>
      </c>
      <c r="D32" s="276" t="b">
        <v>0</v>
      </c>
      <c r="E32" s="277" t="str">
        <f t="array" ref="E32">PROPER(INDEX(traitName_positive2_list,ROW()-ROW($A$5)))</f>
        <v>Controlled</v>
      </c>
      <c r="F32" s="276" t="b">
        <v>0</v>
      </c>
      <c r="G32" s="277" t="str">
        <f t="array" ref="G32">PROPER(INDEX(traitName_positive1_list,ROW()-ROW($A$5)))</f>
        <v>Subdued</v>
      </c>
      <c r="H32" s="276" t="b">
        <v>0</v>
      </c>
      <c r="I32" s="278" t="str">
        <f t="array" ref="I32">PROPER(INDEX(traitName_neutral_list,ROW()-ROW($A$5)))</f>
        <v>Moderate</v>
      </c>
      <c r="J32" s="279" t="b">
        <v>0</v>
      </c>
      <c r="K32" s="277" t="str">
        <f t="array" ref="K32">PROPER(INDEX(traitName_negative1_list,ROW()-ROW($A$5)))</f>
        <v>Unchecked</v>
      </c>
      <c r="L32" s="276" t="b">
        <v>0</v>
      </c>
      <c r="M32" s="277" t="str">
        <f t="array" ref="M32">PROPER(INDEX(traitName_negative2_list,ROW()-ROW($A$5)))</f>
        <v>Loose</v>
      </c>
      <c r="N32" s="276" t="b">
        <v>0</v>
      </c>
      <c r="O32" s="280" t="str">
        <f t="array" ref="O32">PROPER(INDEX(traitName_negative3_list,ROW()-ROW($A$5)))</f>
        <v>Wild</v>
      </c>
    </row>
    <row r="33">
      <c r="A33" s="281" t="str">
        <f t="array" ref="A33">PROPER(INDEX(traitName_labels_list,ROW()-ROW($A$5)))</f>
        <v>Sociability</v>
      </c>
      <c r="B33" s="282" t="b">
        <v>0</v>
      </c>
      <c r="C33" s="283" t="str">
        <f t="array" ref="C33">PROPER(INDEX(traitName_positive3_list,ROW()-ROW($A$5)))</f>
        <v>Neighborly</v>
      </c>
      <c r="D33" s="282" t="b">
        <v>0</v>
      </c>
      <c r="E33" s="283" t="str">
        <f t="array" ref="E33">PROPER(INDEX(traitName_positive2_list,ROW()-ROW($A$5)))</f>
        <v>Friendly</v>
      </c>
      <c r="F33" s="282" t="b">
        <v>0</v>
      </c>
      <c r="G33" s="283" t="str">
        <f t="array" ref="G33">PROPER(INDEX(traitName_positive1_list,ROW()-ROW($A$5)))</f>
        <v>Easygoing</v>
      </c>
      <c r="H33" s="282" t="b">
        <v>0</v>
      </c>
      <c r="I33" s="284" t="str">
        <f t="array" ref="I33">PROPER(INDEX(traitName_neutral_list,ROW()-ROW($A$5)))</f>
        <v>Impersonal</v>
      </c>
      <c r="J33" s="285" t="b">
        <v>0</v>
      </c>
      <c r="K33" s="283" t="str">
        <f t="array" ref="K33">PROPER(INDEX(traitName_negative1_list,ROW()-ROW($A$5)))</f>
        <v>Antisocial</v>
      </c>
      <c r="L33" s="282" t="b">
        <v>0</v>
      </c>
      <c r="M33" s="283" t="str">
        <f t="array" ref="M33">PROPER(INDEX(traitName_negative2_list,ROW()-ROW($A$5)))</f>
        <v>Isolated</v>
      </c>
      <c r="N33" s="282" t="b">
        <v>0</v>
      </c>
      <c r="O33" s="286" t="str">
        <f t="array" ref="O33">PROPER(INDEX(traitName_negative3_list,ROW()-ROW($A$5)))</f>
        <v>Reclusive</v>
      </c>
    </row>
    <row r="34">
      <c r="A34" s="275" t="str">
        <f t="array" ref="A34">PROPER(INDEX(traitName_labels_list,ROW()-ROW($A$5)))</f>
        <v>Temper</v>
      </c>
      <c r="B34" s="276" t="b">
        <v>0</v>
      </c>
      <c r="C34" s="277" t="str">
        <f t="array" ref="C34">PROPER(INDEX(traitName_positive3_list,ROW()-ROW($A$5)))</f>
        <v>Tranquil</v>
      </c>
      <c r="D34" s="276" t="b">
        <v>0</v>
      </c>
      <c r="E34" s="277" t="str">
        <f t="array" ref="E34">PROPER(INDEX(traitName_positive2_list,ROW()-ROW($A$5)))</f>
        <v>Placid</v>
      </c>
      <c r="F34" s="276" t="b">
        <v>0</v>
      </c>
      <c r="G34" s="277" t="str">
        <f t="array" ref="G34">PROPER(INDEX(traitName_positive1_list,ROW()-ROW($A$5)))</f>
        <v>Flat</v>
      </c>
      <c r="H34" s="276" t="b">
        <v>0</v>
      </c>
      <c r="I34" s="278" t="str">
        <f t="array" ref="I34">PROPER(INDEX(traitName_neutral_list,ROW()-ROW($A$5)))</f>
        <v>Even</v>
      </c>
      <c r="J34" s="279" t="b">
        <v>0</v>
      </c>
      <c r="K34" s="277" t="str">
        <f t="array" ref="K34">PROPER(INDEX(traitName_negative1_list,ROW()-ROW($A$5)))</f>
        <v>Aggressive</v>
      </c>
      <c r="L34" s="276" t="b">
        <v>0</v>
      </c>
      <c r="M34" s="277" t="str">
        <f t="array" ref="M34">PROPER(INDEX(traitName_negative2_list,ROW()-ROW($A$5)))</f>
        <v>Hostile</v>
      </c>
      <c r="N34" s="276" t="b">
        <v>0</v>
      </c>
      <c r="O34" s="280" t="str">
        <f t="array" ref="O34">PROPER(INDEX(traitName_negative3_list,ROW()-ROW($A$5)))</f>
        <v>Explosive</v>
      </c>
    </row>
    <row r="35">
      <c r="A35" s="281" t="str">
        <f t="array" ref="A35">PROPER(INDEX(traitName_labels_list,ROW()-ROW($A$5)))</f>
        <v>Tolerance</v>
      </c>
      <c r="B35" s="282" t="b">
        <v>0</v>
      </c>
      <c r="C35" s="283" t="str">
        <f t="array" ref="C35">PROPER(INDEX(traitName_positive3_list,ROW()-ROW($A$5)))</f>
        <v>Welcoming</v>
      </c>
      <c r="D35" s="282" t="b">
        <v>0</v>
      </c>
      <c r="E35" s="283" t="str">
        <f t="array" ref="E35">PROPER(INDEX(traitName_positive2_list,ROW()-ROW($A$5)))</f>
        <v>Accepting</v>
      </c>
      <c r="F35" s="282" t="b">
        <v>0</v>
      </c>
      <c r="G35" s="283" t="str">
        <f t="array" ref="G35">PROPER(INDEX(traitName_positive1_list,ROW()-ROW($A$5)))</f>
        <v>Tolerant</v>
      </c>
      <c r="H35" s="282" t="b">
        <v>0</v>
      </c>
      <c r="I35" s="284" t="str">
        <f t="array" ref="I35">PROPER(INDEX(traitName_neutral_list,ROW()-ROW($A$5)))</f>
        <v>Unbiased</v>
      </c>
      <c r="J35" s="285" t="b">
        <v>0</v>
      </c>
      <c r="K35" s="283" t="str">
        <f t="array" ref="K35">PROPER(INDEX(traitName_negative1_list,ROW()-ROW($A$5)))</f>
        <v>Intolerant</v>
      </c>
      <c r="L35" s="282" t="b">
        <v>0</v>
      </c>
      <c r="M35" s="283" t="str">
        <f t="array" ref="M35">PROPER(INDEX(traitName_negative2_list,ROW()-ROW($A$5)))</f>
        <v>Rejecting</v>
      </c>
      <c r="N35" s="282" t="b">
        <v>0</v>
      </c>
      <c r="O35" s="286" t="str">
        <f t="array" ref="O35">PROPER(INDEX(traitName_negative3_list,ROW()-ROW($A$5)))</f>
        <v>Hateful</v>
      </c>
    </row>
    <row r="36" ht="30.0" customHeight="1">
      <c r="A36" s="287" t="str">
        <f>systemData_copyrightMessage</f>
        <v>Fractal RPG v0.5.0.0 (Squishy Meatloaf | Pantsless Robot) 2019 - 202X SparkliTwizzl
Licensed under CC BY-NC-SA 4.0</v>
      </c>
      <c r="B36" s="288"/>
      <c r="C36" s="288"/>
      <c r="D36" s="288"/>
      <c r="E36" s="288"/>
      <c r="F36" s="288"/>
      <c r="G36" s="288"/>
      <c r="H36" s="288"/>
      <c r="I36" s="288"/>
      <c r="J36" s="288"/>
      <c r="K36" s="288"/>
      <c r="L36" s="288"/>
      <c r="M36" s="288"/>
      <c r="N36" s="288"/>
      <c r="O36" s="288"/>
    </row>
  </sheetData>
  <mergeCells count="12">
    <mergeCell ref="H5:I5"/>
    <mergeCell ref="J5:K5"/>
    <mergeCell ref="N5:O5"/>
    <mergeCell ref="L5:M5"/>
    <mergeCell ref="A36:O36"/>
    <mergeCell ref="A1:A2"/>
    <mergeCell ref="B1:N1"/>
    <mergeCell ref="B2:N2"/>
    <mergeCell ref="F3:L3"/>
    <mergeCell ref="B5:C5"/>
    <mergeCell ref="D5:E5"/>
    <mergeCell ref="F5:G5"/>
  </mergeCells>
  <conditionalFormatting sqref="B6:O35">
    <cfRule type="expression" dxfId="0" priority="1">
      <formula>AND(B6=TRUE,ISODD(ROW()))</formula>
    </cfRule>
  </conditionalFormatting>
  <conditionalFormatting sqref="C6:O35">
    <cfRule type="expression" dxfId="0" priority="2">
      <formula>AND(B6=TRUE,ISODD(ROW()))</formula>
    </cfRule>
  </conditionalFormatting>
  <conditionalFormatting sqref="B6:O35">
    <cfRule type="expression" dxfId="1" priority="3">
      <formula>AND(B6=TRUE,ISEVEN(ROW()))</formula>
    </cfRule>
  </conditionalFormatting>
  <conditionalFormatting sqref="C6:O35">
    <cfRule type="expression" dxfId="1" priority="4">
      <formula>AND(B6=TRUE,ISEVEN(ROW()))</formula>
    </cfRule>
  </conditionalFormatting>
  <printOptions horizontalCentered="1"/>
  <pageMargins bottom="0.75" footer="0.0" header="0.0" left="0.7" right="0.7" top="0.75"/>
  <pageSetup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6.38"/>
    <col customWidth="1" min="2" max="2" width="10.75"/>
    <col customWidth="1" min="3" max="13" width="12.63"/>
  </cols>
  <sheetData>
    <row r="1" ht="22.5" customHeight="1">
      <c r="A1" s="2" t="str">
        <f>systemData_systemLogo</f>
        <v/>
      </c>
      <c r="C1" s="2" t="str">
        <f>systemData_versionTitle</f>
        <v>Fractal RPG v0.5.0.0 (Pantsless Robot)</v>
      </c>
      <c r="M1" s="2"/>
    </row>
    <row r="2" ht="45.0" customHeight="1">
      <c r="C2" s="3" t="s">
        <v>59</v>
      </c>
      <c r="M2" s="3"/>
    </row>
    <row r="3" ht="15.7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7.5" customHeight="1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289" t="s">
        <v>14</v>
      </c>
      <c r="B5" s="290" t="s">
        <v>60</v>
      </c>
      <c r="C5" s="291" t="str">
        <f>"Human "&amp;PROPER(stat_scale_physical_size)&amp;" Reference"</f>
        <v>Human Size Reference</v>
      </c>
      <c r="D5" s="292"/>
      <c r="E5" s="292"/>
      <c r="F5" s="292"/>
      <c r="G5" s="292"/>
      <c r="H5" s="293"/>
      <c r="I5" s="291" t="str">
        <f>"Human "&amp;PROPER(stat_scale_physical_mass)&amp;" Reference"</f>
        <v>Human Mass Reference</v>
      </c>
      <c r="J5" s="293"/>
      <c r="K5" s="291" t="str">
        <f>"Human "&amp;PROPER(stat_scale_physical_strength)&amp;" Reference"</f>
        <v>Human Brawn Reference</v>
      </c>
      <c r="L5" s="293"/>
      <c r="M5" s="294" t="s">
        <v>61</v>
      </c>
    </row>
    <row r="6">
      <c r="A6" s="295"/>
      <c r="B6" s="296" t="s">
        <v>62</v>
      </c>
      <c r="C6" s="297" t="s">
        <v>63</v>
      </c>
      <c r="D6" s="298" t="s">
        <v>64</v>
      </c>
      <c r="E6" s="298" t="s">
        <v>65</v>
      </c>
      <c r="F6" s="298" t="s">
        <v>66</v>
      </c>
      <c r="G6" s="298" t="s">
        <v>67</v>
      </c>
      <c r="H6" s="296" t="s">
        <v>68</v>
      </c>
      <c r="I6" s="297" t="s">
        <v>69</v>
      </c>
      <c r="J6" s="296" t="s">
        <v>70</v>
      </c>
      <c r="K6" s="297" t="s">
        <v>69</v>
      </c>
      <c r="L6" s="296" t="s">
        <v>70</v>
      </c>
      <c r="M6" s="299" t="s">
        <v>71</v>
      </c>
    </row>
    <row r="7">
      <c r="A7" s="300">
        <v>-25.0</v>
      </c>
      <c r="B7" s="301">
        <f>LOOKUP($A7,scaling_scaleList,scaling_multiplierList)</f>
        <v>0.00055</v>
      </c>
      <c r="C7" s="302">
        <f t="shared" ref="C7:C31" si="1">$C$32*$B7</f>
        <v>0.00275</v>
      </c>
      <c r="D7" s="303">
        <f t="shared" ref="D7:D31" si="2">$D$32*$B7</f>
        <v>0.033</v>
      </c>
      <c r="E7" s="304" t="s">
        <v>56</v>
      </c>
      <c r="F7" s="305">
        <f t="shared" ref="F7:F31" si="3">$F$32*$B7</f>
        <v>0.000825</v>
      </c>
      <c r="G7" s="306">
        <f t="shared" ref="G7:G31" si="4">$G$32*$B7</f>
        <v>0.0825</v>
      </c>
      <c r="H7" s="307">
        <f t="shared" ref="H7:H31" si="5">$H$32*$B7</f>
        <v>0.825</v>
      </c>
      <c r="I7" s="308">
        <f t="shared" ref="I7:I31" si="6">$I$32*$B7</f>
        <v>0.066</v>
      </c>
      <c r="J7" s="309">
        <f t="shared" ref="J7:J31" si="7">$J$32*$B7</f>
        <v>0.033</v>
      </c>
      <c r="K7" s="310">
        <f t="shared" ref="K7:K31" si="8">$K$32*$B7</f>
        <v>0.055</v>
      </c>
      <c r="L7" s="311">
        <f t="shared" ref="L7:L31" si="9">$L$32*$B7</f>
        <v>0.0275</v>
      </c>
      <c r="M7" s="312">
        <f>LOOKUP(-$A7,scaling_scaleList,scaling_multiplierList)</f>
        <v>1800</v>
      </c>
    </row>
    <row r="8">
      <c r="A8" s="313">
        <v>-24.0</v>
      </c>
      <c r="B8" s="314">
        <f>LOOKUP($A8,scaling_scaleList,scaling_multiplierList)</f>
        <v>0.00075</v>
      </c>
      <c r="C8" s="315">
        <f t="shared" si="1"/>
        <v>0.00375</v>
      </c>
      <c r="D8" s="316">
        <f t="shared" si="2"/>
        <v>0.045</v>
      </c>
      <c r="E8" s="317" t="s">
        <v>56</v>
      </c>
      <c r="F8" s="318">
        <f t="shared" si="3"/>
        <v>0.001125</v>
      </c>
      <c r="G8" s="319">
        <f t="shared" si="4"/>
        <v>0.1125</v>
      </c>
      <c r="H8" s="320">
        <f t="shared" si="5"/>
        <v>1.125</v>
      </c>
      <c r="I8" s="321">
        <f t="shared" si="6"/>
        <v>0.09</v>
      </c>
      <c r="J8" s="322">
        <f t="shared" si="7"/>
        <v>0.045</v>
      </c>
      <c r="K8" s="323">
        <f t="shared" si="8"/>
        <v>0.075</v>
      </c>
      <c r="L8" s="324">
        <f t="shared" si="9"/>
        <v>0.0375</v>
      </c>
      <c r="M8" s="325">
        <f>LOOKUP(-$A8,scaling_scaleList,scaling_multiplierList)</f>
        <v>1350</v>
      </c>
    </row>
    <row r="9">
      <c r="A9" s="300">
        <v>-23.0</v>
      </c>
      <c r="B9" s="301">
        <f>LOOKUP($A9,scaling_scaleList,scaling_multiplierList)</f>
        <v>0.001</v>
      </c>
      <c r="C9" s="326">
        <f t="shared" si="1"/>
        <v>0.005</v>
      </c>
      <c r="D9" s="303">
        <f t="shared" si="2"/>
        <v>0.06</v>
      </c>
      <c r="E9" s="304" t="s">
        <v>56</v>
      </c>
      <c r="F9" s="305">
        <f t="shared" si="3"/>
        <v>0.0015</v>
      </c>
      <c r="G9" s="306">
        <f t="shared" si="4"/>
        <v>0.15</v>
      </c>
      <c r="H9" s="307">
        <f t="shared" si="5"/>
        <v>1.5</v>
      </c>
      <c r="I9" s="308">
        <f t="shared" si="6"/>
        <v>0.12</v>
      </c>
      <c r="J9" s="309">
        <f t="shared" si="7"/>
        <v>0.06</v>
      </c>
      <c r="K9" s="310">
        <f t="shared" si="8"/>
        <v>0.1</v>
      </c>
      <c r="L9" s="311">
        <f t="shared" si="9"/>
        <v>0.05</v>
      </c>
      <c r="M9" s="312">
        <f>LOOKUP(-$A9,scaling_scaleList,scaling_multiplierList)</f>
        <v>1000</v>
      </c>
    </row>
    <row r="10">
      <c r="A10" s="313">
        <v>-22.0</v>
      </c>
      <c r="B10" s="314">
        <f>LOOKUP($A10,scaling_scaleList,scaling_multiplierList)</f>
        <v>0.0013</v>
      </c>
      <c r="C10" s="327">
        <f t="shared" si="1"/>
        <v>0.0065</v>
      </c>
      <c r="D10" s="316">
        <f t="shared" si="2"/>
        <v>0.078</v>
      </c>
      <c r="E10" s="317" t="s">
        <v>56</v>
      </c>
      <c r="F10" s="318">
        <f t="shared" si="3"/>
        <v>0.00195</v>
      </c>
      <c r="G10" s="319">
        <f t="shared" si="4"/>
        <v>0.195</v>
      </c>
      <c r="H10" s="320">
        <f t="shared" si="5"/>
        <v>1.95</v>
      </c>
      <c r="I10" s="321">
        <f t="shared" si="6"/>
        <v>0.156</v>
      </c>
      <c r="J10" s="322">
        <f t="shared" si="7"/>
        <v>0.078</v>
      </c>
      <c r="K10" s="323">
        <f t="shared" si="8"/>
        <v>0.13</v>
      </c>
      <c r="L10" s="324">
        <f t="shared" si="9"/>
        <v>0.065</v>
      </c>
      <c r="M10" s="325">
        <f>LOOKUP(-$A10,scaling_scaleList,scaling_multiplierList)</f>
        <v>750</v>
      </c>
    </row>
    <row r="11">
      <c r="A11" s="300">
        <v>-21.0</v>
      </c>
      <c r="B11" s="301">
        <f>LOOKUP($A11,scaling_scaleList,scaling_multiplierList)</f>
        <v>0.0018</v>
      </c>
      <c r="C11" s="326">
        <f t="shared" si="1"/>
        <v>0.009</v>
      </c>
      <c r="D11" s="303">
        <f t="shared" si="2"/>
        <v>0.108</v>
      </c>
      <c r="E11" s="304" t="s">
        <v>56</v>
      </c>
      <c r="F11" s="305">
        <f t="shared" si="3"/>
        <v>0.0027</v>
      </c>
      <c r="G11" s="306">
        <f t="shared" si="4"/>
        <v>0.27</v>
      </c>
      <c r="H11" s="307">
        <f t="shared" si="5"/>
        <v>2.7</v>
      </c>
      <c r="I11" s="308">
        <f t="shared" si="6"/>
        <v>0.216</v>
      </c>
      <c r="J11" s="309">
        <f t="shared" si="7"/>
        <v>0.108</v>
      </c>
      <c r="K11" s="310">
        <f t="shared" si="8"/>
        <v>0.18</v>
      </c>
      <c r="L11" s="311">
        <f t="shared" si="9"/>
        <v>0.09</v>
      </c>
      <c r="M11" s="312">
        <f>LOOKUP(-$A11,scaling_scaleList,scaling_multiplierList)</f>
        <v>550</v>
      </c>
    </row>
    <row r="12">
      <c r="A12" s="313">
        <v>-20.0</v>
      </c>
      <c r="B12" s="314">
        <f>LOOKUP($A12,scaling_scaleList,scaling_multiplierList)</f>
        <v>0.0025</v>
      </c>
      <c r="C12" s="327">
        <f t="shared" si="1"/>
        <v>0.0125</v>
      </c>
      <c r="D12" s="316">
        <f t="shared" si="2"/>
        <v>0.15</v>
      </c>
      <c r="E12" s="317" t="s">
        <v>56</v>
      </c>
      <c r="F12" s="318">
        <f t="shared" si="3"/>
        <v>0.00375</v>
      </c>
      <c r="G12" s="319">
        <f t="shared" si="4"/>
        <v>0.375</v>
      </c>
      <c r="H12" s="320">
        <f t="shared" si="5"/>
        <v>3.75</v>
      </c>
      <c r="I12" s="321">
        <f t="shared" si="6"/>
        <v>0.3</v>
      </c>
      <c r="J12" s="322">
        <f t="shared" si="7"/>
        <v>0.15</v>
      </c>
      <c r="K12" s="323">
        <f t="shared" si="8"/>
        <v>0.25</v>
      </c>
      <c r="L12" s="324">
        <f t="shared" si="9"/>
        <v>0.125</v>
      </c>
      <c r="M12" s="325">
        <f>LOOKUP(-$A12,scaling_scaleList,scaling_multiplierList)</f>
        <v>400</v>
      </c>
    </row>
    <row r="13">
      <c r="A13" s="300">
        <v>-19.0</v>
      </c>
      <c r="B13" s="301">
        <f>LOOKUP($A13,scaling_scaleList,scaling_multiplierList)</f>
        <v>0.0033</v>
      </c>
      <c r="C13" s="326">
        <f t="shared" si="1"/>
        <v>0.0165</v>
      </c>
      <c r="D13" s="303">
        <f t="shared" si="2"/>
        <v>0.198</v>
      </c>
      <c r="E13" s="304" t="s">
        <v>56</v>
      </c>
      <c r="F13" s="305">
        <f t="shared" si="3"/>
        <v>0.00495</v>
      </c>
      <c r="G13" s="306">
        <f t="shared" si="4"/>
        <v>0.495</v>
      </c>
      <c r="H13" s="307">
        <f t="shared" si="5"/>
        <v>4.95</v>
      </c>
      <c r="I13" s="308">
        <f t="shared" si="6"/>
        <v>0.396</v>
      </c>
      <c r="J13" s="309">
        <f t="shared" si="7"/>
        <v>0.198</v>
      </c>
      <c r="K13" s="310">
        <f t="shared" si="8"/>
        <v>0.33</v>
      </c>
      <c r="L13" s="311">
        <f t="shared" si="9"/>
        <v>0.165</v>
      </c>
      <c r="M13" s="312">
        <f>LOOKUP(-$A13,scaling_scaleList,scaling_multiplierList)</f>
        <v>300</v>
      </c>
    </row>
    <row r="14">
      <c r="A14" s="313">
        <v>-18.0</v>
      </c>
      <c r="B14" s="314">
        <f>LOOKUP($A14,scaling_scaleList,scaling_multiplierList)</f>
        <v>0.0045</v>
      </c>
      <c r="C14" s="327">
        <f t="shared" si="1"/>
        <v>0.0225</v>
      </c>
      <c r="D14" s="316">
        <f t="shared" si="2"/>
        <v>0.27</v>
      </c>
      <c r="E14" s="317" t="s">
        <v>56</v>
      </c>
      <c r="F14" s="318">
        <f t="shared" si="3"/>
        <v>0.00675</v>
      </c>
      <c r="G14" s="319">
        <f t="shared" si="4"/>
        <v>0.675</v>
      </c>
      <c r="H14" s="320">
        <f t="shared" si="5"/>
        <v>6.75</v>
      </c>
      <c r="I14" s="321">
        <f t="shared" si="6"/>
        <v>0.54</v>
      </c>
      <c r="J14" s="322">
        <f t="shared" si="7"/>
        <v>0.27</v>
      </c>
      <c r="K14" s="323">
        <f t="shared" si="8"/>
        <v>0.45</v>
      </c>
      <c r="L14" s="324">
        <f t="shared" si="9"/>
        <v>0.225</v>
      </c>
      <c r="M14" s="325">
        <f>LOOKUP(-$A14,scaling_scaleList,scaling_multiplierList)</f>
        <v>220</v>
      </c>
    </row>
    <row r="15">
      <c r="A15" s="300">
        <v>-17.0</v>
      </c>
      <c r="B15" s="301">
        <f>LOOKUP($A15,scaling_scaleList,scaling_multiplierList)</f>
        <v>0.0063</v>
      </c>
      <c r="C15" s="326">
        <f t="shared" si="1"/>
        <v>0.0315</v>
      </c>
      <c r="D15" s="303">
        <f t="shared" si="2"/>
        <v>0.378</v>
      </c>
      <c r="E15" s="304" t="s">
        <v>56</v>
      </c>
      <c r="F15" s="305">
        <f t="shared" si="3"/>
        <v>0.00945</v>
      </c>
      <c r="G15" s="306">
        <f t="shared" si="4"/>
        <v>0.945</v>
      </c>
      <c r="H15" s="307">
        <f t="shared" si="5"/>
        <v>9.45</v>
      </c>
      <c r="I15" s="308">
        <f t="shared" si="6"/>
        <v>0.756</v>
      </c>
      <c r="J15" s="309">
        <f t="shared" si="7"/>
        <v>0.378</v>
      </c>
      <c r="K15" s="310">
        <f t="shared" si="8"/>
        <v>0.63</v>
      </c>
      <c r="L15" s="311">
        <f t="shared" si="9"/>
        <v>0.315</v>
      </c>
      <c r="M15" s="312">
        <f>LOOKUP(-$A15,scaling_scaleList,scaling_multiplierList)</f>
        <v>160</v>
      </c>
    </row>
    <row r="16">
      <c r="A16" s="313">
        <v>-16.0</v>
      </c>
      <c r="B16" s="314">
        <f>LOOKUP($A16,scaling_scaleList,scaling_multiplierList)</f>
        <v>0.0085</v>
      </c>
      <c r="C16" s="327">
        <f t="shared" si="1"/>
        <v>0.0425</v>
      </c>
      <c r="D16" s="328">
        <f t="shared" si="2"/>
        <v>0.51</v>
      </c>
      <c r="E16" s="329" t="s">
        <v>56</v>
      </c>
      <c r="F16" s="318">
        <f t="shared" si="3"/>
        <v>0.01275</v>
      </c>
      <c r="G16" s="319">
        <f t="shared" si="4"/>
        <v>1.275</v>
      </c>
      <c r="H16" s="320">
        <f t="shared" si="5"/>
        <v>12.75</v>
      </c>
      <c r="I16" s="330">
        <f t="shared" si="6"/>
        <v>1.02</v>
      </c>
      <c r="J16" s="322">
        <f t="shared" si="7"/>
        <v>0.51</v>
      </c>
      <c r="K16" s="323">
        <f t="shared" si="8"/>
        <v>0.85</v>
      </c>
      <c r="L16" s="324">
        <f t="shared" si="9"/>
        <v>0.425</v>
      </c>
      <c r="M16" s="325">
        <f>LOOKUP(-$A16,scaling_scaleList,scaling_multiplierList)</f>
        <v>120</v>
      </c>
    </row>
    <row r="17">
      <c r="A17" s="300">
        <v>-15.0</v>
      </c>
      <c r="B17" s="301">
        <f>LOOKUP($A17,scaling_scaleList,scaling_multiplierList)</f>
        <v>0.011</v>
      </c>
      <c r="C17" s="331">
        <f t="shared" si="1"/>
        <v>0.055</v>
      </c>
      <c r="D17" s="332">
        <f t="shared" si="2"/>
        <v>0.66</v>
      </c>
      <c r="E17" s="333" t="s">
        <v>56</v>
      </c>
      <c r="F17" s="305">
        <f t="shared" si="3"/>
        <v>0.0165</v>
      </c>
      <c r="G17" s="306">
        <f t="shared" si="4"/>
        <v>1.65</v>
      </c>
      <c r="H17" s="307">
        <f t="shared" si="5"/>
        <v>16.5</v>
      </c>
      <c r="I17" s="308">
        <f t="shared" si="6"/>
        <v>1.32</v>
      </c>
      <c r="J17" s="309">
        <f t="shared" si="7"/>
        <v>0.66</v>
      </c>
      <c r="K17" s="310">
        <f t="shared" si="8"/>
        <v>1.1</v>
      </c>
      <c r="L17" s="311">
        <f t="shared" si="9"/>
        <v>0.55</v>
      </c>
      <c r="M17" s="312">
        <f>LOOKUP(-$A17,scaling_scaleList,scaling_multiplierList)</f>
        <v>90</v>
      </c>
    </row>
    <row r="18">
      <c r="A18" s="313">
        <v>-14.0</v>
      </c>
      <c r="B18" s="314">
        <f>LOOKUP($A18,scaling_scaleList,scaling_multiplierList)</f>
        <v>0.015</v>
      </c>
      <c r="C18" s="334">
        <f t="shared" si="1"/>
        <v>0.075</v>
      </c>
      <c r="D18" s="335">
        <f t="shared" si="2"/>
        <v>0.9</v>
      </c>
      <c r="E18" s="336" t="s">
        <v>56</v>
      </c>
      <c r="F18" s="318">
        <f t="shared" si="3"/>
        <v>0.0225</v>
      </c>
      <c r="G18" s="319">
        <f t="shared" si="4"/>
        <v>2.25</v>
      </c>
      <c r="H18" s="320">
        <f t="shared" si="5"/>
        <v>22.5</v>
      </c>
      <c r="I18" s="321">
        <f t="shared" si="6"/>
        <v>1.8</v>
      </c>
      <c r="J18" s="322">
        <f t="shared" si="7"/>
        <v>0.9</v>
      </c>
      <c r="K18" s="323">
        <f t="shared" si="8"/>
        <v>1.5</v>
      </c>
      <c r="L18" s="324">
        <f t="shared" si="9"/>
        <v>0.75</v>
      </c>
      <c r="M18" s="325">
        <f>LOOKUP(-$A18,scaling_scaleList,scaling_multiplierList)</f>
        <v>65</v>
      </c>
    </row>
    <row r="19">
      <c r="A19" s="300">
        <v>-13.0</v>
      </c>
      <c r="B19" s="301">
        <f>LOOKUP($A19,scaling_scaleList,scaling_multiplierList)</f>
        <v>0.02</v>
      </c>
      <c r="C19" s="331">
        <f t="shared" si="1"/>
        <v>0.1</v>
      </c>
      <c r="D19" s="337">
        <f t="shared" si="2"/>
        <v>1.2</v>
      </c>
      <c r="E19" s="338" t="s">
        <v>56</v>
      </c>
      <c r="F19" s="305">
        <f t="shared" si="3"/>
        <v>0.03</v>
      </c>
      <c r="G19" s="339">
        <f t="shared" si="4"/>
        <v>3</v>
      </c>
      <c r="H19" s="340">
        <f t="shared" si="5"/>
        <v>30</v>
      </c>
      <c r="I19" s="308">
        <f t="shared" si="6"/>
        <v>2.4</v>
      </c>
      <c r="J19" s="309">
        <f t="shared" si="7"/>
        <v>1.2</v>
      </c>
      <c r="K19" s="341">
        <f t="shared" si="8"/>
        <v>2</v>
      </c>
      <c r="L19" s="342">
        <f t="shared" si="9"/>
        <v>1</v>
      </c>
      <c r="M19" s="312">
        <f>LOOKUP(-$A19,scaling_scaleList,scaling_multiplierList)</f>
        <v>50</v>
      </c>
    </row>
    <row r="20">
      <c r="A20" s="313">
        <v>-12.0</v>
      </c>
      <c r="B20" s="314">
        <f>LOOKUP($A20,scaling_scaleList,scaling_multiplierList)</f>
        <v>0.03</v>
      </c>
      <c r="C20" s="334">
        <f t="shared" si="1"/>
        <v>0.15</v>
      </c>
      <c r="D20" s="335">
        <f t="shared" si="2"/>
        <v>1.8</v>
      </c>
      <c r="E20" s="336" t="s">
        <v>56</v>
      </c>
      <c r="F20" s="318">
        <f t="shared" si="3"/>
        <v>0.045</v>
      </c>
      <c r="G20" s="319">
        <f t="shared" si="4"/>
        <v>4.5</v>
      </c>
      <c r="H20" s="343">
        <f t="shared" si="5"/>
        <v>45</v>
      </c>
      <c r="I20" s="321">
        <f t="shared" si="6"/>
        <v>3.6</v>
      </c>
      <c r="J20" s="322">
        <f t="shared" si="7"/>
        <v>1.8</v>
      </c>
      <c r="K20" s="330">
        <f t="shared" si="8"/>
        <v>3</v>
      </c>
      <c r="L20" s="324">
        <f t="shared" si="9"/>
        <v>1.5</v>
      </c>
      <c r="M20" s="325">
        <f>LOOKUP(-$A20,scaling_scaleList,scaling_multiplierList)</f>
        <v>35</v>
      </c>
    </row>
    <row r="21">
      <c r="A21" s="300">
        <v>-11.0</v>
      </c>
      <c r="B21" s="301">
        <f>LOOKUP($A21,scaling_scaleList,scaling_multiplierList)</f>
        <v>0.04</v>
      </c>
      <c r="C21" s="331">
        <f t="shared" si="1"/>
        <v>0.2</v>
      </c>
      <c r="D21" s="337">
        <f t="shared" si="2"/>
        <v>2.4</v>
      </c>
      <c r="E21" s="338" t="s">
        <v>56</v>
      </c>
      <c r="F21" s="305">
        <f t="shared" si="3"/>
        <v>0.06</v>
      </c>
      <c r="G21" s="339">
        <f t="shared" si="4"/>
        <v>6</v>
      </c>
      <c r="H21" s="340">
        <f t="shared" si="5"/>
        <v>60</v>
      </c>
      <c r="I21" s="308">
        <f t="shared" si="6"/>
        <v>4.8</v>
      </c>
      <c r="J21" s="309">
        <f t="shared" si="7"/>
        <v>2.4</v>
      </c>
      <c r="K21" s="341">
        <f t="shared" si="8"/>
        <v>4</v>
      </c>
      <c r="L21" s="342">
        <f t="shared" si="9"/>
        <v>2</v>
      </c>
      <c r="M21" s="312">
        <f>LOOKUP(-$A21,scaling_scaleList,scaling_multiplierList)</f>
        <v>25</v>
      </c>
    </row>
    <row r="22">
      <c r="A22" s="313">
        <v>-10.0</v>
      </c>
      <c r="B22" s="314">
        <f>LOOKUP($A22,scaling_scaleList,scaling_multiplierList)</f>
        <v>0.05</v>
      </c>
      <c r="C22" s="334">
        <f t="shared" si="1"/>
        <v>0.25</v>
      </c>
      <c r="D22" s="344">
        <f t="shared" si="2"/>
        <v>3</v>
      </c>
      <c r="E22" s="345" t="s">
        <v>56</v>
      </c>
      <c r="F22" s="318">
        <f t="shared" si="3"/>
        <v>0.075</v>
      </c>
      <c r="G22" s="319">
        <f t="shared" si="4"/>
        <v>7.5</v>
      </c>
      <c r="H22" s="343">
        <f t="shared" si="5"/>
        <v>75</v>
      </c>
      <c r="I22" s="330">
        <f t="shared" si="6"/>
        <v>6</v>
      </c>
      <c r="J22" s="346">
        <f t="shared" si="7"/>
        <v>3</v>
      </c>
      <c r="K22" s="330">
        <f t="shared" si="8"/>
        <v>5</v>
      </c>
      <c r="L22" s="324">
        <f t="shared" si="9"/>
        <v>2.5</v>
      </c>
      <c r="M22" s="325">
        <f>LOOKUP(-$A22,scaling_scaleList,scaling_multiplierList)</f>
        <v>20</v>
      </c>
    </row>
    <row r="23">
      <c r="A23" s="300">
        <v>-9.0</v>
      </c>
      <c r="B23" s="301">
        <f>LOOKUP($A23,scaling_scaleList,scaling_multiplierList)</f>
        <v>0.067</v>
      </c>
      <c r="C23" s="331">
        <f t="shared" si="1"/>
        <v>0.335</v>
      </c>
      <c r="D23" s="347">
        <f t="shared" si="2"/>
        <v>4.02</v>
      </c>
      <c r="E23" s="348" t="s">
        <v>56</v>
      </c>
      <c r="F23" s="305">
        <f t="shared" si="3"/>
        <v>0.1005</v>
      </c>
      <c r="G23" s="306">
        <f t="shared" si="4"/>
        <v>10.05</v>
      </c>
      <c r="H23" s="307">
        <f t="shared" si="5"/>
        <v>100.5</v>
      </c>
      <c r="I23" s="341">
        <f t="shared" si="6"/>
        <v>8.04</v>
      </c>
      <c r="J23" s="342">
        <f t="shared" si="7"/>
        <v>4.02</v>
      </c>
      <c r="K23" s="310">
        <f t="shared" si="8"/>
        <v>6.7</v>
      </c>
      <c r="L23" s="311">
        <f t="shared" si="9"/>
        <v>3.35</v>
      </c>
      <c r="M23" s="312">
        <f>LOOKUP(-$A23,scaling_scaleList,scaling_multiplierList)</f>
        <v>15</v>
      </c>
    </row>
    <row r="24">
      <c r="A24" s="313">
        <v>-8.0</v>
      </c>
      <c r="B24" s="314">
        <f>LOOKUP($A24,scaling_scaleList,scaling_multiplierList)</f>
        <v>0.09</v>
      </c>
      <c r="C24" s="334">
        <f t="shared" si="1"/>
        <v>0.45</v>
      </c>
      <c r="D24" s="335">
        <f t="shared" si="2"/>
        <v>5.4</v>
      </c>
      <c r="E24" s="336" t="s">
        <v>56</v>
      </c>
      <c r="F24" s="318">
        <f t="shared" si="3"/>
        <v>0.135</v>
      </c>
      <c r="G24" s="319">
        <f t="shared" si="4"/>
        <v>13.5</v>
      </c>
      <c r="H24" s="343">
        <f t="shared" si="5"/>
        <v>135</v>
      </c>
      <c r="I24" s="330">
        <f t="shared" si="6"/>
        <v>10.8</v>
      </c>
      <c r="J24" s="322">
        <f t="shared" si="7"/>
        <v>5.4</v>
      </c>
      <c r="K24" s="330">
        <f t="shared" si="8"/>
        <v>9</v>
      </c>
      <c r="L24" s="324">
        <f t="shared" si="9"/>
        <v>4.5</v>
      </c>
      <c r="M24" s="325">
        <f>LOOKUP(-$A24,scaling_scaleList,scaling_multiplierList)</f>
        <v>11</v>
      </c>
    </row>
    <row r="25">
      <c r="A25" s="300">
        <v>-7.0</v>
      </c>
      <c r="B25" s="301">
        <f>LOOKUP($A25,scaling_scaleList,scaling_multiplierList)</f>
        <v>0.125</v>
      </c>
      <c r="C25" s="331">
        <f t="shared" si="1"/>
        <v>0.625</v>
      </c>
      <c r="D25" s="337">
        <f t="shared" si="2"/>
        <v>7.5</v>
      </c>
      <c r="E25" s="338" t="s">
        <v>56</v>
      </c>
      <c r="F25" s="305">
        <f t="shared" si="3"/>
        <v>0.1875</v>
      </c>
      <c r="G25" s="306">
        <f t="shared" si="4"/>
        <v>18.75</v>
      </c>
      <c r="H25" s="340">
        <f t="shared" si="5"/>
        <v>187.5</v>
      </c>
      <c r="I25" s="341">
        <f t="shared" si="6"/>
        <v>15</v>
      </c>
      <c r="J25" s="309">
        <f t="shared" si="7"/>
        <v>7.5</v>
      </c>
      <c r="K25" s="341">
        <f t="shared" si="8"/>
        <v>12.5</v>
      </c>
      <c r="L25" s="311">
        <f t="shared" si="9"/>
        <v>6.25</v>
      </c>
      <c r="M25" s="312">
        <f>LOOKUP(-$A25,scaling_scaleList,scaling_multiplierList)</f>
        <v>8</v>
      </c>
    </row>
    <row r="26">
      <c r="A26" s="313">
        <v>-6.0</v>
      </c>
      <c r="B26" s="314">
        <f>LOOKUP($A26,scaling_scaleList,scaling_multiplierList)</f>
        <v>0.16</v>
      </c>
      <c r="C26" s="349">
        <f t="shared" si="1"/>
        <v>0.8</v>
      </c>
      <c r="D26" s="335">
        <f t="shared" si="2"/>
        <v>9.6</v>
      </c>
      <c r="E26" s="336" t="s">
        <v>56</v>
      </c>
      <c r="F26" s="318">
        <f t="shared" si="3"/>
        <v>0.24</v>
      </c>
      <c r="G26" s="350">
        <f t="shared" si="4"/>
        <v>24</v>
      </c>
      <c r="H26" s="343">
        <f t="shared" si="5"/>
        <v>240</v>
      </c>
      <c r="I26" s="330">
        <f t="shared" si="6"/>
        <v>19.2</v>
      </c>
      <c r="J26" s="346">
        <f t="shared" si="7"/>
        <v>9.6</v>
      </c>
      <c r="K26" s="330">
        <f t="shared" si="8"/>
        <v>16</v>
      </c>
      <c r="L26" s="346">
        <f t="shared" si="9"/>
        <v>8</v>
      </c>
      <c r="M26" s="325">
        <f>LOOKUP(-$A26,scaling_scaleList,scaling_multiplierList)</f>
        <v>6</v>
      </c>
    </row>
    <row r="27">
      <c r="A27" s="300">
        <v>-5.0</v>
      </c>
      <c r="B27" s="301">
        <f>LOOKUP($A27,scaling_scaleList,scaling_multiplierList)</f>
        <v>0.22</v>
      </c>
      <c r="C27" s="351">
        <f t="shared" si="1"/>
        <v>1.1</v>
      </c>
      <c r="D27" s="337">
        <f t="shared" si="2"/>
        <v>13.2</v>
      </c>
      <c r="E27" s="352" t="str">
        <f t="shared" ref="E27:E31" si="10">TRUNC(C27)&amp;"' "&amp;ROUND(MOD(D27,12), 1)&amp;""""</f>
        <v>1' 1.2"</v>
      </c>
      <c r="F27" s="305">
        <f t="shared" si="3"/>
        <v>0.33</v>
      </c>
      <c r="G27" s="339">
        <f t="shared" si="4"/>
        <v>33</v>
      </c>
      <c r="H27" s="340">
        <f t="shared" si="5"/>
        <v>330</v>
      </c>
      <c r="I27" s="341">
        <f t="shared" si="6"/>
        <v>26.4</v>
      </c>
      <c r="J27" s="342">
        <f t="shared" si="7"/>
        <v>13.2</v>
      </c>
      <c r="K27" s="341">
        <f t="shared" si="8"/>
        <v>22</v>
      </c>
      <c r="L27" s="342">
        <f t="shared" si="9"/>
        <v>11</v>
      </c>
      <c r="M27" s="353">
        <f>LOOKUP(-$A27,scaling_scaleList,scaling_multiplierList)</f>
        <v>4.5</v>
      </c>
    </row>
    <row r="28">
      <c r="A28" s="313">
        <v>-4.0</v>
      </c>
      <c r="B28" s="314">
        <f>LOOKUP($A28,scaling_scaleList,scaling_multiplierList)</f>
        <v>0.3</v>
      </c>
      <c r="C28" s="349">
        <f t="shared" si="1"/>
        <v>1.5</v>
      </c>
      <c r="D28" s="344">
        <f t="shared" si="2"/>
        <v>18</v>
      </c>
      <c r="E28" s="354" t="str">
        <f t="shared" si="10"/>
        <v>1' 6"</v>
      </c>
      <c r="F28" s="318">
        <f t="shared" si="3"/>
        <v>0.45</v>
      </c>
      <c r="G28" s="350">
        <f t="shared" si="4"/>
        <v>45</v>
      </c>
      <c r="H28" s="343">
        <f t="shared" si="5"/>
        <v>450</v>
      </c>
      <c r="I28" s="330">
        <f t="shared" si="6"/>
        <v>36</v>
      </c>
      <c r="J28" s="346">
        <f t="shared" si="7"/>
        <v>18</v>
      </c>
      <c r="K28" s="330">
        <f t="shared" si="8"/>
        <v>30</v>
      </c>
      <c r="L28" s="346">
        <f t="shared" si="9"/>
        <v>15</v>
      </c>
      <c r="M28" s="355">
        <f>LOOKUP(-$A28,scaling_scaleList,scaling_multiplierList)</f>
        <v>3.3</v>
      </c>
    </row>
    <row r="29">
      <c r="A29" s="300">
        <v>-3.0</v>
      </c>
      <c r="B29" s="301">
        <f>LOOKUP($A29,scaling_scaleList,scaling_multiplierList)</f>
        <v>0.4</v>
      </c>
      <c r="C29" s="356">
        <f t="shared" si="1"/>
        <v>2</v>
      </c>
      <c r="D29" s="347">
        <f t="shared" si="2"/>
        <v>24</v>
      </c>
      <c r="E29" s="352" t="str">
        <f t="shared" si="10"/>
        <v>2' 0"</v>
      </c>
      <c r="F29" s="305">
        <f t="shared" si="3"/>
        <v>0.6</v>
      </c>
      <c r="G29" s="339">
        <f t="shared" si="4"/>
        <v>60</v>
      </c>
      <c r="H29" s="340">
        <f t="shared" si="5"/>
        <v>600</v>
      </c>
      <c r="I29" s="341">
        <f t="shared" si="6"/>
        <v>48</v>
      </c>
      <c r="J29" s="342">
        <f t="shared" si="7"/>
        <v>24</v>
      </c>
      <c r="K29" s="341">
        <f t="shared" si="8"/>
        <v>40</v>
      </c>
      <c r="L29" s="342">
        <f t="shared" si="9"/>
        <v>20</v>
      </c>
      <c r="M29" s="353">
        <f>LOOKUP(-$A29,scaling_scaleList,scaling_multiplierList)</f>
        <v>2.5</v>
      </c>
    </row>
    <row r="30">
      <c r="A30" s="313">
        <v>-2.0</v>
      </c>
      <c r="B30" s="314">
        <f>LOOKUP($A30,scaling_scaleList,scaling_multiplierList)</f>
        <v>0.55</v>
      </c>
      <c r="C30" s="357">
        <f t="shared" si="1"/>
        <v>2.75</v>
      </c>
      <c r="D30" s="344">
        <f t="shared" si="2"/>
        <v>33</v>
      </c>
      <c r="E30" s="354" t="str">
        <f t="shared" si="10"/>
        <v>2' 9"</v>
      </c>
      <c r="F30" s="318">
        <f t="shared" si="3"/>
        <v>0.825</v>
      </c>
      <c r="G30" s="319">
        <f t="shared" si="4"/>
        <v>82.5</v>
      </c>
      <c r="H30" s="343">
        <f t="shared" si="5"/>
        <v>825</v>
      </c>
      <c r="I30" s="330">
        <f t="shared" si="6"/>
        <v>66</v>
      </c>
      <c r="J30" s="346">
        <f t="shared" si="7"/>
        <v>33</v>
      </c>
      <c r="K30" s="330">
        <f t="shared" si="8"/>
        <v>55</v>
      </c>
      <c r="L30" s="346">
        <f t="shared" si="9"/>
        <v>27.5</v>
      </c>
      <c r="M30" s="355">
        <f>LOOKUP(-$A30,scaling_scaleList,scaling_multiplierList)</f>
        <v>1.8</v>
      </c>
    </row>
    <row r="31">
      <c r="A31" s="300">
        <v>-1.0</v>
      </c>
      <c r="B31" s="301">
        <f>LOOKUP($A31,scaling_scaleList,scaling_multiplierList)</f>
        <v>0.75</v>
      </c>
      <c r="C31" s="358">
        <f t="shared" si="1"/>
        <v>3.75</v>
      </c>
      <c r="D31" s="347">
        <f t="shared" si="2"/>
        <v>45</v>
      </c>
      <c r="E31" s="352" t="str">
        <f t="shared" si="10"/>
        <v>3' 9"</v>
      </c>
      <c r="F31" s="305">
        <f t="shared" si="3"/>
        <v>1.125</v>
      </c>
      <c r="G31" s="306">
        <f t="shared" si="4"/>
        <v>112.5</v>
      </c>
      <c r="H31" s="340">
        <f t="shared" si="5"/>
        <v>1125</v>
      </c>
      <c r="I31" s="341">
        <f t="shared" si="6"/>
        <v>90</v>
      </c>
      <c r="J31" s="342">
        <f t="shared" si="7"/>
        <v>45</v>
      </c>
      <c r="K31" s="341">
        <f t="shared" si="8"/>
        <v>75</v>
      </c>
      <c r="L31" s="342">
        <f t="shared" si="9"/>
        <v>37.5</v>
      </c>
      <c r="M31" s="353">
        <f>LOOKUP(-$A31,scaling_scaleList,scaling_multiplierList)</f>
        <v>1.35</v>
      </c>
    </row>
    <row r="32">
      <c r="A32" s="359">
        <v>0.0</v>
      </c>
      <c r="B32" s="360">
        <f>LOOKUP($A32,scaling_scaleList,scaling_multiplierList)</f>
        <v>1</v>
      </c>
      <c r="C32" s="361">
        <v>5.0</v>
      </c>
      <c r="D32" s="362">
        <f>$C$32*12</f>
        <v>60</v>
      </c>
      <c r="E32" s="363">
        <f>$C$32</f>
        <v>5</v>
      </c>
      <c r="F32" s="364">
        <v>1.5</v>
      </c>
      <c r="G32" s="365">
        <f>$F32*100</f>
        <v>150</v>
      </c>
      <c r="H32" s="366">
        <f>$F32*1000</f>
        <v>1500</v>
      </c>
      <c r="I32" s="367">
        <v>120.0</v>
      </c>
      <c r="J32" s="368">
        <v>60.0</v>
      </c>
      <c r="K32" s="367">
        <v>100.0</v>
      </c>
      <c r="L32" s="368">
        <v>50.0</v>
      </c>
      <c r="M32" s="369">
        <v>1.0</v>
      </c>
    </row>
    <row r="33">
      <c r="A33" s="300">
        <v>1.0</v>
      </c>
      <c r="B33" s="301">
        <f>LOOKUP($A33,scaling_scaleList,scaling_multiplierList)</f>
        <v>1.35</v>
      </c>
      <c r="C33" s="358">
        <f t="shared" ref="C33:C57" si="11">$C$32*$B33</f>
        <v>6.75</v>
      </c>
      <c r="D33" s="347">
        <f t="shared" ref="D33:D37" si="12">$D$32*$B33</f>
        <v>81</v>
      </c>
      <c r="E33" s="352" t="str">
        <f t="shared" ref="E33:E37" si="13">TRUNC($C33)&amp;"' "&amp;ROUND(MOD($D33,12), 4)&amp;""""</f>
        <v>6' 9"</v>
      </c>
      <c r="F33" s="305">
        <f t="shared" ref="F33:F57" si="14">$F$32*$B33</f>
        <v>2.025</v>
      </c>
      <c r="G33" s="306">
        <f t="shared" ref="G33:G39" si="15">$G$32*$B33</f>
        <v>202.5</v>
      </c>
      <c r="H33" s="370" t="s">
        <v>56</v>
      </c>
      <c r="I33" s="341">
        <f t="shared" ref="I33:I57" si="16">$I$32*$B33</f>
        <v>162</v>
      </c>
      <c r="J33" s="342">
        <f t="shared" ref="J33:J57" si="17">$J$32*$B33</f>
        <v>81</v>
      </c>
      <c r="K33" s="341">
        <f t="shared" ref="K33:K57" si="18">$K$32*$B33</f>
        <v>135</v>
      </c>
      <c r="L33" s="342">
        <f t="shared" ref="L33:L57" si="19">$L$32*$B33</f>
        <v>67.5</v>
      </c>
      <c r="M33" s="353">
        <f>LOOKUP(-$A33,scaling_scaleList,scaling_multiplierList)</f>
        <v>0.75</v>
      </c>
    </row>
    <row r="34">
      <c r="A34" s="313">
        <v>2.0</v>
      </c>
      <c r="B34" s="314">
        <f>LOOKUP($A34,scaling_scaleList,scaling_multiplierList)</f>
        <v>1.8</v>
      </c>
      <c r="C34" s="371">
        <f t="shared" si="11"/>
        <v>9</v>
      </c>
      <c r="D34" s="344">
        <f t="shared" si="12"/>
        <v>108</v>
      </c>
      <c r="E34" s="354" t="str">
        <f t="shared" si="13"/>
        <v>9' 0"</v>
      </c>
      <c r="F34" s="318">
        <f t="shared" si="14"/>
        <v>2.7</v>
      </c>
      <c r="G34" s="372">
        <f t="shared" si="15"/>
        <v>270</v>
      </c>
      <c r="H34" s="373" t="s">
        <v>56</v>
      </c>
      <c r="I34" s="330">
        <f t="shared" si="16"/>
        <v>216</v>
      </c>
      <c r="J34" s="346">
        <f t="shared" si="17"/>
        <v>108</v>
      </c>
      <c r="K34" s="330">
        <f t="shared" si="18"/>
        <v>180</v>
      </c>
      <c r="L34" s="346">
        <f t="shared" si="19"/>
        <v>90</v>
      </c>
      <c r="M34" s="355">
        <f>LOOKUP(-$A34,scaling_scaleList,scaling_multiplierList)</f>
        <v>0.55</v>
      </c>
    </row>
    <row r="35">
      <c r="A35" s="300">
        <v>3.0</v>
      </c>
      <c r="B35" s="301">
        <f>LOOKUP($A35,scaling_scaleList,scaling_multiplierList)</f>
        <v>2.5</v>
      </c>
      <c r="C35" s="351">
        <f t="shared" si="11"/>
        <v>12.5</v>
      </c>
      <c r="D35" s="347">
        <f t="shared" si="12"/>
        <v>150</v>
      </c>
      <c r="E35" s="352" t="str">
        <f t="shared" si="13"/>
        <v>12' 6"</v>
      </c>
      <c r="F35" s="305">
        <f t="shared" si="14"/>
        <v>3.75</v>
      </c>
      <c r="G35" s="374">
        <f t="shared" si="15"/>
        <v>375</v>
      </c>
      <c r="H35" s="370" t="s">
        <v>56</v>
      </c>
      <c r="I35" s="341">
        <f t="shared" si="16"/>
        <v>300</v>
      </c>
      <c r="J35" s="342">
        <f t="shared" si="17"/>
        <v>150</v>
      </c>
      <c r="K35" s="341">
        <f t="shared" si="18"/>
        <v>250</v>
      </c>
      <c r="L35" s="342">
        <f t="shared" si="19"/>
        <v>125</v>
      </c>
      <c r="M35" s="353">
        <f>LOOKUP(-$A35,scaling_scaleList,scaling_multiplierList)</f>
        <v>0.4</v>
      </c>
    </row>
    <row r="36">
      <c r="A36" s="313">
        <v>4.0</v>
      </c>
      <c r="B36" s="314">
        <f>LOOKUP($A36,scaling_scaleList,scaling_multiplierList)</f>
        <v>3.3</v>
      </c>
      <c r="C36" s="349">
        <f t="shared" si="11"/>
        <v>16.5</v>
      </c>
      <c r="D36" s="344">
        <f t="shared" si="12"/>
        <v>198</v>
      </c>
      <c r="E36" s="354" t="str">
        <f t="shared" si="13"/>
        <v>16' 6"</v>
      </c>
      <c r="F36" s="318">
        <f t="shared" si="14"/>
        <v>4.95</v>
      </c>
      <c r="G36" s="372">
        <f t="shared" si="15"/>
        <v>495</v>
      </c>
      <c r="H36" s="373" t="s">
        <v>56</v>
      </c>
      <c r="I36" s="330">
        <f t="shared" si="16"/>
        <v>396</v>
      </c>
      <c r="J36" s="346">
        <f t="shared" si="17"/>
        <v>198</v>
      </c>
      <c r="K36" s="330">
        <f t="shared" si="18"/>
        <v>330</v>
      </c>
      <c r="L36" s="346">
        <f t="shared" si="19"/>
        <v>165</v>
      </c>
      <c r="M36" s="355">
        <f>LOOKUP(-$A36,scaling_scaleList,scaling_multiplierList)</f>
        <v>0.3</v>
      </c>
    </row>
    <row r="37">
      <c r="A37" s="300">
        <v>5.0</v>
      </c>
      <c r="B37" s="301">
        <f>LOOKUP($A37,scaling_scaleList,scaling_multiplierList)</f>
        <v>4.5</v>
      </c>
      <c r="C37" s="351">
        <f t="shared" si="11"/>
        <v>22.5</v>
      </c>
      <c r="D37" s="347">
        <f t="shared" si="12"/>
        <v>270</v>
      </c>
      <c r="E37" s="352" t="str">
        <f t="shared" si="13"/>
        <v>22' 6"</v>
      </c>
      <c r="F37" s="305">
        <f t="shared" si="14"/>
        <v>6.75</v>
      </c>
      <c r="G37" s="374">
        <f t="shared" si="15"/>
        <v>675</v>
      </c>
      <c r="H37" s="370" t="s">
        <v>56</v>
      </c>
      <c r="I37" s="341">
        <f t="shared" si="16"/>
        <v>540</v>
      </c>
      <c r="J37" s="342">
        <f t="shared" si="17"/>
        <v>270</v>
      </c>
      <c r="K37" s="341">
        <f t="shared" si="18"/>
        <v>450</v>
      </c>
      <c r="L37" s="342">
        <f t="shared" si="19"/>
        <v>225</v>
      </c>
      <c r="M37" s="353">
        <f>LOOKUP(-$A37,scaling_scaleList,scaling_multiplierList)</f>
        <v>0.22</v>
      </c>
    </row>
    <row r="38">
      <c r="A38" s="313">
        <v>6.0</v>
      </c>
      <c r="B38" s="375">
        <f>LOOKUP($A38,scaling_scaleList,scaling_multiplierList)</f>
        <v>6</v>
      </c>
      <c r="C38" s="371">
        <f t="shared" si="11"/>
        <v>30</v>
      </c>
      <c r="D38" s="376" t="s">
        <v>56</v>
      </c>
      <c r="E38" s="377" t="s">
        <v>56</v>
      </c>
      <c r="F38" s="378">
        <f t="shared" si="14"/>
        <v>9</v>
      </c>
      <c r="G38" s="372">
        <f t="shared" si="15"/>
        <v>900</v>
      </c>
      <c r="H38" s="373" t="s">
        <v>56</v>
      </c>
      <c r="I38" s="330">
        <f t="shared" si="16"/>
        <v>720</v>
      </c>
      <c r="J38" s="346">
        <f t="shared" si="17"/>
        <v>360</v>
      </c>
      <c r="K38" s="330">
        <f t="shared" si="18"/>
        <v>600</v>
      </c>
      <c r="L38" s="346">
        <f t="shared" si="19"/>
        <v>300</v>
      </c>
      <c r="M38" s="355">
        <f>LOOKUP(-$A38,scaling_scaleList,scaling_multiplierList)</f>
        <v>0.16</v>
      </c>
    </row>
    <row r="39">
      <c r="A39" s="300">
        <v>7.0</v>
      </c>
      <c r="B39" s="379">
        <f>LOOKUP($A39,scaling_scaleList,scaling_multiplierList)</f>
        <v>8</v>
      </c>
      <c r="C39" s="356">
        <f t="shared" si="11"/>
        <v>40</v>
      </c>
      <c r="D39" s="380" t="s">
        <v>56</v>
      </c>
      <c r="E39" s="381" t="s">
        <v>56</v>
      </c>
      <c r="F39" s="382">
        <f t="shared" si="14"/>
        <v>12</v>
      </c>
      <c r="G39" s="374">
        <f t="shared" si="15"/>
        <v>1200</v>
      </c>
      <c r="H39" s="370" t="s">
        <v>56</v>
      </c>
      <c r="I39" s="341">
        <f t="shared" si="16"/>
        <v>960</v>
      </c>
      <c r="J39" s="342">
        <f t="shared" si="17"/>
        <v>480</v>
      </c>
      <c r="K39" s="341">
        <f t="shared" si="18"/>
        <v>800</v>
      </c>
      <c r="L39" s="342">
        <f t="shared" si="19"/>
        <v>400</v>
      </c>
      <c r="M39" s="353">
        <f>LOOKUP(-$A39,scaling_scaleList,scaling_multiplierList)</f>
        <v>0.125</v>
      </c>
    </row>
    <row r="40">
      <c r="A40" s="313">
        <v>8.0</v>
      </c>
      <c r="B40" s="375">
        <f>LOOKUP($A40,scaling_scaleList,scaling_multiplierList)</f>
        <v>11</v>
      </c>
      <c r="C40" s="371">
        <f t="shared" si="11"/>
        <v>55</v>
      </c>
      <c r="D40" s="376" t="s">
        <v>56</v>
      </c>
      <c r="E40" s="377" t="s">
        <v>56</v>
      </c>
      <c r="F40" s="383">
        <f t="shared" si="14"/>
        <v>16.5</v>
      </c>
      <c r="G40" s="384" t="s">
        <v>56</v>
      </c>
      <c r="H40" s="373" t="s">
        <v>56</v>
      </c>
      <c r="I40" s="330">
        <f t="shared" si="16"/>
        <v>1320</v>
      </c>
      <c r="J40" s="346">
        <f t="shared" si="17"/>
        <v>660</v>
      </c>
      <c r="K40" s="330">
        <f t="shared" si="18"/>
        <v>1100</v>
      </c>
      <c r="L40" s="346">
        <f t="shared" si="19"/>
        <v>550</v>
      </c>
      <c r="M40" s="355">
        <f>LOOKUP(-$A40,scaling_scaleList,scaling_multiplierList)</f>
        <v>0.09</v>
      </c>
    </row>
    <row r="41">
      <c r="A41" s="300">
        <v>9.0</v>
      </c>
      <c r="B41" s="379">
        <f>LOOKUP($A41,scaling_scaleList,scaling_multiplierList)</f>
        <v>15</v>
      </c>
      <c r="C41" s="356">
        <f t="shared" si="11"/>
        <v>75</v>
      </c>
      <c r="D41" s="380" t="s">
        <v>56</v>
      </c>
      <c r="E41" s="381" t="s">
        <v>56</v>
      </c>
      <c r="F41" s="385">
        <f t="shared" si="14"/>
        <v>22.5</v>
      </c>
      <c r="G41" s="386" t="s">
        <v>56</v>
      </c>
      <c r="H41" s="370" t="s">
        <v>56</v>
      </c>
      <c r="I41" s="341">
        <f t="shared" si="16"/>
        <v>1800</v>
      </c>
      <c r="J41" s="342">
        <f t="shared" si="17"/>
        <v>900</v>
      </c>
      <c r="K41" s="341">
        <f t="shared" si="18"/>
        <v>1500</v>
      </c>
      <c r="L41" s="342">
        <f t="shared" si="19"/>
        <v>750</v>
      </c>
      <c r="M41" s="353">
        <f>LOOKUP(-$A41,scaling_scaleList,scaling_multiplierList)</f>
        <v>0.067</v>
      </c>
    </row>
    <row r="42">
      <c r="A42" s="313">
        <v>10.0</v>
      </c>
      <c r="B42" s="375">
        <f>LOOKUP($A42,scaling_scaleList,scaling_multiplierList)</f>
        <v>20</v>
      </c>
      <c r="C42" s="371">
        <f t="shared" si="11"/>
        <v>100</v>
      </c>
      <c r="D42" s="376" t="s">
        <v>56</v>
      </c>
      <c r="E42" s="377" t="s">
        <v>56</v>
      </c>
      <c r="F42" s="378">
        <f t="shared" si="14"/>
        <v>30</v>
      </c>
      <c r="G42" s="384" t="s">
        <v>56</v>
      </c>
      <c r="H42" s="373" t="s">
        <v>56</v>
      </c>
      <c r="I42" s="330">
        <f t="shared" si="16"/>
        <v>2400</v>
      </c>
      <c r="J42" s="346">
        <f t="shared" si="17"/>
        <v>1200</v>
      </c>
      <c r="K42" s="330">
        <f t="shared" si="18"/>
        <v>2000</v>
      </c>
      <c r="L42" s="346">
        <f t="shared" si="19"/>
        <v>1000</v>
      </c>
      <c r="M42" s="355">
        <f>LOOKUP(-$A42,scaling_scaleList,scaling_multiplierList)</f>
        <v>0.05</v>
      </c>
    </row>
    <row r="43">
      <c r="A43" s="300">
        <v>11.0</v>
      </c>
      <c r="B43" s="379">
        <f>LOOKUP($A43,scaling_scaleList,scaling_multiplierList)</f>
        <v>25</v>
      </c>
      <c r="C43" s="356">
        <f t="shared" si="11"/>
        <v>125</v>
      </c>
      <c r="D43" s="380" t="s">
        <v>56</v>
      </c>
      <c r="E43" s="381" t="s">
        <v>56</v>
      </c>
      <c r="F43" s="385">
        <f t="shared" si="14"/>
        <v>37.5</v>
      </c>
      <c r="G43" s="386" t="s">
        <v>56</v>
      </c>
      <c r="H43" s="370" t="s">
        <v>56</v>
      </c>
      <c r="I43" s="341">
        <f t="shared" si="16"/>
        <v>3000</v>
      </c>
      <c r="J43" s="342">
        <f t="shared" si="17"/>
        <v>1500</v>
      </c>
      <c r="K43" s="341">
        <f t="shared" si="18"/>
        <v>2500</v>
      </c>
      <c r="L43" s="342">
        <f t="shared" si="19"/>
        <v>1250</v>
      </c>
      <c r="M43" s="353">
        <f>LOOKUP(-$A43,scaling_scaleList,scaling_multiplierList)</f>
        <v>0.04</v>
      </c>
    </row>
    <row r="44">
      <c r="A44" s="313">
        <v>12.0</v>
      </c>
      <c r="B44" s="375">
        <f>LOOKUP($A44,scaling_scaleList,scaling_multiplierList)</f>
        <v>35</v>
      </c>
      <c r="C44" s="371">
        <f t="shared" si="11"/>
        <v>175</v>
      </c>
      <c r="D44" s="376" t="s">
        <v>56</v>
      </c>
      <c r="E44" s="377" t="s">
        <v>56</v>
      </c>
      <c r="F44" s="383">
        <f t="shared" si="14"/>
        <v>52.5</v>
      </c>
      <c r="G44" s="384" t="s">
        <v>56</v>
      </c>
      <c r="H44" s="373" t="s">
        <v>56</v>
      </c>
      <c r="I44" s="330">
        <f t="shared" si="16"/>
        <v>4200</v>
      </c>
      <c r="J44" s="346">
        <f t="shared" si="17"/>
        <v>2100</v>
      </c>
      <c r="K44" s="330">
        <f t="shared" si="18"/>
        <v>3500</v>
      </c>
      <c r="L44" s="346">
        <f t="shared" si="19"/>
        <v>1750</v>
      </c>
      <c r="M44" s="355">
        <f>LOOKUP(-$A44,scaling_scaleList,scaling_multiplierList)</f>
        <v>0.03</v>
      </c>
    </row>
    <row r="45">
      <c r="A45" s="300">
        <v>13.0</v>
      </c>
      <c r="B45" s="379">
        <f>LOOKUP($A45,scaling_scaleList,scaling_multiplierList)</f>
        <v>50</v>
      </c>
      <c r="C45" s="356">
        <f t="shared" si="11"/>
        <v>250</v>
      </c>
      <c r="D45" s="380" t="s">
        <v>56</v>
      </c>
      <c r="E45" s="381" t="s">
        <v>56</v>
      </c>
      <c r="F45" s="382">
        <f t="shared" si="14"/>
        <v>75</v>
      </c>
      <c r="G45" s="386" t="s">
        <v>56</v>
      </c>
      <c r="H45" s="370" t="s">
        <v>56</v>
      </c>
      <c r="I45" s="341">
        <f t="shared" si="16"/>
        <v>6000</v>
      </c>
      <c r="J45" s="342">
        <f t="shared" si="17"/>
        <v>3000</v>
      </c>
      <c r="K45" s="341">
        <f t="shared" si="18"/>
        <v>5000</v>
      </c>
      <c r="L45" s="342">
        <f t="shared" si="19"/>
        <v>2500</v>
      </c>
      <c r="M45" s="353">
        <f>LOOKUP(-$A45,scaling_scaleList,scaling_multiplierList)</f>
        <v>0.02</v>
      </c>
    </row>
    <row r="46">
      <c r="A46" s="313">
        <v>14.0</v>
      </c>
      <c r="B46" s="375">
        <f>LOOKUP($A46,scaling_scaleList,scaling_multiplierList)</f>
        <v>65</v>
      </c>
      <c r="C46" s="371">
        <f t="shared" si="11"/>
        <v>325</v>
      </c>
      <c r="D46" s="376" t="s">
        <v>56</v>
      </c>
      <c r="E46" s="377" t="s">
        <v>56</v>
      </c>
      <c r="F46" s="383">
        <f t="shared" si="14"/>
        <v>97.5</v>
      </c>
      <c r="G46" s="384" t="s">
        <v>56</v>
      </c>
      <c r="H46" s="373" t="s">
        <v>56</v>
      </c>
      <c r="I46" s="330">
        <f t="shared" si="16"/>
        <v>7800</v>
      </c>
      <c r="J46" s="346">
        <f t="shared" si="17"/>
        <v>3900</v>
      </c>
      <c r="K46" s="330">
        <f t="shared" si="18"/>
        <v>6500</v>
      </c>
      <c r="L46" s="346">
        <f t="shared" si="19"/>
        <v>3250</v>
      </c>
      <c r="M46" s="355">
        <f>LOOKUP(-$A46,scaling_scaleList,scaling_multiplierList)</f>
        <v>0.015</v>
      </c>
    </row>
    <row r="47">
      <c r="A47" s="300">
        <v>15.0</v>
      </c>
      <c r="B47" s="379">
        <f>LOOKUP($A47,scaling_scaleList,scaling_multiplierList)</f>
        <v>90</v>
      </c>
      <c r="C47" s="356">
        <f t="shared" si="11"/>
        <v>450</v>
      </c>
      <c r="D47" s="380" t="s">
        <v>56</v>
      </c>
      <c r="E47" s="381" t="s">
        <v>56</v>
      </c>
      <c r="F47" s="382">
        <f t="shared" si="14"/>
        <v>135</v>
      </c>
      <c r="G47" s="386" t="s">
        <v>56</v>
      </c>
      <c r="H47" s="370" t="s">
        <v>56</v>
      </c>
      <c r="I47" s="341">
        <f t="shared" si="16"/>
        <v>10800</v>
      </c>
      <c r="J47" s="342">
        <f t="shared" si="17"/>
        <v>5400</v>
      </c>
      <c r="K47" s="341">
        <f t="shared" si="18"/>
        <v>9000</v>
      </c>
      <c r="L47" s="342">
        <f t="shared" si="19"/>
        <v>4500</v>
      </c>
      <c r="M47" s="353">
        <f>LOOKUP(-$A47,scaling_scaleList,scaling_multiplierList)</f>
        <v>0.011</v>
      </c>
    </row>
    <row r="48">
      <c r="A48" s="313">
        <v>16.0</v>
      </c>
      <c r="B48" s="375">
        <f>LOOKUP($A48,scaling_scaleList,scaling_multiplierList)</f>
        <v>120</v>
      </c>
      <c r="C48" s="371">
        <f t="shared" si="11"/>
        <v>600</v>
      </c>
      <c r="D48" s="376" t="s">
        <v>56</v>
      </c>
      <c r="E48" s="377" t="s">
        <v>56</v>
      </c>
      <c r="F48" s="378">
        <f t="shared" si="14"/>
        <v>180</v>
      </c>
      <c r="G48" s="384" t="s">
        <v>56</v>
      </c>
      <c r="H48" s="373" t="s">
        <v>56</v>
      </c>
      <c r="I48" s="330">
        <f t="shared" si="16"/>
        <v>14400</v>
      </c>
      <c r="J48" s="346">
        <f t="shared" si="17"/>
        <v>7200</v>
      </c>
      <c r="K48" s="330">
        <f t="shared" si="18"/>
        <v>12000</v>
      </c>
      <c r="L48" s="346">
        <f t="shared" si="19"/>
        <v>6000</v>
      </c>
      <c r="M48" s="355">
        <f>LOOKUP(-$A48,scaling_scaleList,scaling_multiplierList)</f>
        <v>0.0085</v>
      </c>
    </row>
    <row r="49">
      <c r="A49" s="300">
        <v>17.0</v>
      </c>
      <c r="B49" s="379">
        <f>LOOKUP($A49,scaling_scaleList,scaling_multiplierList)</f>
        <v>160</v>
      </c>
      <c r="C49" s="356">
        <f t="shared" si="11"/>
        <v>800</v>
      </c>
      <c r="D49" s="380" t="s">
        <v>56</v>
      </c>
      <c r="E49" s="381" t="s">
        <v>56</v>
      </c>
      <c r="F49" s="382">
        <f t="shared" si="14"/>
        <v>240</v>
      </c>
      <c r="G49" s="386" t="s">
        <v>56</v>
      </c>
      <c r="H49" s="370" t="s">
        <v>56</v>
      </c>
      <c r="I49" s="341">
        <f t="shared" si="16"/>
        <v>19200</v>
      </c>
      <c r="J49" s="342">
        <f t="shared" si="17"/>
        <v>9600</v>
      </c>
      <c r="K49" s="341">
        <f t="shared" si="18"/>
        <v>16000</v>
      </c>
      <c r="L49" s="342">
        <f t="shared" si="19"/>
        <v>8000</v>
      </c>
      <c r="M49" s="353">
        <f>LOOKUP(-$A49,scaling_scaleList,scaling_multiplierList)</f>
        <v>0.0063</v>
      </c>
    </row>
    <row r="50">
      <c r="A50" s="313">
        <v>18.0</v>
      </c>
      <c r="B50" s="375">
        <f>LOOKUP($A50,scaling_scaleList,scaling_multiplierList)</f>
        <v>220</v>
      </c>
      <c r="C50" s="371">
        <f t="shared" si="11"/>
        <v>1100</v>
      </c>
      <c r="D50" s="376" t="s">
        <v>56</v>
      </c>
      <c r="E50" s="377" t="s">
        <v>56</v>
      </c>
      <c r="F50" s="378">
        <f t="shared" si="14"/>
        <v>330</v>
      </c>
      <c r="G50" s="384" t="s">
        <v>56</v>
      </c>
      <c r="H50" s="373" t="s">
        <v>56</v>
      </c>
      <c r="I50" s="330">
        <f t="shared" si="16"/>
        <v>26400</v>
      </c>
      <c r="J50" s="346">
        <f t="shared" si="17"/>
        <v>13200</v>
      </c>
      <c r="K50" s="330">
        <f t="shared" si="18"/>
        <v>22000</v>
      </c>
      <c r="L50" s="346">
        <f t="shared" si="19"/>
        <v>11000</v>
      </c>
      <c r="M50" s="355">
        <f>LOOKUP(-$A50,scaling_scaleList,scaling_multiplierList)</f>
        <v>0.0045</v>
      </c>
    </row>
    <row r="51">
      <c r="A51" s="300">
        <v>19.0</v>
      </c>
      <c r="B51" s="379">
        <f>LOOKUP($A51,scaling_scaleList,scaling_multiplierList)</f>
        <v>300</v>
      </c>
      <c r="C51" s="356">
        <f t="shared" si="11"/>
        <v>1500</v>
      </c>
      <c r="D51" s="380" t="s">
        <v>56</v>
      </c>
      <c r="E51" s="381" t="s">
        <v>56</v>
      </c>
      <c r="F51" s="382">
        <f t="shared" si="14"/>
        <v>450</v>
      </c>
      <c r="G51" s="386" t="s">
        <v>56</v>
      </c>
      <c r="H51" s="370" t="s">
        <v>56</v>
      </c>
      <c r="I51" s="341">
        <f t="shared" si="16"/>
        <v>36000</v>
      </c>
      <c r="J51" s="342">
        <f t="shared" si="17"/>
        <v>18000</v>
      </c>
      <c r="K51" s="341">
        <f t="shared" si="18"/>
        <v>30000</v>
      </c>
      <c r="L51" s="342">
        <f t="shared" si="19"/>
        <v>15000</v>
      </c>
      <c r="M51" s="353">
        <f>LOOKUP(-$A51,scaling_scaleList,scaling_multiplierList)</f>
        <v>0.0033</v>
      </c>
    </row>
    <row r="52">
      <c r="A52" s="313">
        <v>20.0</v>
      </c>
      <c r="B52" s="375">
        <f>LOOKUP($A52,scaling_scaleList,scaling_multiplierList)</f>
        <v>400</v>
      </c>
      <c r="C52" s="371">
        <f t="shared" si="11"/>
        <v>2000</v>
      </c>
      <c r="D52" s="376" t="s">
        <v>56</v>
      </c>
      <c r="E52" s="377" t="s">
        <v>56</v>
      </c>
      <c r="F52" s="378">
        <f t="shared" si="14"/>
        <v>600</v>
      </c>
      <c r="G52" s="384" t="s">
        <v>56</v>
      </c>
      <c r="H52" s="373" t="s">
        <v>56</v>
      </c>
      <c r="I52" s="330">
        <f t="shared" si="16"/>
        <v>48000</v>
      </c>
      <c r="J52" s="346">
        <f t="shared" si="17"/>
        <v>24000</v>
      </c>
      <c r="K52" s="330">
        <f t="shared" si="18"/>
        <v>40000</v>
      </c>
      <c r="L52" s="346">
        <f t="shared" si="19"/>
        <v>20000</v>
      </c>
      <c r="M52" s="355">
        <f>LOOKUP(-$A52,scaling_scaleList,scaling_multiplierList)</f>
        <v>0.0025</v>
      </c>
    </row>
    <row r="53">
      <c r="A53" s="300">
        <v>21.0</v>
      </c>
      <c r="B53" s="379">
        <f>LOOKUP($A53,scaling_scaleList,scaling_multiplierList)</f>
        <v>550</v>
      </c>
      <c r="C53" s="356">
        <f t="shared" si="11"/>
        <v>2750</v>
      </c>
      <c r="D53" s="380" t="s">
        <v>56</v>
      </c>
      <c r="E53" s="381" t="s">
        <v>56</v>
      </c>
      <c r="F53" s="382">
        <f t="shared" si="14"/>
        <v>825</v>
      </c>
      <c r="G53" s="386" t="s">
        <v>56</v>
      </c>
      <c r="H53" s="370" t="s">
        <v>56</v>
      </c>
      <c r="I53" s="341">
        <f t="shared" si="16"/>
        <v>66000</v>
      </c>
      <c r="J53" s="342">
        <f t="shared" si="17"/>
        <v>33000</v>
      </c>
      <c r="K53" s="341">
        <f t="shared" si="18"/>
        <v>55000</v>
      </c>
      <c r="L53" s="342">
        <f t="shared" si="19"/>
        <v>27500</v>
      </c>
      <c r="M53" s="353">
        <f>LOOKUP(-$A53,scaling_scaleList,scaling_multiplierList)</f>
        <v>0.0018</v>
      </c>
    </row>
    <row r="54">
      <c r="A54" s="313">
        <v>22.0</v>
      </c>
      <c r="B54" s="375">
        <f>LOOKUP($A54,scaling_scaleList,scaling_multiplierList)</f>
        <v>750</v>
      </c>
      <c r="C54" s="371">
        <f t="shared" si="11"/>
        <v>3750</v>
      </c>
      <c r="D54" s="376" t="s">
        <v>56</v>
      </c>
      <c r="E54" s="377" t="s">
        <v>56</v>
      </c>
      <c r="F54" s="378">
        <f t="shared" si="14"/>
        <v>1125</v>
      </c>
      <c r="G54" s="384" t="s">
        <v>56</v>
      </c>
      <c r="H54" s="373" t="s">
        <v>56</v>
      </c>
      <c r="I54" s="330">
        <f t="shared" si="16"/>
        <v>90000</v>
      </c>
      <c r="J54" s="346">
        <f t="shared" si="17"/>
        <v>45000</v>
      </c>
      <c r="K54" s="330">
        <f t="shared" si="18"/>
        <v>75000</v>
      </c>
      <c r="L54" s="346">
        <f t="shared" si="19"/>
        <v>37500</v>
      </c>
      <c r="M54" s="355">
        <f>LOOKUP(-$A54,scaling_scaleList,scaling_multiplierList)</f>
        <v>0.0013</v>
      </c>
    </row>
    <row r="55">
      <c r="A55" s="300">
        <v>23.0</v>
      </c>
      <c r="B55" s="379">
        <f>LOOKUP($A55,scaling_scaleList,scaling_multiplierList)</f>
        <v>1000</v>
      </c>
      <c r="C55" s="356">
        <f t="shared" si="11"/>
        <v>5000</v>
      </c>
      <c r="D55" s="380" t="s">
        <v>56</v>
      </c>
      <c r="E55" s="381" t="s">
        <v>56</v>
      </c>
      <c r="F55" s="382">
        <f t="shared" si="14"/>
        <v>1500</v>
      </c>
      <c r="G55" s="386" t="s">
        <v>56</v>
      </c>
      <c r="H55" s="370" t="s">
        <v>56</v>
      </c>
      <c r="I55" s="341">
        <f t="shared" si="16"/>
        <v>120000</v>
      </c>
      <c r="J55" s="342">
        <f t="shared" si="17"/>
        <v>60000</v>
      </c>
      <c r="K55" s="341">
        <f t="shared" si="18"/>
        <v>100000</v>
      </c>
      <c r="L55" s="342">
        <f t="shared" si="19"/>
        <v>50000</v>
      </c>
      <c r="M55" s="353">
        <f>LOOKUP(-$A55,scaling_scaleList,scaling_multiplierList)</f>
        <v>0.001</v>
      </c>
    </row>
    <row r="56">
      <c r="A56" s="313">
        <v>24.0</v>
      </c>
      <c r="B56" s="375">
        <f>LOOKUP($A56,scaling_scaleList,scaling_multiplierList)</f>
        <v>1350</v>
      </c>
      <c r="C56" s="371">
        <f t="shared" si="11"/>
        <v>6750</v>
      </c>
      <c r="D56" s="376" t="s">
        <v>56</v>
      </c>
      <c r="E56" s="377" t="s">
        <v>56</v>
      </c>
      <c r="F56" s="378">
        <f t="shared" si="14"/>
        <v>2025</v>
      </c>
      <c r="G56" s="384" t="s">
        <v>56</v>
      </c>
      <c r="H56" s="373" t="s">
        <v>56</v>
      </c>
      <c r="I56" s="330">
        <f t="shared" si="16"/>
        <v>162000</v>
      </c>
      <c r="J56" s="346">
        <f t="shared" si="17"/>
        <v>81000</v>
      </c>
      <c r="K56" s="330">
        <f t="shared" si="18"/>
        <v>135000</v>
      </c>
      <c r="L56" s="346">
        <f t="shared" si="19"/>
        <v>67500</v>
      </c>
      <c r="M56" s="355">
        <f>LOOKUP(-$A56,scaling_scaleList,scaling_multiplierList)</f>
        <v>0.00075</v>
      </c>
    </row>
    <row r="57">
      <c r="A57" s="300">
        <v>25.0</v>
      </c>
      <c r="B57" s="379">
        <f>LOOKUP($A57,scaling_scaleList,scaling_multiplierList)</f>
        <v>1800</v>
      </c>
      <c r="C57" s="356">
        <f t="shared" si="11"/>
        <v>9000</v>
      </c>
      <c r="D57" s="380" t="s">
        <v>56</v>
      </c>
      <c r="E57" s="381" t="s">
        <v>56</v>
      </c>
      <c r="F57" s="382">
        <f t="shared" si="14"/>
        <v>2700</v>
      </c>
      <c r="G57" s="386" t="s">
        <v>56</v>
      </c>
      <c r="H57" s="370" t="s">
        <v>56</v>
      </c>
      <c r="I57" s="341">
        <f t="shared" si="16"/>
        <v>216000</v>
      </c>
      <c r="J57" s="342">
        <f t="shared" si="17"/>
        <v>108000</v>
      </c>
      <c r="K57" s="341">
        <f t="shared" si="18"/>
        <v>180000</v>
      </c>
      <c r="L57" s="342">
        <f t="shared" si="19"/>
        <v>90000</v>
      </c>
      <c r="M57" s="353">
        <f>LOOKUP(-$A57,scaling_scaleList,scaling_multiplierList)</f>
        <v>0.00055</v>
      </c>
    </row>
    <row r="58" ht="30.0" customHeight="1">
      <c r="A58" s="387" t="str">
        <f>systemData_copyrightMessage</f>
        <v>Fractal RPG v0.5.0.0 (Squishy Meatloaf | Pantsless Robot) 2019 - 202X SparkliTwizzl
Licensed under CC BY-NC-SA 4.0</v>
      </c>
      <c r="B58" s="388"/>
      <c r="C58" s="388"/>
      <c r="D58" s="388"/>
      <c r="E58" s="388"/>
      <c r="F58" s="388"/>
      <c r="G58" s="388"/>
      <c r="H58" s="388"/>
      <c r="I58" s="388"/>
      <c r="J58" s="388"/>
      <c r="K58" s="388"/>
      <c r="L58" s="388"/>
      <c r="M58" s="389"/>
    </row>
  </sheetData>
  <mergeCells count="7">
    <mergeCell ref="A1:B2"/>
    <mergeCell ref="C1:L1"/>
    <mergeCell ref="C2:L2"/>
    <mergeCell ref="C5:H5"/>
    <mergeCell ref="I5:J5"/>
    <mergeCell ref="K5:L5"/>
    <mergeCell ref="A58:M5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6.38"/>
    <col customWidth="1" min="2" max="2" width="10.75"/>
    <col customWidth="1" min="3" max="13" width="12.63"/>
  </cols>
  <sheetData>
    <row r="1" ht="22.5" customHeight="1">
      <c r="A1" s="2" t="str">
        <f>systemData_systemLogo</f>
        <v/>
      </c>
      <c r="C1" s="2" t="str">
        <f>systemData_versionTitle</f>
        <v>Fractal RPG v0.5.0.0 (Pantsless Robot)</v>
      </c>
      <c r="M1" s="2"/>
    </row>
    <row r="2" ht="45.0" customHeight="1">
      <c r="C2" s="3" t="s">
        <v>72</v>
      </c>
      <c r="M2" s="3"/>
    </row>
    <row r="3">
      <c r="A3" s="17"/>
      <c r="B3" s="17"/>
      <c r="C3" s="17"/>
      <c r="D3" s="17"/>
      <c r="E3" s="17"/>
      <c r="F3" s="390" t="s">
        <v>73</v>
      </c>
      <c r="G3" s="391"/>
      <c r="H3" s="391"/>
      <c r="I3" s="392"/>
      <c r="J3" s="17"/>
      <c r="K3" s="17"/>
      <c r="L3" s="17"/>
      <c r="M3" s="17"/>
    </row>
    <row r="4" ht="7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>
      <c r="A5" s="289" t="s">
        <v>14</v>
      </c>
      <c r="B5" s="290" t="s">
        <v>60</v>
      </c>
      <c r="C5" s="291" t="str">
        <f>PROPER(stat_scale_physical_size)</f>
        <v>Size</v>
      </c>
      <c r="D5" s="292"/>
      <c r="E5" s="292"/>
      <c r="F5" s="292"/>
      <c r="G5" s="292"/>
      <c r="H5" s="293"/>
      <c r="I5" s="291" t="str">
        <f>PROPER(stat_scale_physical_mass)</f>
        <v>Mass</v>
      </c>
      <c r="J5" s="293"/>
      <c r="K5" s="291" t="str">
        <f>PROPER(stat_scale_physical_strength)</f>
        <v>Brawn</v>
      </c>
      <c r="L5" s="293"/>
      <c r="M5" s="294" t="s">
        <v>61</v>
      </c>
    </row>
    <row r="6">
      <c r="A6" s="393"/>
      <c r="B6" s="394" t="s">
        <v>62</v>
      </c>
      <c r="C6" s="395" t="s">
        <v>63</v>
      </c>
      <c r="D6" s="396" t="s">
        <v>64</v>
      </c>
      <c r="E6" s="396" t="s">
        <v>65</v>
      </c>
      <c r="F6" s="396" t="s">
        <v>66</v>
      </c>
      <c r="G6" s="396" t="s">
        <v>67</v>
      </c>
      <c r="H6" s="394" t="s">
        <v>68</v>
      </c>
      <c r="I6" s="395" t="s">
        <v>69</v>
      </c>
      <c r="J6" s="394" t="s">
        <v>70</v>
      </c>
      <c r="K6" s="395" t="s">
        <v>69</v>
      </c>
      <c r="L6" s="394" t="s">
        <v>70</v>
      </c>
      <c r="M6" s="397" t="s">
        <v>71</v>
      </c>
    </row>
    <row r="7">
      <c r="A7" s="398" t="s">
        <v>74</v>
      </c>
      <c r="B7" s="399"/>
      <c r="C7" s="400">
        <v>5.0</v>
      </c>
      <c r="D7" s="400">
        <v>5.0</v>
      </c>
      <c r="E7" s="400">
        <v>5.0</v>
      </c>
      <c r="F7" s="400">
        <v>5.0</v>
      </c>
      <c r="G7" s="400">
        <v>5.0</v>
      </c>
      <c r="H7" s="400">
        <v>5.0</v>
      </c>
      <c r="I7" s="400">
        <v>5.0</v>
      </c>
      <c r="J7" s="400">
        <v>5.0</v>
      </c>
      <c r="K7" s="400">
        <v>5.0</v>
      </c>
      <c r="L7" s="400">
        <v>5.0</v>
      </c>
      <c r="M7" s="401">
        <v>5.0</v>
      </c>
    </row>
    <row r="8">
      <c r="A8" s="313">
        <f t="shared" ref="A8:A32" si="1">A9-1</f>
        <v>-25</v>
      </c>
      <c r="B8" s="314">
        <f>LOOKUP($A8,scaling_scaleList,scaling_multiplierList)</f>
        <v>0.00055</v>
      </c>
      <c r="C8" s="402">
        <f t="shared" ref="C8:C32" si="2">ROUND($C$33*$B8,$C$7)</f>
        <v>0.00275</v>
      </c>
      <c r="D8" s="403">
        <f t="shared" ref="D8:D32" si="3">ROUND($D$33*$B8,$D$7)</f>
        <v>0.033</v>
      </c>
      <c r="E8" s="354" t="str">
        <f t="shared" ref="E8:E58" si="4">TRUNC($C8)&amp;"' "&amp;ROUND(MOD($D8,12),$E$7)&amp;""""</f>
        <v>0' 0.033"</v>
      </c>
      <c r="F8" s="404">
        <f t="shared" ref="F8:F32" si="5">ROUND($F$33*$B8,$F$7)</f>
        <v>0.00083</v>
      </c>
      <c r="G8" s="405">
        <f t="shared" ref="G8:G32" si="6">ROUND($G$33*$B8,$G$7)</f>
        <v>0.0825</v>
      </c>
      <c r="H8" s="406">
        <f t="shared" ref="H8:H32" si="7">ROUND($H$33*$B8,$H$7)</f>
        <v>0.825</v>
      </c>
      <c r="I8" s="407">
        <f t="shared" ref="I8:I32" si="8">ROUND($I$33*$B8,$I$7)</f>
        <v>0.066</v>
      </c>
      <c r="J8" s="408">
        <f t="shared" ref="J8:J32" si="9">ROUND($J$33*$B8,$J$7)</f>
        <v>0.033</v>
      </c>
      <c r="K8" s="409">
        <f t="shared" ref="K8:K32" si="10">ROUND($K$33*$B8,$K$7)</f>
        <v>0.055</v>
      </c>
      <c r="L8" s="410">
        <f t="shared" ref="L8:L32" si="11">ROUND($L$33*$B8,$L$7)</f>
        <v>0.0275</v>
      </c>
      <c r="M8" s="411">
        <f>$M$33*LOOKUP(-A8,scaling_scaleList,scaling_multiplierList)</f>
        <v>1800</v>
      </c>
    </row>
    <row r="9">
      <c r="A9" s="300">
        <f t="shared" si="1"/>
        <v>-24</v>
      </c>
      <c r="B9" s="301">
        <f>LOOKUP($A9,scaling_scaleList,scaling_multiplierList)</f>
        <v>0.00075</v>
      </c>
      <c r="C9" s="412">
        <f t="shared" si="2"/>
        <v>0.00375</v>
      </c>
      <c r="D9" s="413">
        <f t="shared" si="3"/>
        <v>0.045</v>
      </c>
      <c r="E9" s="352" t="str">
        <f t="shared" si="4"/>
        <v>0' 0.045"</v>
      </c>
      <c r="F9" s="414">
        <f t="shared" si="5"/>
        <v>0.00113</v>
      </c>
      <c r="G9" s="415">
        <f t="shared" si="6"/>
        <v>0.1125</v>
      </c>
      <c r="H9" s="416">
        <f t="shared" si="7"/>
        <v>1.125</v>
      </c>
      <c r="I9" s="417">
        <f t="shared" si="8"/>
        <v>0.09</v>
      </c>
      <c r="J9" s="418">
        <f t="shared" si="9"/>
        <v>0.045</v>
      </c>
      <c r="K9" s="419">
        <f t="shared" si="10"/>
        <v>0.075</v>
      </c>
      <c r="L9" s="420">
        <f t="shared" si="11"/>
        <v>0.0375</v>
      </c>
      <c r="M9" s="421">
        <f>$M$33*LOOKUP(-A9,scaling_scaleList,scaling_multiplierList)</f>
        <v>1350</v>
      </c>
    </row>
    <row r="10">
      <c r="A10" s="313">
        <f t="shared" si="1"/>
        <v>-23</v>
      </c>
      <c r="B10" s="314">
        <f>LOOKUP($A10,scaling_scaleList,scaling_multiplierList)</f>
        <v>0.001</v>
      </c>
      <c r="C10" s="402">
        <f t="shared" si="2"/>
        <v>0.005</v>
      </c>
      <c r="D10" s="403">
        <f t="shared" si="3"/>
        <v>0.06</v>
      </c>
      <c r="E10" s="354" t="str">
        <f t="shared" si="4"/>
        <v>0' 0.06"</v>
      </c>
      <c r="F10" s="404">
        <f t="shared" si="5"/>
        <v>0.0015</v>
      </c>
      <c r="G10" s="405">
        <f t="shared" si="6"/>
        <v>0.15</v>
      </c>
      <c r="H10" s="406">
        <f t="shared" si="7"/>
        <v>1.5</v>
      </c>
      <c r="I10" s="407">
        <f t="shared" si="8"/>
        <v>0.12</v>
      </c>
      <c r="J10" s="408">
        <f t="shared" si="9"/>
        <v>0.06</v>
      </c>
      <c r="K10" s="409">
        <f t="shared" si="10"/>
        <v>0.1</v>
      </c>
      <c r="L10" s="410">
        <f t="shared" si="11"/>
        <v>0.05</v>
      </c>
      <c r="M10" s="411">
        <f>$M$33*LOOKUP(-A10,scaling_scaleList,scaling_multiplierList)</f>
        <v>1000</v>
      </c>
    </row>
    <row r="11">
      <c r="A11" s="300">
        <f t="shared" si="1"/>
        <v>-22</v>
      </c>
      <c r="B11" s="301">
        <f>LOOKUP($A11,scaling_scaleList,scaling_multiplierList)</f>
        <v>0.0013</v>
      </c>
      <c r="C11" s="412">
        <f t="shared" si="2"/>
        <v>0.0065</v>
      </c>
      <c r="D11" s="413">
        <f t="shared" si="3"/>
        <v>0.078</v>
      </c>
      <c r="E11" s="352" t="str">
        <f t="shared" si="4"/>
        <v>0' 0.078"</v>
      </c>
      <c r="F11" s="414">
        <f t="shared" si="5"/>
        <v>0.00195</v>
      </c>
      <c r="G11" s="415">
        <f t="shared" si="6"/>
        <v>0.195</v>
      </c>
      <c r="H11" s="416">
        <f t="shared" si="7"/>
        <v>1.95</v>
      </c>
      <c r="I11" s="417">
        <f t="shared" si="8"/>
        <v>0.156</v>
      </c>
      <c r="J11" s="418">
        <f t="shared" si="9"/>
        <v>0.078</v>
      </c>
      <c r="K11" s="419">
        <f t="shared" si="10"/>
        <v>0.13</v>
      </c>
      <c r="L11" s="420">
        <f t="shared" si="11"/>
        <v>0.065</v>
      </c>
      <c r="M11" s="421">
        <f>$M$33*LOOKUP(-A11,scaling_scaleList,scaling_multiplierList)</f>
        <v>750</v>
      </c>
    </row>
    <row r="12">
      <c r="A12" s="313">
        <f t="shared" si="1"/>
        <v>-21</v>
      </c>
      <c r="B12" s="314">
        <f>LOOKUP($A12,scaling_scaleList,scaling_multiplierList)</f>
        <v>0.0018</v>
      </c>
      <c r="C12" s="402">
        <f t="shared" si="2"/>
        <v>0.009</v>
      </c>
      <c r="D12" s="403">
        <f t="shared" si="3"/>
        <v>0.108</v>
      </c>
      <c r="E12" s="354" t="str">
        <f t="shared" si="4"/>
        <v>0' 0.108"</v>
      </c>
      <c r="F12" s="404">
        <f t="shared" si="5"/>
        <v>0.0027</v>
      </c>
      <c r="G12" s="405">
        <f t="shared" si="6"/>
        <v>0.27</v>
      </c>
      <c r="H12" s="406">
        <f t="shared" si="7"/>
        <v>2.7</v>
      </c>
      <c r="I12" s="407">
        <f t="shared" si="8"/>
        <v>0.216</v>
      </c>
      <c r="J12" s="408">
        <f t="shared" si="9"/>
        <v>0.108</v>
      </c>
      <c r="K12" s="409">
        <f t="shared" si="10"/>
        <v>0.18</v>
      </c>
      <c r="L12" s="410">
        <f t="shared" si="11"/>
        <v>0.09</v>
      </c>
      <c r="M12" s="411">
        <f>$M$33*LOOKUP(-A12,scaling_scaleList,scaling_multiplierList)</f>
        <v>550</v>
      </c>
    </row>
    <row r="13">
      <c r="A13" s="300">
        <f t="shared" si="1"/>
        <v>-20</v>
      </c>
      <c r="B13" s="301">
        <f>LOOKUP($A13,scaling_scaleList,scaling_multiplierList)</f>
        <v>0.0025</v>
      </c>
      <c r="C13" s="412">
        <f t="shared" si="2"/>
        <v>0.0125</v>
      </c>
      <c r="D13" s="413">
        <f t="shared" si="3"/>
        <v>0.15</v>
      </c>
      <c r="E13" s="352" t="str">
        <f t="shared" si="4"/>
        <v>0' 0.15"</v>
      </c>
      <c r="F13" s="414">
        <f t="shared" si="5"/>
        <v>0.00375</v>
      </c>
      <c r="G13" s="415">
        <f t="shared" si="6"/>
        <v>0.375</v>
      </c>
      <c r="H13" s="416">
        <f t="shared" si="7"/>
        <v>3.75</v>
      </c>
      <c r="I13" s="417">
        <f t="shared" si="8"/>
        <v>0.3</v>
      </c>
      <c r="J13" s="418">
        <f t="shared" si="9"/>
        <v>0.15</v>
      </c>
      <c r="K13" s="419">
        <f t="shared" si="10"/>
        <v>0.25</v>
      </c>
      <c r="L13" s="420">
        <f t="shared" si="11"/>
        <v>0.125</v>
      </c>
      <c r="M13" s="421">
        <f>$M$33*LOOKUP(-A13,scaling_scaleList,scaling_multiplierList)</f>
        <v>400</v>
      </c>
    </row>
    <row r="14">
      <c r="A14" s="313">
        <f t="shared" si="1"/>
        <v>-19</v>
      </c>
      <c r="B14" s="314">
        <f>LOOKUP($A14,scaling_scaleList,scaling_multiplierList)</f>
        <v>0.0033</v>
      </c>
      <c r="C14" s="402">
        <f t="shared" si="2"/>
        <v>0.0165</v>
      </c>
      <c r="D14" s="403">
        <f t="shared" si="3"/>
        <v>0.198</v>
      </c>
      <c r="E14" s="354" t="str">
        <f t="shared" si="4"/>
        <v>0' 0.198"</v>
      </c>
      <c r="F14" s="404">
        <f t="shared" si="5"/>
        <v>0.00495</v>
      </c>
      <c r="G14" s="405">
        <f t="shared" si="6"/>
        <v>0.495</v>
      </c>
      <c r="H14" s="406">
        <f t="shared" si="7"/>
        <v>4.95</v>
      </c>
      <c r="I14" s="407">
        <f t="shared" si="8"/>
        <v>0.396</v>
      </c>
      <c r="J14" s="408">
        <f t="shared" si="9"/>
        <v>0.198</v>
      </c>
      <c r="K14" s="409">
        <f t="shared" si="10"/>
        <v>0.33</v>
      </c>
      <c r="L14" s="410">
        <f t="shared" si="11"/>
        <v>0.165</v>
      </c>
      <c r="M14" s="411">
        <f>$M$33*LOOKUP(-A14,scaling_scaleList,scaling_multiplierList)</f>
        <v>300</v>
      </c>
    </row>
    <row r="15">
      <c r="A15" s="300">
        <f t="shared" si="1"/>
        <v>-18</v>
      </c>
      <c r="B15" s="301">
        <f>LOOKUP($A15,scaling_scaleList,scaling_multiplierList)</f>
        <v>0.0045</v>
      </c>
      <c r="C15" s="412">
        <f t="shared" si="2"/>
        <v>0.0225</v>
      </c>
      <c r="D15" s="413">
        <f t="shared" si="3"/>
        <v>0.27</v>
      </c>
      <c r="E15" s="352" t="str">
        <f t="shared" si="4"/>
        <v>0' 0.27"</v>
      </c>
      <c r="F15" s="414">
        <f t="shared" si="5"/>
        <v>0.00675</v>
      </c>
      <c r="G15" s="415">
        <f t="shared" si="6"/>
        <v>0.675</v>
      </c>
      <c r="H15" s="416">
        <f t="shared" si="7"/>
        <v>6.75</v>
      </c>
      <c r="I15" s="417">
        <f t="shared" si="8"/>
        <v>0.54</v>
      </c>
      <c r="J15" s="418">
        <f t="shared" si="9"/>
        <v>0.27</v>
      </c>
      <c r="K15" s="419">
        <f t="shared" si="10"/>
        <v>0.45</v>
      </c>
      <c r="L15" s="420">
        <f t="shared" si="11"/>
        <v>0.225</v>
      </c>
      <c r="M15" s="421">
        <f>$M$33*LOOKUP(-A15,scaling_scaleList,scaling_multiplierList)</f>
        <v>220</v>
      </c>
    </row>
    <row r="16">
      <c r="A16" s="313">
        <f t="shared" si="1"/>
        <v>-17</v>
      </c>
      <c r="B16" s="314">
        <f>LOOKUP($A16,scaling_scaleList,scaling_multiplierList)</f>
        <v>0.0063</v>
      </c>
      <c r="C16" s="402">
        <f t="shared" si="2"/>
        <v>0.0315</v>
      </c>
      <c r="D16" s="403">
        <f t="shared" si="3"/>
        <v>0.378</v>
      </c>
      <c r="E16" s="354" t="str">
        <f t="shared" si="4"/>
        <v>0' 0.378"</v>
      </c>
      <c r="F16" s="404">
        <f t="shared" si="5"/>
        <v>0.00945</v>
      </c>
      <c r="G16" s="405">
        <f t="shared" si="6"/>
        <v>0.945</v>
      </c>
      <c r="H16" s="406">
        <f t="shared" si="7"/>
        <v>9.45</v>
      </c>
      <c r="I16" s="407">
        <f t="shared" si="8"/>
        <v>0.756</v>
      </c>
      <c r="J16" s="408">
        <f t="shared" si="9"/>
        <v>0.378</v>
      </c>
      <c r="K16" s="409">
        <f t="shared" si="10"/>
        <v>0.63</v>
      </c>
      <c r="L16" s="410">
        <f t="shared" si="11"/>
        <v>0.315</v>
      </c>
      <c r="M16" s="411">
        <f>$M$33*LOOKUP(-A16,scaling_scaleList,scaling_multiplierList)</f>
        <v>160</v>
      </c>
    </row>
    <row r="17">
      <c r="A17" s="300">
        <f t="shared" si="1"/>
        <v>-16</v>
      </c>
      <c r="B17" s="301">
        <f>LOOKUP($A17,scaling_scaleList,scaling_multiplierList)</f>
        <v>0.0085</v>
      </c>
      <c r="C17" s="412">
        <f t="shared" si="2"/>
        <v>0.0425</v>
      </c>
      <c r="D17" s="413">
        <f t="shared" si="3"/>
        <v>0.51</v>
      </c>
      <c r="E17" s="352" t="str">
        <f t="shared" si="4"/>
        <v>0' 0.51"</v>
      </c>
      <c r="F17" s="414">
        <f t="shared" si="5"/>
        <v>0.01275</v>
      </c>
      <c r="G17" s="415">
        <f t="shared" si="6"/>
        <v>1.275</v>
      </c>
      <c r="H17" s="416">
        <f t="shared" si="7"/>
        <v>12.75</v>
      </c>
      <c r="I17" s="417">
        <f t="shared" si="8"/>
        <v>1.02</v>
      </c>
      <c r="J17" s="418">
        <f t="shared" si="9"/>
        <v>0.51</v>
      </c>
      <c r="K17" s="419">
        <f t="shared" si="10"/>
        <v>0.85</v>
      </c>
      <c r="L17" s="420">
        <f t="shared" si="11"/>
        <v>0.425</v>
      </c>
      <c r="M17" s="421">
        <f>$M$33*LOOKUP(-A17,scaling_scaleList,scaling_multiplierList)</f>
        <v>120</v>
      </c>
    </row>
    <row r="18">
      <c r="A18" s="313">
        <f t="shared" si="1"/>
        <v>-15</v>
      </c>
      <c r="B18" s="314">
        <f>LOOKUP($A18,scaling_scaleList,scaling_multiplierList)</f>
        <v>0.011</v>
      </c>
      <c r="C18" s="402">
        <f t="shared" si="2"/>
        <v>0.055</v>
      </c>
      <c r="D18" s="403">
        <f t="shared" si="3"/>
        <v>0.66</v>
      </c>
      <c r="E18" s="354" t="str">
        <f t="shared" si="4"/>
        <v>0' 0.66"</v>
      </c>
      <c r="F18" s="404">
        <f t="shared" si="5"/>
        <v>0.0165</v>
      </c>
      <c r="G18" s="405">
        <f t="shared" si="6"/>
        <v>1.65</v>
      </c>
      <c r="H18" s="406">
        <f t="shared" si="7"/>
        <v>16.5</v>
      </c>
      <c r="I18" s="407">
        <f t="shared" si="8"/>
        <v>1.32</v>
      </c>
      <c r="J18" s="408">
        <f t="shared" si="9"/>
        <v>0.66</v>
      </c>
      <c r="K18" s="409">
        <f t="shared" si="10"/>
        <v>1.1</v>
      </c>
      <c r="L18" s="410">
        <f t="shared" si="11"/>
        <v>0.55</v>
      </c>
      <c r="M18" s="411">
        <f>$M$33*LOOKUP(-A18,scaling_scaleList,scaling_multiplierList)</f>
        <v>90</v>
      </c>
    </row>
    <row r="19">
      <c r="A19" s="300">
        <f t="shared" si="1"/>
        <v>-14</v>
      </c>
      <c r="B19" s="301">
        <f>LOOKUP($A19,scaling_scaleList,scaling_multiplierList)</f>
        <v>0.015</v>
      </c>
      <c r="C19" s="412">
        <f t="shared" si="2"/>
        <v>0.075</v>
      </c>
      <c r="D19" s="413">
        <f t="shared" si="3"/>
        <v>0.9</v>
      </c>
      <c r="E19" s="352" t="str">
        <f t="shared" si="4"/>
        <v>0' 0.9"</v>
      </c>
      <c r="F19" s="414">
        <f t="shared" si="5"/>
        <v>0.0225</v>
      </c>
      <c r="G19" s="415">
        <f t="shared" si="6"/>
        <v>2.25</v>
      </c>
      <c r="H19" s="416">
        <f t="shared" si="7"/>
        <v>22.5</v>
      </c>
      <c r="I19" s="417">
        <f t="shared" si="8"/>
        <v>1.8</v>
      </c>
      <c r="J19" s="418">
        <f t="shared" si="9"/>
        <v>0.9</v>
      </c>
      <c r="K19" s="419">
        <f t="shared" si="10"/>
        <v>1.5</v>
      </c>
      <c r="L19" s="420">
        <f t="shared" si="11"/>
        <v>0.75</v>
      </c>
      <c r="M19" s="421">
        <f>$M$33*LOOKUP(-A19,scaling_scaleList,scaling_multiplierList)</f>
        <v>65</v>
      </c>
    </row>
    <row r="20">
      <c r="A20" s="313">
        <f t="shared" si="1"/>
        <v>-13</v>
      </c>
      <c r="B20" s="314">
        <f>LOOKUP($A20,scaling_scaleList,scaling_multiplierList)</f>
        <v>0.02</v>
      </c>
      <c r="C20" s="402">
        <f t="shared" si="2"/>
        <v>0.1</v>
      </c>
      <c r="D20" s="403">
        <f t="shared" si="3"/>
        <v>1.2</v>
      </c>
      <c r="E20" s="354" t="str">
        <f t="shared" si="4"/>
        <v>0' 1.2"</v>
      </c>
      <c r="F20" s="404">
        <f t="shared" si="5"/>
        <v>0.03</v>
      </c>
      <c r="G20" s="405">
        <f t="shared" si="6"/>
        <v>3</v>
      </c>
      <c r="H20" s="406">
        <f t="shared" si="7"/>
        <v>30</v>
      </c>
      <c r="I20" s="407">
        <f t="shared" si="8"/>
        <v>2.4</v>
      </c>
      <c r="J20" s="408">
        <f t="shared" si="9"/>
        <v>1.2</v>
      </c>
      <c r="K20" s="409">
        <f t="shared" si="10"/>
        <v>2</v>
      </c>
      <c r="L20" s="410">
        <f t="shared" si="11"/>
        <v>1</v>
      </c>
      <c r="M20" s="411">
        <f>$M$33*LOOKUP(-A20,scaling_scaleList,scaling_multiplierList)</f>
        <v>50</v>
      </c>
    </row>
    <row r="21">
      <c r="A21" s="300">
        <f t="shared" si="1"/>
        <v>-12</v>
      </c>
      <c r="B21" s="301">
        <f>LOOKUP($A21,scaling_scaleList,scaling_multiplierList)</f>
        <v>0.03</v>
      </c>
      <c r="C21" s="412">
        <f t="shared" si="2"/>
        <v>0.15</v>
      </c>
      <c r="D21" s="413">
        <f t="shared" si="3"/>
        <v>1.8</v>
      </c>
      <c r="E21" s="352" t="str">
        <f t="shared" si="4"/>
        <v>0' 1.8"</v>
      </c>
      <c r="F21" s="414">
        <f t="shared" si="5"/>
        <v>0.045</v>
      </c>
      <c r="G21" s="415">
        <f t="shared" si="6"/>
        <v>4.5</v>
      </c>
      <c r="H21" s="416">
        <f t="shared" si="7"/>
        <v>45</v>
      </c>
      <c r="I21" s="417">
        <f t="shared" si="8"/>
        <v>3.6</v>
      </c>
      <c r="J21" s="418">
        <f t="shared" si="9"/>
        <v>1.8</v>
      </c>
      <c r="K21" s="419">
        <f t="shared" si="10"/>
        <v>3</v>
      </c>
      <c r="L21" s="420">
        <f t="shared" si="11"/>
        <v>1.5</v>
      </c>
      <c r="M21" s="421">
        <f>$M$33*LOOKUP(-A21,scaling_scaleList,scaling_multiplierList)</f>
        <v>35</v>
      </c>
    </row>
    <row r="22">
      <c r="A22" s="313">
        <f t="shared" si="1"/>
        <v>-11</v>
      </c>
      <c r="B22" s="314">
        <f>LOOKUP($A22,scaling_scaleList,scaling_multiplierList)</f>
        <v>0.04</v>
      </c>
      <c r="C22" s="402">
        <f t="shared" si="2"/>
        <v>0.2</v>
      </c>
      <c r="D22" s="403">
        <f t="shared" si="3"/>
        <v>2.4</v>
      </c>
      <c r="E22" s="354" t="str">
        <f t="shared" si="4"/>
        <v>0' 2.4"</v>
      </c>
      <c r="F22" s="404">
        <f t="shared" si="5"/>
        <v>0.06</v>
      </c>
      <c r="G22" s="405">
        <f t="shared" si="6"/>
        <v>6</v>
      </c>
      <c r="H22" s="406">
        <f t="shared" si="7"/>
        <v>60</v>
      </c>
      <c r="I22" s="407">
        <f t="shared" si="8"/>
        <v>4.8</v>
      </c>
      <c r="J22" s="408">
        <f t="shared" si="9"/>
        <v>2.4</v>
      </c>
      <c r="K22" s="409">
        <f t="shared" si="10"/>
        <v>4</v>
      </c>
      <c r="L22" s="410">
        <f t="shared" si="11"/>
        <v>2</v>
      </c>
      <c r="M22" s="411">
        <f>$M$33*LOOKUP(-A22,scaling_scaleList,scaling_multiplierList)</f>
        <v>25</v>
      </c>
    </row>
    <row r="23">
      <c r="A23" s="300">
        <f t="shared" si="1"/>
        <v>-10</v>
      </c>
      <c r="B23" s="301">
        <f>LOOKUP($A23,scaling_scaleList,scaling_multiplierList)</f>
        <v>0.05</v>
      </c>
      <c r="C23" s="412">
        <f t="shared" si="2"/>
        <v>0.25</v>
      </c>
      <c r="D23" s="413">
        <f t="shared" si="3"/>
        <v>3</v>
      </c>
      <c r="E23" s="352" t="str">
        <f t="shared" si="4"/>
        <v>0' 3"</v>
      </c>
      <c r="F23" s="414">
        <f t="shared" si="5"/>
        <v>0.075</v>
      </c>
      <c r="G23" s="415">
        <f t="shared" si="6"/>
        <v>7.5</v>
      </c>
      <c r="H23" s="416">
        <f t="shared" si="7"/>
        <v>75</v>
      </c>
      <c r="I23" s="417">
        <f t="shared" si="8"/>
        <v>6</v>
      </c>
      <c r="J23" s="418">
        <f t="shared" si="9"/>
        <v>3</v>
      </c>
      <c r="K23" s="419">
        <f t="shared" si="10"/>
        <v>5</v>
      </c>
      <c r="L23" s="420">
        <f t="shared" si="11"/>
        <v>2.5</v>
      </c>
      <c r="M23" s="421">
        <f>$M$33*LOOKUP(-A23,scaling_scaleList,scaling_multiplierList)</f>
        <v>20</v>
      </c>
    </row>
    <row r="24">
      <c r="A24" s="313">
        <f t="shared" si="1"/>
        <v>-9</v>
      </c>
      <c r="B24" s="314">
        <f>LOOKUP($A24,scaling_scaleList,scaling_multiplierList)</f>
        <v>0.067</v>
      </c>
      <c r="C24" s="402">
        <f t="shared" si="2"/>
        <v>0.335</v>
      </c>
      <c r="D24" s="403">
        <f t="shared" si="3"/>
        <v>4.02</v>
      </c>
      <c r="E24" s="354" t="str">
        <f t="shared" si="4"/>
        <v>0' 4.02"</v>
      </c>
      <c r="F24" s="404">
        <f t="shared" si="5"/>
        <v>0.1005</v>
      </c>
      <c r="G24" s="405">
        <f t="shared" si="6"/>
        <v>10.05</v>
      </c>
      <c r="H24" s="406">
        <f t="shared" si="7"/>
        <v>100.5</v>
      </c>
      <c r="I24" s="407">
        <f t="shared" si="8"/>
        <v>8.04</v>
      </c>
      <c r="J24" s="408">
        <f t="shared" si="9"/>
        <v>4.02</v>
      </c>
      <c r="K24" s="409">
        <f t="shared" si="10"/>
        <v>6.7</v>
      </c>
      <c r="L24" s="410">
        <f t="shared" si="11"/>
        <v>3.35</v>
      </c>
      <c r="M24" s="411">
        <f>$M$33*LOOKUP(-A24,scaling_scaleList,scaling_multiplierList)</f>
        <v>15</v>
      </c>
    </row>
    <row r="25">
      <c r="A25" s="300">
        <f t="shared" si="1"/>
        <v>-8</v>
      </c>
      <c r="B25" s="301">
        <f>LOOKUP($A25,scaling_scaleList,scaling_multiplierList)</f>
        <v>0.09</v>
      </c>
      <c r="C25" s="412">
        <f t="shared" si="2"/>
        <v>0.45</v>
      </c>
      <c r="D25" s="413">
        <f t="shared" si="3"/>
        <v>5.4</v>
      </c>
      <c r="E25" s="352" t="str">
        <f t="shared" si="4"/>
        <v>0' 5.4"</v>
      </c>
      <c r="F25" s="414">
        <f t="shared" si="5"/>
        <v>0.135</v>
      </c>
      <c r="G25" s="415">
        <f t="shared" si="6"/>
        <v>13.5</v>
      </c>
      <c r="H25" s="416">
        <f t="shared" si="7"/>
        <v>135</v>
      </c>
      <c r="I25" s="417">
        <f t="shared" si="8"/>
        <v>10.8</v>
      </c>
      <c r="J25" s="418">
        <f t="shared" si="9"/>
        <v>5.4</v>
      </c>
      <c r="K25" s="419">
        <f t="shared" si="10"/>
        <v>9</v>
      </c>
      <c r="L25" s="420">
        <f t="shared" si="11"/>
        <v>4.5</v>
      </c>
      <c r="M25" s="421">
        <f>$M$33*LOOKUP(-A25,scaling_scaleList,scaling_multiplierList)</f>
        <v>11</v>
      </c>
    </row>
    <row r="26">
      <c r="A26" s="313">
        <f t="shared" si="1"/>
        <v>-7</v>
      </c>
      <c r="B26" s="314">
        <f>LOOKUP($A26,scaling_scaleList,scaling_multiplierList)</f>
        <v>0.125</v>
      </c>
      <c r="C26" s="402">
        <f t="shared" si="2"/>
        <v>0.625</v>
      </c>
      <c r="D26" s="403">
        <f t="shared" si="3"/>
        <v>7.5</v>
      </c>
      <c r="E26" s="354" t="str">
        <f t="shared" si="4"/>
        <v>0' 7.5"</v>
      </c>
      <c r="F26" s="404">
        <f t="shared" si="5"/>
        <v>0.1875</v>
      </c>
      <c r="G26" s="405">
        <f t="shared" si="6"/>
        <v>18.75</v>
      </c>
      <c r="H26" s="406">
        <f t="shared" si="7"/>
        <v>187.5</v>
      </c>
      <c r="I26" s="407">
        <f t="shared" si="8"/>
        <v>15</v>
      </c>
      <c r="J26" s="408">
        <f t="shared" si="9"/>
        <v>7.5</v>
      </c>
      <c r="K26" s="409">
        <f t="shared" si="10"/>
        <v>12.5</v>
      </c>
      <c r="L26" s="410">
        <f t="shared" si="11"/>
        <v>6.25</v>
      </c>
      <c r="M26" s="411">
        <f>$M$33*LOOKUP(-A26,scaling_scaleList,scaling_multiplierList)</f>
        <v>8</v>
      </c>
    </row>
    <row r="27">
      <c r="A27" s="300">
        <f t="shared" si="1"/>
        <v>-6</v>
      </c>
      <c r="B27" s="301">
        <f>LOOKUP($A27,scaling_scaleList,scaling_multiplierList)</f>
        <v>0.16</v>
      </c>
      <c r="C27" s="412">
        <f t="shared" si="2"/>
        <v>0.8</v>
      </c>
      <c r="D27" s="413">
        <f t="shared" si="3"/>
        <v>9.6</v>
      </c>
      <c r="E27" s="352" t="str">
        <f t="shared" si="4"/>
        <v>0' 9.6"</v>
      </c>
      <c r="F27" s="414">
        <f t="shared" si="5"/>
        <v>0.24</v>
      </c>
      <c r="G27" s="415">
        <f t="shared" si="6"/>
        <v>24</v>
      </c>
      <c r="H27" s="416">
        <f t="shared" si="7"/>
        <v>240</v>
      </c>
      <c r="I27" s="417">
        <f t="shared" si="8"/>
        <v>19.2</v>
      </c>
      <c r="J27" s="418">
        <f t="shared" si="9"/>
        <v>9.6</v>
      </c>
      <c r="K27" s="419">
        <f t="shared" si="10"/>
        <v>16</v>
      </c>
      <c r="L27" s="420">
        <f t="shared" si="11"/>
        <v>8</v>
      </c>
      <c r="M27" s="421">
        <f>$M$33*LOOKUP(-A27,scaling_scaleList,scaling_multiplierList)</f>
        <v>6</v>
      </c>
    </row>
    <row r="28">
      <c r="A28" s="313">
        <f t="shared" si="1"/>
        <v>-5</v>
      </c>
      <c r="B28" s="314">
        <f>LOOKUP($A28,scaling_scaleList,scaling_multiplierList)</f>
        <v>0.22</v>
      </c>
      <c r="C28" s="402">
        <f t="shared" si="2"/>
        <v>1.1</v>
      </c>
      <c r="D28" s="403">
        <f t="shared" si="3"/>
        <v>13.2</v>
      </c>
      <c r="E28" s="354" t="str">
        <f t="shared" si="4"/>
        <v>1' 1.2"</v>
      </c>
      <c r="F28" s="404">
        <f t="shared" si="5"/>
        <v>0.33</v>
      </c>
      <c r="G28" s="405">
        <f t="shared" si="6"/>
        <v>33</v>
      </c>
      <c r="H28" s="406">
        <f t="shared" si="7"/>
        <v>330</v>
      </c>
      <c r="I28" s="407">
        <f t="shared" si="8"/>
        <v>26.4</v>
      </c>
      <c r="J28" s="408">
        <f t="shared" si="9"/>
        <v>13.2</v>
      </c>
      <c r="K28" s="409">
        <f t="shared" si="10"/>
        <v>22</v>
      </c>
      <c r="L28" s="410">
        <f t="shared" si="11"/>
        <v>11</v>
      </c>
      <c r="M28" s="411">
        <f>$M$33*LOOKUP(-A28,scaling_scaleList,scaling_multiplierList)</f>
        <v>4.5</v>
      </c>
    </row>
    <row r="29">
      <c r="A29" s="300">
        <f t="shared" si="1"/>
        <v>-4</v>
      </c>
      <c r="B29" s="301">
        <f>LOOKUP($A29,scaling_scaleList,scaling_multiplierList)</f>
        <v>0.3</v>
      </c>
      <c r="C29" s="412">
        <f t="shared" si="2"/>
        <v>1.5</v>
      </c>
      <c r="D29" s="413">
        <f t="shared" si="3"/>
        <v>18</v>
      </c>
      <c r="E29" s="352" t="str">
        <f t="shared" si="4"/>
        <v>1' 6"</v>
      </c>
      <c r="F29" s="414">
        <f t="shared" si="5"/>
        <v>0.45</v>
      </c>
      <c r="G29" s="415">
        <f t="shared" si="6"/>
        <v>45</v>
      </c>
      <c r="H29" s="416">
        <f t="shared" si="7"/>
        <v>450</v>
      </c>
      <c r="I29" s="417">
        <f t="shared" si="8"/>
        <v>36</v>
      </c>
      <c r="J29" s="418">
        <f t="shared" si="9"/>
        <v>18</v>
      </c>
      <c r="K29" s="419">
        <f t="shared" si="10"/>
        <v>30</v>
      </c>
      <c r="L29" s="420">
        <f t="shared" si="11"/>
        <v>15</v>
      </c>
      <c r="M29" s="421">
        <f>$M$33*LOOKUP(-A29,scaling_scaleList,scaling_multiplierList)</f>
        <v>3.3</v>
      </c>
    </row>
    <row r="30">
      <c r="A30" s="313">
        <f t="shared" si="1"/>
        <v>-3</v>
      </c>
      <c r="B30" s="314">
        <f>LOOKUP($A30,scaling_scaleList,scaling_multiplierList)</f>
        <v>0.4</v>
      </c>
      <c r="C30" s="402">
        <f t="shared" si="2"/>
        <v>2</v>
      </c>
      <c r="D30" s="403">
        <f t="shared" si="3"/>
        <v>24</v>
      </c>
      <c r="E30" s="354" t="str">
        <f t="shared" si="4"/>
        <v>2' 0"</v>
      </c>
      <c r="F30" s="404">
        <f t="shared" si="5"/>
        <v>0.6</v>
      </c>
      <c r="G30" s="405">
        <f t="shared" si="6"/>
        <v>60</v>
      </c>
      <c r="H30" s="406">
        <f t="shared" si="7"/>
        <v>600</v>
      </c>
      <c r="I30" s="407">
        <f t="shared" si="8"/>
        <v>48</v>
      </c>
      <c r="J30" s="408">
        <f t="shared" si="9"/>
        <v>24</v>
      </c>
      <c r="K30" s="409">
        <f t="shared" si="10"/>
        <v>40</v>
      </c>
      <c r="L30" s="410">
        <f t="shared" si="11"/>
        <v>20</v>
      </c>
      <c r="M30" s="411">
        <f>$M$33*LOOKUP(-A30,scaling_scaleList,scaling_multiplierList)</f>
        <v>2.5</v>
      </c>
    </row>
    <row r="31">
      <c r="A31" s="300">
        <f t="shared" si="1"/>
        <v>-2</v>
      </c>
      <c r="B31" s="301">
        <f>LOOKUP($A31,scaling_scaleList,scaling_multiplierList)</f>
        <v>0.55</v>
      </c>
      <c r="C31" s="412">
        <f t="shared" si="2"/>
        <v>2.75</v>
      </c>
      <c r="D31" s="413">
        <f t="shared" si="3"/>
        <v>33</v>
      </c>
      <c r="E31" s="352" t="str">
        <f t="shared" si="4"/>
        <v>2' 9"</v>
      </c>
      <c r="F31" s="414">
        <f t="shared" si="5"/>
        <v>0.825</v>
      </c>
      <c r="G31" s="415">
        <f t="shared" si="6"/>
        <v>82.5</v>
      </c>
      <c r="H31" s="416">
        <f t="shared" si="7"/>
        <v>825</v>
      </c>
      <c r="I31" s="417">
        <f t="shared" si="8"/>
        <v>66</v>
      </c>
      <c r="J31" s="418">
        <f t="shared" si="9"/>
        <v>33</v>
      </c>
      <c r="K31" s="419">
        <f t="shared" si="10"/>
        <v>55</v>
      </c>
      <c r="L31" s="420">
        <f t="shared" si="11"/>
        <v>27.5</v>
      </c>
      <c r="M31" s="421">
        <f>$M$33*LOOKUP(-A31,scaling_scaleList,scaling_multiplierList)</f>
        <v>1.8</v>
      </c>
    </row>
    <row r="32">
      <c r="A32" s="313">
        <f t="shared" si="1"/>
        <v>-1</v>
      </c>
      <c r="B32" s="314">
        <f>LOOKUP($A32,scaling_scaleList,scaling_multiplierList)</f>
        <v>0.75</v>
      </c>
      <c r="C32" s="402">
        <f t="shared" si="2"/>
        <v>3.75</v>
      </c>
      <c r="D32" s="403">
        <f t="shared" si="3"/>
        <v>45</v>
      </c>
      <c r="E32" s="354" t="str">
        <f t="shared" si="4"/>
        <v>3' 9"</v>
      </c>
      <c r="F32" s="404">
        <f t="shared" si="5"/>
        <v>1.125</v>
      </c>
      <c r="G32" s="405">
        <f t="shared" si="6"/>
        <v>112.5</v>
      </c>
      <c r="H32" s="406">
        <f t="shared" si="7"/>
        <v>1125</v>
      </c>
      <c r="I32" s="407">
        <f t="shared" si="8"/>
        <v>90</v>
      </c>
      <c r="J32" s="408">
        <f t="shared" si="9"/>
        <v>45</v>
      </c>
      <c r="K32" s="409">
        <f t="shared" si="10"/>
        <v>75</v>
      </c>
      <c r="L32" s="410">
        <f t="shared" si="11"/>
        <v>37.5</v>
      </c>
      <c r="M32" s="411">
        <f>$M$33*LOOKUP(-A32,scaling_scaleList,scaling_multiplierList)</f>
        <v>1.35</v>
      </c>
    </row>
    <row r="33">
      <c r="A33" s="422">
        <v>0.0</v>
      </c>
      <c r="B33" s="423">
        <f>LOOKUP($A33,scaling_scaleList,scaling_multiplierList)</f>
        <v>1</v>
      </c>
      <c r="C33" s="424">
        <v>5.0</v>
      </c>
      <c r="D33" s="425">
        <f>ROUND($C33*12,$D$7)</f>
        <v>60</v>
      </c>
      <c r="E33" s="426" t="str">
        <f t="shared" si="4"/>
        <v>5' 0"</v>
      </c>
      <c r="F33" s="427">
        <v>1.5</v>
      </c>
      <c r="G33" s="428">
        <f>ROUND($F$33*100,$G$7)</f>
        <v>150</v>
      </c>
      <c r="H33" s="429">
        <f>ROUND($F$33*1000,$H$7)</f>
        <v>1500</v>
      </c>
      <c r="I33" s="430">
        <v>120.0</v>
      </c>
      <c r="J33" s="431">
        <v>60.0</v>
      </c>
      <c r="K33" s="432">
        <v>100.0</v>
      </c>
      <c r="L33" s="433">
        <v>50.0</v>
      </c>
      <c r="M33" s="434">
        <v>1.0</v>
      </c>
    </row>
    <row r="34">
      <c r="A34" s="313">
        <f t="shared" ref="A34:A58" si="12">A33+1</f>
        <v>1</v>
      </c>
      <c r="B34" s="314">
        <f>LOOKUP($A34,scaling_scaleList,scaling_multiplierList)</f>
        <v>1.35</v>
      </c>
      <c r="C34" s="402">
        <f t="shared" ref="C34:C58" si="13">$C$33*$B34</f>
        <v>6.75</v>
      </c>
      <c r="D34" s="403">
        <f t="shared" ref="D34:D58" si="14">$D$33*$B34</f>
        <v>81</v>
      </c>
      <c r="E34" s="354" t="str">
        <f t="shared" si="4"/>
        <v>6' 9"</v>
      </c>
      <c r="F34" s="404">
        <f t="shared" ref="F34:F58" si="15">ROUND($F$33*$B34,$F$7)</f>
        <v>2.025</v>
      </c>
      <c r="G34" s="405">
        <f t="shared" ref="G34:G58" si="16">ROUND($G$33*$B34,$G$7)</f>
        <v>202.5</v>
      </c>
      <c r="H34" s="406">
        <f t="shared" ref="H34:H58" si="17">ROUND($H$33*$B34,$H$7)</f>
        <v>2025</v>
      </c>
      <c r="I34" s="407">
        <f t="shared" ref="I34:I58" si="18">ROUND($I$33*$B34,$I$7)</f>
        <v>162</v>
      </c>
      <c r="J34" s="408">
        <f t="shared" ref="J34:J58" si="19">ROUND($J$33*$B34,$J$7)</f>
        <v>81</v>
      </c>
      <c r="K34" s="409">
        <f t="shared" ref="K34:K58" si="20">ROUND($K$33*$B34,$K$7)</f>
        <v>135</v>
      </c>
      <c r="L34" s="410">
        <f t="shared" ref="L34:L58" si="21">ROUND($L$33*$B34,$L$7)</f>
        <v>67.5</v>
      </c>
      <c r="M34" s="411">
        <f>$M$33*LOOKUP(-A34,scaling_scaleList,scaling_multiplierList)</f>
        <v>0.75</v>
      </c>
    </row>
    <row r="35">
      <c r="A35" s="300">
        <f t="shared" si="12"/>
        <v>2</v>
      </c>
      <c r="B35" s="301">
        <f>LOOKUP($A35,scaling_scaleList,scaling_multiplierList)</f>
        <v>1.8</v>
      </c>
      <c r="C35" s="412">
        <f t="shared" si="13"/>
        <v>9</v>
      </c>
      <c r="D35" s="413">
        <f t="shared" si="14"/>
        <v>108</v>
      </c>
      <c r="E35" s="352" t="str">
        <f t="shared" si="4"/>
        <v>9' 0"</v>
      </c>
      <c r="F35" s="414">
        <f t="shared" si="15"/>
        <v>2.7</v>
      </c>
      <c r="G35" s="415">
        <f t="shared" si="16"/>
        <v>270</v>
      </c>
      <c r="H35" s="416">
        <f t="shared" si="17"/>
        <v>2700</v>
      </c>
      <c r="I35" s="417">
        <f t="shared" si="18"/>
        <v>216</v>
      </c>
      <c r="J35" s="418">
        <f t="shared" si="19"/>
        <v>108</v>
      </c>
      <c r="K35" s="419">
        <f t="shared" si="20"/>
        <v>180</v>
      </c>
      <c r="L35" s="420">
        <f t="shared" si="21"/>
        <v>90</v>
      </c>
      <c r="M35" s="421">
        <f>$M$33*LOOKUP(-A35,scaling_scaleList,scaling_multiplierList)</f>
        <v>0.55</v>
      </c>
    </row>
    <row r="36">
      <c r="A36" s="313">
        <f t="shared" si="12"/>
        <v>3</v>
      </c>
      <c r="B36" s="314">
        <f>LOOKUP($A36,scaling_scaleList,scaling_multiplierList)</f>
        <v>2.5</v>
      </c>
      <c r="C36" s="402">
        <f t="shared" si="13"/>
        <v>12.5</v>
      </c>
      <c r="D36" s="403">
        <f t="shared" si="14"/>
        <v>150</v>
      </c>
      <c r="E36" s="354" t="str">
        <f t="shared" si="4"/>
        <v>12' 6"</v>
      </c>
      <c r="F36" s="404">
        <f t="shared" si="15"/>
        <v>3.75</v>
      </c>
      <c r="G36" s="405">
        <f t="shared" si="16"/>
        <v>375</v>
      </c>
      <c r="H36" s="406">
        <f t="shared" si="17"/>
        <v>3750</v>
      </c>
      <c r="I36" s="407">
        <f t="shared" si="18"/>
        <v>300</v>
      </c>
      <c r="J36" s="408">
        <f t="shared" si="19"/>
        <v>150</v>
      </c>
      <c r="K36" s="409">
        <f t="shared" si="20"/>
        <v>250</v>
      </c>
      <c r="L36" s="410">
        <f t="shared" si="21"/>
        <v>125</v>
      </c>
      <c r="M36" s="411">
        <f>$M$33*LOOKUP(-A36,scaling_scaleList,scaling_multiplierList)</f>
        <v>0.4</v>
      </c>
    </row>
    <row r="37">
      <c r="A37" s="300">
        <f t="shared" si="12"/>
        <v>4</v>
      </c>
      <c r="B37" s="301">
        <f>LOOKUP($A37,scaling_scaleList,scaling_multiplierList)</f>
        <v>3.3</v>
      </c>
      <c r="C37" s="412">
        <f t="shared" si="13"/>
        <v>16.5</v>
      </c>
      <c r="D37" s="413">
        <f t="shared" si="14"/>
        <v>198</v>
      </c>
      <c r="E37" s="352" t="str">
        <f t="shared" si="4"/>
        <v>16' 6"</v>
      </c>
      <c r="F37" s="414">
        <f t="shared" si="15"/>
        <v>4.95</v>
      </c>
      <c r="G37" s="415">
        <f t="shared" si="16"/>
        <v>495</v>
      </c>
      <c r="H37" s="416">
        <f t="shared" si="17"/>
        <v>4950</v>
      </c>
      <c r="I37" s="417">
        <f t="shared" si="18"/>
        <v>396</v>
      </c>
      <c r="J37" s="418">
        <f t="shared" si="19"/>
        <v>198</v>
      </c>
      <c r="K37" s="419">
        <f t="shared" si="20"/>
        <v>330</v>
      </c>
      <c r="L37" s="420">
        <f t="shared" si="21"/>
        <v>165</v>
      </c>
      <c r="M37" s="421">
        <f>$M$33*LOOKUP(-A37,scaling_scaleList,scaling_multiplierList)</f>
        <v>0.3</v>
      </c>
    </row>
    <row r="38">
      <c r="A38" s="313">
        <f t="shared" si="12"/>
        <v>5</v>
      </c>
      <c r="B38" s="314">
        <f>LOOKUP($A38,scaling_scaleList,scaling_multiplierList)</f>
        <v>4.5</v>
      </c>
      <c r="C38" s="402">
        <f t="shared" si="13"/>
        <v>22.5</v>
      </c>
      <c r="D38" s="403">
        <f t="shared" si="14"/>
        <v>270</v>
      </c>
      <c r="E38" s="354" t="str">
        <f t="shared" si="4"/>
        <v>22' 6"</v>
      </c>
      <c r="F38" s="404">
        <f t="shared" si="15"/>
        <v>6.75</v>
      </c>
      <c r="G38" s="405">
        <f t="shared" si="16"/>
        <v>675</v>
      </c>
      <c r="H38" s="406">
        <f t="shared" si="17"/>
        <v>6750</v>
      </c>
      <c r="I38" s="407">
        <f t="shared" si="18"/>
        <v>540</v>
      </c>
      <c r="J38" s="408">
        <f t="shared" si="19"/>
        <v>270</v>
      </c>
      <c r="K38" s="409">
        <f t="shared" si="20"/>
        <v>450</v>
      </c>
      <c r="L38" s="410">
        <f t="shared" si="21"/>
        <v>225</v>
      </c>
      <c r="M38" s="411">
        <f>$M$33*LOOKUP(-A38,scaling_scaleList,scaling_multiplierList)</f>
        <v>0.22</v>
      </c>
    </row>
    <row r="39">
      <c r="A39" s="300">
        <f t="shared" si="12"/>
        <v>6</v>
      </c>
      <c r="B39" s="379">
        <f>LOOKUP($A39,scaling_scaleList,scaling_multiplierList)</f>
        <v>6</v>
      </c>
      <c r="C39" s="412">
        <f t="shared" si="13"/>
        <v>30</v>
      </c>
      <c r="D39" s="413">
        <f t="shared" si="14"/>
        <v>360</v>
      </c>
      <c r="E39" s="352" t="str">
        <f t="shared" si="4"/>
        <v>30' 0"</v>
      </c>
      <c r="F39" s="414">
        <f t="shared" si="15"/>
        <v>9</v>
      </c>
      <c r="G39" s="415">
        <f t="shared" si="16"/>
        <v>900</v>
      </c>
      <c r="H39" s="416">
        <f t="shared" si="17"/>
        <v>9000</v>
      </c>
      <c r="I39" s="417">
        <f t="shared" si="18"/>
        <v>720</v>
      </c>
      <c r="J39" s="418">
        <f t="shared" si="19"/>
        <v>360</v>
      </c>
      <c r="K39" s="419">
        <f t="shared" si="20"/>
        <v>600</v>
      </c>
      <c r="L39" s="420">
        <f t="shared" si="21"/>
        <v>300</v>
      </c>
      <c r="M39" s="421">
        <f>$M$33*LOOKUP(-A39,scaling_scaleList,scaling_multiplierList)</f>
        <v>0.16</v>
      </c>
    </row>
    <row r="40">
      <c r="A40" s="313">
        <f t="shared" si="12"/>
        <v>7</v>
      </c>
      <c r="B40" s="375">
        <f>LOOKUP($A40,scaling_scaleList,scaling_multiplierList)</f>
        <v>8</v>
      </c>
      <c r="C40" s="402">
        <f t="shared" si="13"/>
        <v>40</v>
      </c>
      <c r="D40" s="403">
        <f t="shared" si="14"/>
        <v>480</v>
      </c>
      <c r="E40" s="354" t="str">
        <f t="shared" si="4"/>
        <v>40' 0"</v>
      </c>
      <c r="F40" s="404">
        <f t="shared" si="15"/>
        <v>12</v>
      </c>
      <c r="G40" s="405">
        <f t="shared" si="16"/>
        <v>1200</v>
      </c>
      <c r="H40" s="406">
        <f t="shared" si="17"/>
        <v>12000</v>
      </c>
      <c r="I40" s="407">
        <f t="shared" si="18"/>
        <v>960</v>
      </c>
      <c r="J40" s="408">
        <f t="shared" si="19"/>
        <v>480</v>
      </c>
      <c r="K40" s="409">
        <f t="shared" si="20"/>
        <v>800</v>
      </c>
      <c r="L40" s="410">
        <f t="shared" si="21"/>
        <v>400</v>
      </c>
      <c r="M40" s="411">
        <f>$M$33*LOOKUP(-A40,scaling_scaleList,scaling_multiplierList)</f>
        <v>0.125</v>
      </c>
    </row>
    <row r="41">
      <c r="A41" s="300">
        <f t="shared" si="12"/>
        <v>8</v>
      </c>
      <c r="B41" s="379">
        <f>LOOKUP($A41,scaling_scaleList,scaling_multiplierList)</f>
        <v>11</v>
      </c>
      <c r="C41" s="412">
        <f t="shared" si="13"/>
        <v>55</v>
      </c>
      <c r="D41" s="413">
        <f t="shared" si="14"/>
        <v>660</v>
      </c>
      <c r="E41" s="352" t="str">
        <f t="shared" si="4"/>
        <v>55' 0"</v>
      </c>
      <c r="F41" s="414">
        <f t="shared" si="15"/>
        <v>16.5</v>
      </c>
      <c r="G41" s="415">
        <f t="shared" si="16"/>
        <v>1650</v>
      </c>
      <c r="H41" s="416">
        <f t="shared" si="17"/>
        <v>16500</v>
      </c>
      <c r="I41" s="417">
        <f t="shared" si="18"/>
        <v>1320</v>
      </c>
      <c r="J41" s="418">
        <f t="shared" si="19"/>
        <v>660</v>
      </c>
      <c r="K41" s="419">
        <f t="shared" si="20"/>
        <v>1100</v>
      </c>
      <c r="L41" s="420">
        <f t="shared" si="21"/>
        <v>550</v>
      </c>
      <c r="M41" s="421">
        <f>$M$33*LOOKUP(-A41,scaling_scaleList,scaling_multiplierList)</f>
        <v>0.09</v>
      </c>
    </row>
    <row r="42">
      <c r="A42" s="313">
        <f t="shared" si="12"/>
        <v>9</v>
      </c>
      <c r="B42" s="375">
        <f>LOOKUP($A42,scaling_scaleList,scaling_multiplierList)</f>
        <v>15</v>
      </c>
      <c r="C42" s="402">
        <f t="shared" si="13"/>
        <v>75</v>
      </c>
      <c r="D42" s="403">
        <f t="shared" si="14"/>
        <v>900</v>
      </c>
      <c r="E42" s="354" t="str">
        <f t="shared" si="4"/>
        <v>75' 0"</v>
      </c>
      <c r="F42" s="404">
        <f t="shared" si="15"/>
        <v>22.5</v>
      </c>
      <c r="G42" s="405">
        <f t="shared" si="16"/>
        <v>2250</v>
      </c>
      <c r="H42" s="406">
        <f t="shared" si="17"/>
        <v>22500</v>
      </c>
      <c r="I42" s="407">
        <f t="shared" si="18"/>
        <v>1800</v>
      </c>
      <c r="J42" s="408">
        <f t="shared" si="19"/>
        <v>900</v>
      </c>
      <c r="K42" s="409">
        <f t="shared" si="20"/>
        <v>1500</v>
      </c>
      <c r="L42" s="410">
        <f t="shared" si="21"/>
        <v>750</v>
      </c>
      <c r="M42" s="411">
        <f>$M$33*LOOKUP(-A42,scaling_scaleList,scaling_multiplierList)</f>
        <v>0.067</v>
      </c>
    </row>
    <row r="43">
      <c r="A43" s="300">
        <f t="shared" si="12"/>
        <v>10</v>
      </c>
      <c r="B43" s="379">
        <f>LOOKUP($A43,scaling_scaleList,scaling_multiplierList)</f>
        <v>20</v>
      </c>
      <c r="C43" s="412">
        <f t="shared" si="13"/>
        <v>100</v>
      </c>
      <c r="D43" s="413">
        <f t="shared" si="14"/>
        <v>1200</v>
      </c>
      <c r="E43" s="352" t="str">
        <f t="shared" si="4"/>
        <v>100' 0"</v>
      </c>
      <c r="F43" s="414">
        <f t="shared" si="15"/>
        <v>30</v>
      </c>
      <c r="G43" s="415">
        <f t="shared" si="16"/>
        <v>3000</v>
      </c>
      <c r="H43" s="416">
        <f t="shared" si="17"/>
        <v>30000</v>
      </c>
      <c r="I43" s="417">
        <f t="shared" si="18"/>
        <v>2400</v>
      </c>
      <c r="J43" s="418">
        <f t="shared" si="19"/>
        <v>1200</v>
      </c>
      <c r="K43" s="419">
        <f t="shared" si="20"/>
        <v>2000</v>
      </c>
      <c r="L43" s="420">
        <f t="shared" si="21"/>
        <v>1000</v>
      </c>
      <c r="M43" s="421">
        <f>$M$33*LOOKUP(-A43,scaling_scaleList,scaling_multiplierList)</f>
        <v>0.05</v>
      </c>
    </row>
    <row r="44">
      <c r="A44" s="313">
        <f t="shared" si="12"/>
        <v>11</v>
      </c>
      <c r="B44" s="375">
        <f>LOOKUP($A44,scaling_scaleList,scaling_multiplierList)</f>
        <v>25</v>
      </c>
      <c r="C44" s="402">
        <f t="shared" si="13"/>
        <v>125</v>
      </c>
      <c r="D44" s="403">
        <f t="shared" si="14"/>
        <v>1500</v>
      </c>
      <c r="E44" s="354" t="str">
        <f t="shared" si="4"/>
        <v>125' 0"</v>
      </c>
      <c r="F44" s="404">
        <f t="shared" si="15"/>
        <v>37.5</v>
      </c>
      <c r="G44" s="405">
        <f t="shared" si="16"/>
        <v>3750</v>
      </c>
      <c r="H44" s="406">
        <f t="shared" si="17"/>
        <v>37500</v>
      </c>
      <c r="I44" s="407">
        <f t="shared" si="18"/>
        <v>3000</v>
      </c>
      <c r="J44" s="408">
        <f t="shared" si="19"/>
        <v>1500</v>
      </c>
      <c r="K44" s="409">
        <f t="shared" si="20"/>
        <v>2500</v>
      </c>
      <c r="L44" s="410">
        <f t="shared" si="21"/>
        <v>1250</v>
      </c>
      <c r="M44" s="411">
        <f>$M$33*LOOKUP(-A44,scaling_scaleList,scaling_multiplierList)</f>
        <v>0.04</v>
      </c>
    </row>
    <row r="45">
      <c r="A45" s="300">
        <f t="shared" si="12"/>
        <v>12</v>
      </c>
      <c r="B45" s="379">
        <f>LOOKUP($A45,scaling_scaleList,scaling_multiplierList)</f>
        <v>35</v>
      </c>
      <c r="C45" s="412">
        <f t="shared" si="13"/>
        <v>175</v>
      </c>
      <c r="D45" s="413">
        <f t="shared" si="14"/>
        <v>2100</v>
      </c>
      <c r="E45" s="352" t="str">
        <f t="shared" si="4"/>
        <v>175' 0"</v>
      </c>
      <c r="F45" s="414">
        <f t="shared" si="15"/>
        <v>52.5</v>
      </c>
      <c r="G45" s="415">
        <f t="shared" si="16"/>
        <v>5250</v>
      </c>
      <c r="H45" s="416">
        <f t="shared" si="17"/>
        <v>52500</v>
      </c>
      <c r="I45" s="417">
        <f t="shared" si="18"/>
        <v>4200</v>
      </c>
      <c r="J45" s="418">
        <f t="shared" si="19"/>
        <v>2100</v>
      </c>
      <c r="K45" s="419">
        <f t="shared" si="20"/>
        <v>3500</v>
      </c>
      <c r="L45" s="420">
        <f t="shared" si="21"/>
        <v>1750</v>
      </c>
      <c r="M45" s="421">
        <f>$M$33*LOOKUP(-A45,scaling_scaleList,scaling_multiplierList)</f>
        <v>0.03</v>
      </c>
    </row>
    <row r="46">
      <c r="A46" s="313">
        <f t="shared" si="12"/>
        <v>13</v>
      </c>
      <c r="B46" s="375">
        <f>LOOKUP($A46,scaling_scaleList,scaling_multiplierList)</f>
        <v>50</v>
      </c>
      <c r="C46" s="402">
        <f t="shared" si="13"/>
        <v>250</v>
      </c>
      <c r="D46" s="403">
        <f t="shared" si="14"/>
        <v>3000</v>
      </c>
      <c r="E46" s="354" t="str">
        <f t="shared" si="4"/>
        <v>250' 0"</v>
      </c>
      <c r="F46" s="404">
        <f t="shared" si="15"/>
        <v>75</v>
      </c>
      <c r="G46" s="405">
        <f t="shared" si="16"/>
        <v>7500</v>
      </c>
      <c r="H46" s="406">
        <f t="shared" si="17"/>
        <v>75000</v>
      </c>
      <c r="I46" s="407">
        <f t="shared" si="18"/>
        <v>6000</v>
      </c>
      <c r="J46" s="408">
        <f t="shared" si="19"/>
        <v>3000</v>
      </c>
      <c r="K46" s="409">
        <f t="shared" si="20"/>
        <v>5000</v>
      </c>
      <c r="L46" s="410">
        <f t="shared" si="21"/>
        <v>2500</v>
      </c>
      <c r="M46" s="411">
        <f>$M$33*LOOKUP(-A46,scaling_scaleList,scaling_multiplierList)</f>
        <v>0.02</v>
      </c>
    </row>
    <row r="47">
      <c r="A47" s="300">
        <f t="shared" si="12"/>
        <v>14</v>
      </c>
      <c r="B47" s="379">
        <f>LOOKUP($A47,scaling_scaleList,scaling_multiplierList)</f>
        <v>65</v>
      </c>
      <c r="C47" s="412">
        <f t="shared" si="13"/>
        <v>325</v>
      </c>
      <c r="D47" s="413">
        <f t="shared" si="14"/>
        <v>3900</v>
      </c>
      <c r="E47" s="352" t="str">
        <f t="shared" si="4"/>
        <v>325' 0"</v>
      </c>
      <c r="F47" s="414">
        <f t="shared" si="15"/>
        <v>97.5</v>
      </c>
      <c r="G47" s="415">
        <f t="shared" si="16"/>
        <v>9750</v>
      </c>
      <c r="H47" s="416">
        <f t="shared" si="17"/>
        <v>97500</v>
      </c>
      <c r="I47" s="417">
        <f t="shared" si="18"/>
        <v>7800</v>
      </c>
      <c r="J47" s="418">
        <f t="shared" si="19"/>
        <v>3900</v>
      </c>
      <c r="K47" s="419">
        <f t="shared" si="20"/>
        <v>6500</v>
      </c>
      <c r="L47" s="420">
        <f t="shared" si="21"/>
        <v>3250</v>
      </c>
      <c r="M47" s="421">
        <f>$M$33*LOOKUP(-A47,scaling_scaleList,scaling_multiplierList)</f>
        <v>0.015</v>
      </c>
    </row>
    <row r="48">
      <c r="A48" s="313">
        <f t="shared" si="12"/>
        <v>15</v>
      </c>
      <c r="B48" s="375">
        <f>LOOKUP($A48,scaling_scaleList,scaling_multiplierList)</f>
        <v>90</v>
      </c>
      <c r="C48" s="402">
        <f t="shared" si="13"/>
        <v>450</v>
      </c>
      <c r="D48" s="403">
        <f t="shared" si="14"/>
        <v>5400</v>
      </c>
      <c r="E48" s="354" t="str">
        <f t="shared" si="4"/>
        <v>450' 0"</v>
      </c>
      <c r="F48" s="404">
        <f t="shared" si="15"/>
        <v>135</v>
      </c>
      <c r="G48" s="405">
        <f t="shared" si="16"/>
        <v>13500</v>
      </c>
      <c r="H48" s="406">
        <f t="shared" si="17"/>
        <v>135000</v>
      </c>
      <c r="I48" s="407">
        <f t="shared" si="18"/>
        <v>10800</v>
      </c>
      <c r="J48" s="408">
        <f t="shared" si="19"/>
        <v>5400</v>
      </c>
      <c r="K48" s="409">
        <f t="shared" si="20"/>
        <v>9000</v>
      </c>
      <c r="L48" s="410">
        <f t="shared" si="21"/>
        <v>4500</v>
      </c>
      <c r="M48" s="411">
        <f>$M$33*LOOKUP(-A48,scaling_scaleList,scaling_multiplierList)</f>
        <v>0.011</v>
      </c>
    </row>
    <row r="49">
      <c r="A49" s="300">
        <f t="shared" si="12"/>
        <v>16</v>
      </c>
      <c r="B49" s="379">
        <f>LOOKUP($A49,scaling_scaleList,scaling_multiplierList)</f>
        <v>120</v>
      </c>
      <c r="C49" s="412">
        <f t="shared" si="13"/>
        <v>600</v>
      </c>
      <c r="D49" s="413">
        <f t="shared" si="14"/>
        <v>7200</v>
      </c>
      <c r="E49" s="352" t="str">
        <f t="shared" si="4"/>
        <v>600' 0"</v>
      </c>
      <c r="F49" s="414">
        <f t="shared" si="15"/>
        <v>180</v>
      </c>
      <c r="G49" s="415">
        <f t="shared" si="16"/>
        <v>18000</v>
      </c>
      <c r="H49" s="416">
        <f t="shared" si="17"/>
        <v>180000</v>
      </c>
      <c r="I49" s="417">
        <f t="shared" si="18"/>
        <v>14400</v>
      </c>
      <c r="J49" s="418">
        <f t="shared" si="19"/>
        <v>7200</v>
      </c>
      <c r="K49" s="419">
        <f t="shared" si="20"/>
        <v>12000</v>
      </c>
      <c r="L49" s="420">
        <f t="shared" si="21"/>
        <v>6000</v>
      </c>
      <c r="M49" s="421">
        <f>$M$33*LOOKUP(-A49,scaling_scaleList,scaling_multiplierList)</f>
        <v>0.0085</v>
      </c>
    </row>
    <row r="50">
      <c r="A50" s="313">
        <f t="shared" si="12"/>
        <v>17</v>
      </c>
      <c r="B50" s="375">
        <f>LOOKUP($A50,scaling_scaleList,scaling_multiplierList)</f>
        <v>160</v>
      </c>
      <c r="C50" s="402">
        <f t="shared" si="13"/>
        <v>800</v>
      </c>
      <c r="D50" s="403">
        <f t="shared" si="14"/>
        <v>9600</v>
      </c>
      <c r="E50" s="354" t="str">
        <f t="shared" si="4"/>
        <v>800' 0"</v>
      </c>
      <c r="F50" s="404">
        <f t="shared" si="15"/>
        <v>240</v>
      </c>
      <c r="G50" s="405">
        <f t="shared" si="16"/>
        <v>24000</v>
      </c>
      <c r="H50" s="406">
        <f t="shared" si="17"/>
        <v>240000</v>
      </c>
      <c r="I50" s="407">
        <f t="shared" si="18"/>
        <v>19200</v>
      </c>
      <c r="J50" s="408">
        <f t="shared" si="19"/>
        <v>9600</v>
      </c>
      <c r="K50" s="409">
        <f t="shared" si="20"/>
        <v>16000</v>
      </c>
      <c r="L50" s="410">
        <f t="shared" si="21"/>
        <v>8000</v>
      </c>
      <c r="M50" s="411">
        <f>$M$33*LOOKUP(-A50,scaling_scaleList,scaling_multiplierList)</f>
        <v>0.0063</v>
      </c>
    </row>
    <row r="51">
      <c r="A51" s="300">
        <f t="shared" si="12"/>
        <v>18</v>
      </c>
      <c r="B51" s="379">
        <f>LOOKUP($A51,scaling_scaleList,scaling_multiplierList)</f>
        <v>220</v>
      </c>
      <c r="C51" s="412">
        <f t="shared" si="13"/>
        <v>1100</v>
      </c>
      <c r="D51" s="413">
        <f t="shared" si="14"/>
        <v>13200</v>
      </c>
      <c r="E51" s="352" t="str">
        <f t="shared" si="4"/>
        <v>1100' 0"</v>
      </c>
      <c r="F51" s="414">
        <f t="shared" si="15"/>
        <v>330</v>
      </c>
      <c r="G51" s="415">
        <f t="shared" si="16"/>
        <v>33000</v>
      </c>
      <c r="H51" s="416">
        <f t="shared" si="17"/>
        <v>330000</v>
      </c>
      <c r="I51" s="417">
        <f t="shared" si="18"/>
        <v>26400</v>
      </c>
      <c r="J51" s="418">
        <f t="shared" si="19"/>
        <v>13200</v>
      </c>
      <c r="K51" s="419">
        <f t="shared" si="20"/>
        <v>22000</v>
      </c>
      <c r="L51" s="420">
        <f t="shared" si="21"/>
        <v>11000</v>
      </c>
      <c r="M51" s="421">
        <f>$M$33*LOOKUP(-A51,scaling_scaleList,scaling_multiplierList)</f>
        <v>0.0045</v>
      </c>
    </row>
    <row r="52">
      <c r="A52" s="313">
        <f t="shared" si="12"/>
        <v>19</v>
      </c>
      <c r="B52" s="375">
        <f>LOOKUP($A52,scaling_scaleList,scaling_multiplierList)</f>
        <v>300</v>
      </c>
      <c r="C52" s="402">
        <f t="shared" si="13"/>
        <v>1500</v>
      </c>
      <c r="D52" s="403">
        <f t="shared" si="14"/>
        <v>18000</v>
      </c>
      <c r="E52" s="354" t="str">
        <f t="shared" si="4"/>
        <v>1500' 0"</v>
      </c>
      <c r="F52" s="404">
        <f t="shared" si="15"/>
        <v>450</v>
      </c>
      <c r="G52" s="405">
        <f t="shared" si="16"/>
        <v>45000</v>
      </c>
      <c r="H52" s="406">
        <f t="shared" si="17"/>
        <v>450000</v>
      </c>
      <c r="I52" s="407">
        <f t="shared" si="18"/>
        <v>36000</v>
      </c>
      <c r="J52" s="408">
        <f t="shared" si="19"/>
        <v>18000</v>
      </c>
      <c r="K52" s="409">
        <f t="shared" si="20"/>
        <v>30000</v>
      </c>
      <c r="L52" s="410">
        <f t="shared" si="21"/>
        <v>15000</v>
      </c>
      <c r="M52" s="411">
        <f>$M$33*LOOKUP(-A52,scaling_scaleList,scaling_multiplierList)</f>
        <v>0.0033</v>
      </c>
    </row>
    <row r="53">
      <c r="A53" s="300">
        <f t="shared" si="12"/>
        <v>20</v>
      </c>
      <c r="B53" s="379">
        <f>LOOKUP($A53,scaling_scaleList,scaling_multiplierList)</f>
        <v>400</v>
      </c>
      <c r="C53" s="412">
        <f t="shared" si="13"/>
        <v>2000</v>
      </c>
      <c r="D53" s="413">
        <f t="shared" si="14"/>
        <v>24000</v>
      </c>
      <c r="E53" s="352" t="str">
        <f t="shared" si="4"/>
        <v>2000' 0"</v>
      </c>
      <c r="F53" s="414">
        <f t="shared" si="15"/>
        <v>600</v>
      </c>
      <c r="G53" s="415">
        <f t="shared" si="16"/>
        <v>60000</v>
      </c>
      <c r="H53" s="416">
        <f t="shared" si="17"/>
        <v>600000</v>
      </c>
      <c r="I53" s="417">
        <f t="shared" si="18"/>
        <v>48000</v>
      </c>
      <c r="J53" s="418">
        <f t="shared" si="19"/>
        <v>24000</v>
      </c>
      <c r="K53" s="419">
        <f t="shared" si="20"/>
        <v>40000</v>
      </c>
      <c r="L53" s="420">
        <f t="shared" si="21"/>
        <v>20000</v>
      </c>
      <c r="M53" s="421">
        <f>$M$33*LOOKUP(-A53,scaling_scaleList,scaling_multiplierList)</f>
        <v>0.0025</v>
      </c>
    </row>
    <row r="54">
      <c r="A54" s="313">
        <f t="shared" si="12"/>
        <v>21</v>
      </c>
      <c r="B54" s="375">
        <f>LOOKUP($A54,scaling_scaleList,scaling_multiplierList)</f>
        <v>550</v>
      </c>
      <c r="C54" s="402">
        <f t="shared" si="13"/>
        <v>2750</v>
      </c>
      <c r="D54" s="403">
        <f t="shared" si="14"/>
        <v>33000</v>
      </c>
      <c r="E54" s="354" t="str">
        <f t="shared" si="4"/>
        <v>2750' 0"</v>
      </c>
      <c r="F54" s="404">
        <f t="shared" si="15"/>
        <v>825</v>
      </c>
      <c r="G54" s="405">
        <f t="shared" si="16"/>
        <v>82500</v>
      </c>
      <c r="H54" s="406">
        <f t="shared" si="17"/>
        <v>825000</v>
      </c>
      <c r="I54" s="407">
        <f t="shared" si="18"/>
        <v>66000</v>
      </c>
      <c r="J54" s="408">
        <f t="shared" si="19"/>
        <v>33000</v>
      </c>
      <c r="K54" s="409">
        <f t="shared" si="20"/>
        <v>55000</v>
      </c>
      <c r="L54" s="410">
        <f t="shared" si="21"/>
        <v>27500</v>
      </c>
      <c r="M54" s="411">
        <f>$M$33*LOOKUP(-A54,scaling_scaleList,scaling_multiplierList)</f>
        <v>0.0018</v>
      </c>
    </row>
    <row r="55">
      <c r="A55" s="300">
        <f t="shared" si="12"/>
        <v>22</v>
      </c>
      <c r="B55" s="379">
        <f>LOOKUP($A55,scaling_scaleList,scaling_multiplierList)</f>
        <v>750</v>
      </c>
      <c r="C55" s="412">
        <f t="shared" si="13"/>
        <v>3750</v>
      </c>
      <c r="D55" s="413">
        <f t="shared" si="14"/>
        <v>45000</v>
      </c>
      <c r="E55" s="352" t="str">
        <f t="shared" si="4"/>
        <v>3750' 0"</v>
      </c>
      <c r="F55" s="414">
        <f t="shared" si="15"/>
        <v>1125</v>
      </c>
      <c r="G55" s="415">
        <f t="shared" si="16"/>
        <v>112500</v>
      </c>
      <c r="H55" s="416">
        <f t="shared" si="17"/>
        <v>1125000</v>
      </c>
      <c r="I55" s="417">
        <f t="shared" si="18"/>
        <v>90000</v>
      </c>
      <c r="J55" s="418">
        <f t="shared" si="19"/>
        <v>45000</v>
      </c>
      <c r="K55" s="419">
        <f t="shared" si="20"/>
        <v>75000</v>
      </c>
      <c r="L55" s="420">
        <f t="shared" si="21"/>
        <v>37500</v>
      </c>
      <c r="M55" s="421">
        <f>$M$33*LOOKUP(-A55,scaling_scaleList,scaling_multiplierList)</f>
        <v>0.0013</v>
      </c>
    </row>
    <row r="56">
      <c r="A56" s="313">
        <f t="shared" si="12"/>
        <v>23</v>
      </c>
      <c r="B56" s="375">
        <f>LOOKUP($A56,scaling_scaleList,scaling_multiplierList)</f>
        <v>1000</v>
      </c>
      <c r="C56" s="402">
        <f t="shared" si="13"/>
        <v>5000</v>
      </c>
      <c r="D56" s="403">
        <f t="shared" si="14"/>
        <v>60000</v>
      </c>
      <c r="E56" s="354" t="str">
        <f t="shared" si="4"/>
        <v>5000' 0"</v>
      </c>
      <c r="F56" s="404">
        <f t="shared" si="15"/>
        <v>1500</v>
      </c>
      <c r="G56" s="405">
        <f t="shared" si="16"/>
        <v>150000</v>
      </c>
      <c r="H56" s="406">
        <f t="shared" si="17"/>
        <v>1500000</v>
      </c>
      <c r="I56" s="407">
        <f t="shared" si="18"/>
        <v>120000</v>
      </c>
      <c r="J56" s="408">
        <f t="shared" si="19"/>
        <v>60000</v>
      </c>
      <c r="K56" s="409">
        <f t="shared" si="20"/>
        <v>100000</v>
      </c>
      <c r="L56" s="410">
        <f t="shared" si="21"/>
        <v>50000</v>
      </c>
      <c r="M56" s="411">
        <f>$M$33*LOOKUP(-A56,scaling_scaleList,scaling_multiplierList)</f>
        <v>0.001</v>
      </c>
    </row>
    <row r="57">
      <c r="A57" s="300">
        <f t="shared" si="12"/>
        <v>24</v>
      </c>
      <c r="B57" s="379">
        <f>LOOKUP($A57,scaling_scaleList,scaling_multiplierList)</f>
        <v>1350</v>
      </c>
      <c r="C57" s="412">
        <f t="shared" si="13"/>
        <v>6750</v>
      </c>
      <c r="D57" s="413">
        <f t="shared" si="14"/>
        <v>81000</v>
      </c>
      <c r="E57" s="352" t="str">
        <f t="shared" si="4"/>
        <v>6750' 0"</v>
      </c>
      <c r="F57" s="414">
        <f t="shared" si="15"/>
        <v>2025</v>
      </c>
      <c r="G57" s="415">
        <f t="shared" si="16"/>
        <v>202500</v>
      </c>
      <c r="H57" s="416">
        <f t="shared" si="17"/>
        <v>2025000</v>
      </c>
      <c r="I57" s="417">
        <f t="shared" si="18"/>
        <v>162000</v>
      </c>
      <c r="J57" s="418">
        <f t="shared" si="19"/>
        <v>81000</v>
      </c>
      <c r="K57" s="419">
        <f t="shared" si="20"/>
        <v>135000</v>
      </c>
      <c r="L57" s="420">
        <f t="shared" si="21"/>
        <v>67500</v>
      </c>
      <c r="M57" s="421">
        <f>$M$33*LOOKUP(-A57,scaling_scaleList,scaling_multiplierList)</f>
        <v>0.00075</v>
      </c>
    </row>
    <row r="58">
      <c r="A58" s="313">
        <f t="shared" si="12"/>
        <v>25</v>
      </c>
      <c r="B58" s="375">
        <f>LOOKUP($A58,scaling_scaleList,scaling_multiplierList)</f>
        <v>1800</v>
      </c>
      <c r="C58" s="402">
        <f t="shared" si="13"/>
        <v>9000</v>
      </c>
      <c r="D58" s="403">
        <f t="shared" si="14"/>
        <v>108000</v>
      </c>
      <c r="E58" s="354" t="str">
        <f t="shared" si="4"/>
        <v>9000' 0"</v>
      </c>
      <c r="F58" s="404">
        <f t="shared" si="15"/>
        <v>2700</v>
      </c>
      <c r="G58" s="405">
        <f t="shared" si="16"/>
        <v>270000</v>
      </c>
      <c r="H58" s="406">
        <f t="shared" si="17"/>
        <v>2700000</v>
      </c>
      <c r="I58" s="407">
        <f t="shared" si="18"/>
        <v>216000</v>
      </c>
      <c r="J58" s="408">
        <f t="shared" si="19"/>
        <v>108000</v>
      </c>
      <c r="K58" s="409">
        <f t="shared" si="20"/>
        <v>180000</v>
      </c>
      <c r="L58" s="410">
        <f t="shared" si="21"/>
        <v>90000</v>
      </c>
      <c r="M58" s="411">
        <f>$M$33*LOOKUP(-A58,scaling_scaleList,scaling_multiplierList)</f>
        <v>0.00055</v>
      </c>
    </row>
    <row r="59" ht="30.0" customHeight="1">
      <c r="A59" s="387" t="str">
        <f>systemData_copyrightMessage</f>
        <v>Fractal RPG v0.5.0.0 (Squishy Meatloaf | Pantsless Robot) 2019 - 202X SparkliTwizzl
Licensed under CC BY-NC-SA 4.0</v>
      </c>
      <c r="B59" s="388"/>
      <c r="C59" s="388"/>
      <c r="D59" s="388"/>
      <c r="E59" s="388"/>
      <c r="F59" s="388"/>
      <c r="G59" s="388"/>
      <c r="H59" s="388"/>
      <c r="I59" s="388"/>
      <c r="J59" s="388"/>
      <c r="K59" s="388"/>
      <c r="L59" s="388"/>
      <c r="M59" s="388"/>
    </row>
  </sheetData>
  <mergeCells count="9">
    <mergeCell ref="A7:B7"/>
    <mergeCell ref="A59:M59"/>
    <mergeCell ref="A1:B2"/>
    <mergeCell ref="C1:L1"/>
    <mergeCell ref="C2:L2"/>
    <mergeCell ref="F3:I3"/>
    <mergeCell ref="C5:H5"/>
    <mergeCell ref="I5:J5"/>
    <mergeCell ref="K5:L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5.13"/>
  </cols>
  <sheetData>
    <row r="1" ht="75.0" customHeight="1">
      <c r="A1" s="2" t="str">
        <f>systemData_systemLogo</f>
        <v/>
      </c>
    </row>
    <row r="2">
      <c r="A2" s="2" t="str">
        <f>systemData_versionTitle_full</f>
        <v>Fractal RPG v0.5.0.0 (Squishy Meatloaf | Pantsless Robot)</v>
      </c>
    </row>
    <row r="3">
      <c r="A3" s="435" t="str">
        <f>systemData_versionYear_first&amp;" - "&amp;systemData_versionYear_latest&amp;" "&amp;systemData_copyrightHolder</f>
        <v>2019 - 202X SparkliTwizzl</v>
      </c>
    </row>
    <row r="4">
      <c r="A4" s="436" t="str">
        <f>systemData_systemName&amp;" is licensed under Creative Commons Attribution-NonCommercial-ShareAlike 4.0 International (CC BY-NC-SA 4.0).
You are free to do whatever you want with the system, as long as you abide by the terms of the license:"</f>
        <v>Fractal RPG is licensed under Creative Commons Attribution-NonCommercial-ShareAlike 4.0 International (CC BY-NC-SA 4.0).
You are free to do whatever you want with the system, as long as you abide by the terms of the license:</v>
      </c>
    </row>
    <row r="5">
      <c r="A5" s="437" t="s">
        <v>75</v>
      </c>
    </row>
    <row r="6">
      <c r="A6" s="438"/>
    </row>
  </sheetData>
  <hyperlinks>
    <hyperlink r:id="rId1" ref="A5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3" width="25.13"/>
    <col customWidth="1" min="4" max="4" width="12.63"/>
    <col customWidth="1" min="5" max="5" width="125.13"/>
  </cols>
  <sheetData>
    <row r="1">
      <c r="A1" s="439" t="s">
        <v>76</v>
      </c>
      <c r="B1" s="439" t="s">
        <v>77</v>
      </c>
      <c r="C1" s="440" t="s">
        <v>78</v>
      </c>
      <c r="D1" s="441" t="s">
        <v>79</v>
      </c>
      <c r="E1" s="441" t="s">
        <v>80</v>
      </c>
    </row>
    <row r="2">
      <c r="A2" s="442" t="s">
        <v>81</v>
      </c>
      <c r="B2" s="442" t="s">
        <v>82</v>
      </c>
      <c r="C2" s="443" t="s">
        <v>83</v>
      </c>
      <c r="D2" s="443" t="s">
        <v>84</v>
      </c>
      <c r="E2" s="444"/>
    </row>
    <row r="3">
      <c r="A3" s="442" t="s">
        <v>85</v>
      </c>
      <c r="B3" s="442" t="s">
        <v>82</v>
      </c>
      <c r="C3" s="443" t="s">
        <v>86</v>
      </c>
      <c r="D3" s="445">
        <v>44237.0</v>
      </c>
      <c r="E3" s="446" t="s">
        <v>87</v>
      </c>
    </row>
    <row r="4">
      <c r="A4" s="442" t="s">
        <v>88</v>
      </c>
      <c r="B4" s="442" t="s">
        <v>82</v>
      </c>
      <c r="C4" s="443" t="s">
        <v>89</v>
      </c>
      <c r="D4" s="445">
        <v>44167.0</v>
      </c>
      <c r="E4" s="447" t="s">
        <v>90</v>
      </c>
    </row>
    <row r="5">
      <c r="A5" s="442" t="s">
        <v>91</v>
      </c>
      <c r="B5" s="442" t="s">
        <v>82</v>
      </c>
      <c r="C5" s="443" t="s">
        <v>92</v>
      </c>
      <c r="D5" s="445">
        <v>43657.0</v>
      </c>
      <c r="E5" s="447" t="s">
        <v>93</v>
      </c>
    </row>
    <row r="6">
      <c r="A6" s="442" t="s">
        <v>94</v>
      </c>
      <c r="B6" s="442" t="s">
        <v>82</v>
      </c>
      <c r="C6" s="443" t="s">
        <v>95</v>
      </c>
      <c r="D6" s="445">
        <v>43579.0</v>
      </c>
      <c r="E6" s="448" t="s">
        <v>96</v>
      </c>
    </row>
    <row r="7">
      <c r="A7" s="449" t="s">
        <v>97</v>
      </c>
      <c r="B7" s="449" t="s">
        <v>82</v>
      </c>
      <c r="C7" s="450" t="s">
        <v>98</v>
      </c>
      <c r="D7" s="451">
        <v>43577.0</v>
      </c>
      <c r="E7" s="452" t="s">
        <v>99</v>
      </c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25.13"/>
  </cols>
  <sheetData>
    <row r="1">
      <c r="A1" s="453" t="s">
        <v>100</v>
      </c>
      <c r="B1" s="453" t="s">
        <v>101</v>
      </c>
    </row>
    <row r="2">
      <c r="A2" s="453" t="s">
        <v>102</v>
      </c>
      <c r="B2" s="454" t="s">
        <v>103</v>
      </c>
    </row>
  </sheetData>
  <hyperlinks>
    <hyperlink r:id="rId1" ref="B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2" max="2" width="62.63"/>
  </cols>
  <sheetData>
    <row r="1">
      <c r="A1" s="455" t="s">
        <v>104</v>
      </c>
      <c r="B1" s="456" t="s">
        <v>105</v>
      </c>
    </row>
    <row r="2">
      <c r="A2" s="457"/>
      <c r="B2" s="456" t="s">
        <v>106</v>
      </c>
    </row>
    <row r="3">
      <c r="A3" s="458" t="str">
        <f t="array" ref="A3">INDEX(changelog_versionNumbers_list,2)</f>
        <v>0.5.0.0</v>
      </c>
      <c r="B3" s="456" t="s">
        <v>107</v>
      </c>
    </row>
    <row r="4">
      <c r="A4" s="458" t="str">
        <f t="array" ref="A4">INDEX(changelog_editionNicknames_list,2)</f>
        <v>Squishy Meatloaf</v>
      </c>
      <c r="B4" s="456" t="s">
        <v>108</v>
      </c>
    </row>
    <row r="5">
      <c r="A5" s="458" t="str">
        <f t="array" ref="A5">INDEX(changelog_versionNicknames_list,2)</f>
        <v>Pantsless Robot</v>
      </c>
      <c r="B5" s="456" t="s">
        <v>109</v>
      </c>
    </row>
    <row r="6">
      <c r="A6" s="455" t="str">
        <f>LEFT(changelog_versionDate_first,4)</f>
        <v>2019</v>
      </c>
      <c r="B6" s="456" t="s">
        <v>110</v>
      </c>
    </row>
    <row r="7">
      <c r="A7" s="455" t="str">
        <f t="array" ref="A7">LEFT(INDEX(changelog_versionDates_list,2),4)</f>
        <v>202X</v>
      </c>
      <c r="B7" s="456" t="s">
        <v>111</v>
      </c>
    </row>
    <row r="8">
      <c r="A8" s="458" t="str">
        <f>systemData_systemName&amp;" v"&amp;systemData_versionNumber&amp;" ("&amp;systemData_versionNickname&amp;")"</f>
        <v>Fractal RPG v0.5.0.0 (Pantsless Robot)</v>
      </c>
      <c r="B8" s="456" t="s">
        <v>112</v>
      </c>
    </row>
    <row r="9">
      <c r="A9" s="455" t="str">
        <f>systemData_systemName&amp;" v"&amp;systemData_versionNumber&amp;" ("&amp;systemData_editionNickname&amp;" | "&amp;systemData_versionNickname&amp;")"</f>
        <v>Fractal RPG v0.5.0.0 (Squishy Meatloaf | Pantsless Robot)</v>
      </c>
      <c r="B9" s="456" t="s">
        <v>113</v>
      </c>
    </row>
    <row r="10">
      <c r="A10" s="455" t="s">
        <v>114</v>
      </c>
      <c r="B10" s="456" t="s">
        <v>115</v>
      </c>
    </row>
    <row r="11">
      <c r="A11" s="457" t="str">
        <f>systemData_versionTitle_full&amp;" "&amp;systemData_versionYear_first&amp;" - "&amp;systemData_versionYear_latest&amp;" "&amp;systemData_copyrightHolder
&amp;CHAR(10)&amp;"Licensed under CC BY-NC-SA 4.0"</f>
        <v>Fractal RPG v0.5.0.0 (Squishy Meatloaf | Pantsless Robot) 2019 - 202X SparkliTwizzl
Licensed under CC BY-NC-SA 4.0</v>
      </c>
      <c r="B11" s="456" t="s">
        <v>116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4" width="12.63"/>
  </cols>
  <sheetData>
    <row r="1">
      <c r="A1" s="459" t="s">
        <v>117</v>
      </c>
      <c r="B1" s="460" t="s">
        <v>118</v>
      </c>
      <c r="C1" s="460" t="s">
        <v>119</v>
      </c>
      <c r="D1" s="460" t="s">
        <v>120</v>
      </c>
    </row>
    <row r="2">
      <c r="A2" s="461" t="s">
        <v>121</v>
      </c>
      <c r="B2" s="462"/>
      <c r="C2" s="460">
        <v>0.0</v>
      </c>
      <c r="D2" s="460">
        <v>3.0</v>
      </c>
    </row>
    <row r="3">
      <c r="A3" s="463" t="s">
        <v>122</v>
      </c>
      <c r="B3" s="463" t="s">
        <v>123</v>
      </c>
      <c r="C3" s="464" t="s">
        <v>56</v>
      </c>
      <c r="D3" s="464" t="s">
        <v>56</v>
      </c>
    </row>
    <row r="4">
      <c r="A4" s="465" t="s">
        <v>124</v>
      </c>
      <c r="B4" s="465" t="s">
        <v>125</v>
      </c>
      <c r="C4" s="466">
        <v>0.0</v>
      </c>
      <c r="D4" s="466">
        <v>25.0</v>
      </c>
    </row>
    <row r="5">
      <c r="A5" s="467" t="s">
        <v>126</v>
      </c>
      <c r="B5" s="467" t="s">
        <v>127</v>
      </c>
      <c r="C5" s="468">
        <v>0.0</v>
      </c>
      <c r="D5" s="468">
        <v>25.0</v>
      </c>
    </row>
    <row r="6">
      <c r="A6" s="467" t="s">
        <v>128</v>
      </c>
      <c r="B6" s="467" t="s">
        <v>129</v>
      </c>
      <c r="C6" s="468">
        <v>0.0</v>
      </c>
      <c r="D6" s="468">
        <v>25.0</v>
      </c>
    </row>
    <row r="7">
      <c r="A7" s="469" t="s">
        <v>130</v>
      </c>
      <c r="B7" s="469" t="s">
        <v>131</v>
      </c>
      <c r="C7" s="470">
        <v>0.0</v>
      </c>
      <c r="D7" s="470">
        <v>12.0</v>
      </c>
    </row>
    <row r="8">
      <c r="A8" s="465" t="s">
        <v>132</v>
      </c>
      <c r="B8" s="465" t="s">
        <v>133</v>
      </c>
      <c r="C8" s="466" t="s">
        <v>56</v>
      </c>
      <c r="D8" s="466" t="s">
        <v>56</v>
      </c>
    </row>
    <row r="9">
      <c r="A9" s="469" t="s">
        <v>134</v>
      </c>
      <c r="B9" s="469" t="s">
        <v>135</v>
      </c>
      <c r="C9" s="470" t="s">
        <v>56</v>
      </c>
      <c r="D9" s="470" t="s">
        <v>56</v>
      </c>
    </row>
    <row r="10">
      <c r="A10" s="465" t="s">
        <v>136</v>
      </c>
      <c r="B10" s="465" t="s">
        <v>137</v>
      </c>
      <c r="C10" s="466">
        <v>0.0</v>
      </c>
      <c r="D10" s="466">
        <v>0.0</v>
      </c>
    </row>
    <row r="11">
      <c r="A11" s="467" t="s">
        <v>138</v>
      </c>
      <c r="B11" s="467" t="s">
        <v>139</v>
      </c>
      <c r="C11" s="468">
        <v>0.0</v>
      </c>
      <c r="D11" s="468">
        <v>0.0</v>
      </c>
    </row>
    <row r="12">
      <c r="A12" s="469" t="s">
        <v>140</v>
      </c>
      <c r="B12" s="469" t="s">
        <v>141</v>
      </c>
      <c r="C12" s="470">
        <v>0.0</v>
      </c>
      <c r="D12" s="470">
        <v>0.0</v>
      </c>
    </row>
    <row r="13">
      <c r="A13" s="471" t="s">
        <v>142</v>
      </c>
      <c r="B13" s="471" t="s">
        <v>143</v>
      </c>
      <c r="C13" s="472">
        <v>0.0</v>
      </c>
      <c r="D13" s="472">
        <v>1.35</v>
      </c>
    </row>
    <row r="14">
      <c r="A14" s="473"/>
      <c r="B14" s="473" t="s">
        <v>144</v>
      </c>
      <c r="C14" s="474">
        <v>0.0</v>
      </c>
      <c r="D14" s="474">
        <v>1.35</v>
      </c>
    </row>
    <row r="15">
      <c r="A15" s="475"/>
      <c r="B15" s="475" t="s">
        <v>145</v>
      </c>
      <c r="C15" s="476">
        <v>0.0</v>
      </c>
      <c r="D15" s="476">
        <v>1.35</v>
      </c>
    </row>
    <row r="16">
      <c r="A16" s="467" t="s">
        <v>146</v>
      </c>
      <c r="B16" s="467" t="s">
        <v>147</v>
      </c>
      <c r="C16" s="468">
        <v>0.0</v>
      </c>
      <c r="D16" s="468">
        <v>1.35</v>
      </c>
    </row>
    <row r="17">
      <c r="A17" s="467" t="s">
        <v>148</v>
      </c>
      <c r="B17" s="467" t="s">
        <v>149</v>
      </c>
      <c r="C17" s="468">
        <v>0.0</v>
      </c>
      <c r="D17" s="468">
        <v>1.35</v>
      </c>
    </row>
    <row r="18">
      <c r="A18" s="469" t="s">
        <v>150</v>
      </c>
      <c r="B18" s="469" t="s">
        <v>151</v>
      </c>
      <c r="C18" s="470">
        <v>0.0</v>
      </c>
      <c r="D18" s="470">
        <v>1.35</v>
      </c>
    </row>
  </sheetData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88"/>
  </cols>
  <sheetData>
    <row r="1">
      <c r="A1" s="477" t="s">
        <v>152</v>
      </c>
      <c r="B1" s="478" t="s">
        <v>153</v>
      </c>
    </row>
    <row r="2">
      <c r="A2" s="479">
        <v>-50.0</v>
      </c>
      <c r="B2" s="480">
        <v>3.0E-7</v>
      </c>
    </row>
    <row r="3">
      <c r="A3" s="479">
        <v>-49.0</v>
      </c>
      <c r="B3" s="480">
        <v>4.0000000000000003E-7</v>
      </c>
    </row>
    <row r="4">
      <c r="A4" s="479">
        <v>-48.0</v>
      </c>
      <c r="B4" s="480">
        <v>5.5E-7</v>
      </c>
    </row>
    <row r="5">
      <c r="A5" s="479">
        <v>-47.0</v>
      </c>
      <c r="B5" s="480">
        <v>7.5E-7</v>
      </c>
    </row>
    <row r="6">
      <c r="A6" s="479">
        <v>-46.0</v>
      </c>
      <c r="B6" s="480">
        <v>1.0E-6</v>
      </c>
    </row>
    <row r="7">
      <c r="A7" s="481">
        <v>-45.0</v>
      </c>
      <c r="B7" s="482">
        <v>1.2999999999999998E-6</v>
      </c>
    </row>
    <row r="8">
      <c r="A8" s="479">
        <v>-44.0</v>
      </c>
      <c r="B8" s="483">
        <v>1.8E-6</v>
      </c>
    </row>
    <row r="9">
      <c r="A9" s="479">
        <v>-43.0</v>
      </c>
      <c r="B9" s="483">
        <v>2.5E-6</v>
      </c>
    </row>
    <row r="10">
      <c r="A10" s="479">
        <v>-42.0</v>
      </c>
      <c r="B10" s="483">
        <v>3.3E-6</v>
      </c>
    </row>
    <row r="11">
      <c r="A11" s="479">
        <v>-41.0</v>
      </c>
      <c r="B11" s="483">
        <v>4.499999999999999E-6</v>
      </c>
    </row>
    <row r="12">
      <c r="A12" s="479">
        <v>-40.0</v>
      </c>
      <c r="B12" s="483">
        <v>6.3E-6</v>
      </c>
    </row>
    <row r="13">
      <c r="A13" s="479">
        <v>-39.0</v>
      </c>
      <c r="B13" s="483">
        <v>8.5E-6</v>
      </c>
    </row>
    <row r="14">
      <c r="A14" s="479">
        <v>-38.0</v>
      </c>
      <c r="B14" s="483">
        <v>1.1E-5</v>
      </c>
    </row>
    <row r="15">
      <c r="A15" s="479">
        <v>-37.0</v>
      </c>
      <c r="B15" s="483">
        <v>1.4999999999999999E-5</v>
      </c>
    </row>
    <row r="16">
      <c r="A16" s="479">
        <v>-36.0</v>
      </c>
      <c r="B16" s="483">
        <v>2.0E-5</v>
      </c>
    </row>
    <row r="17">
      <c r="A17" s="479">
        <v>-35.0</v>
      </c>
      <c r="B17" s="483">
        <v>2.9999999999999997E-5</v>
      </c>
    </row>
    <row r="18">
      <c r="A18" s="479">
        <v>-34.0</v>
      </c>
      <c r="B18" s="483">
        <v>4.0E-5</v>
      </c>
    </row>
    <row r="19">
      <c r="A19" s="479">
        <v>-33.0</v>
      </c>
      <c r="B19" s="483">
        <v>5.0E-5</v>
      </c>
    </row>
    <row r="20">
      <c r="A20" s="479">
        <v>-32.0</v>
      </c>
      <c r="B20" s="483">
        <v>6.7E-5</v>
      </c>
    </row>
    <row r="21">
      <c r="A21" s="479">
        <v>-31.0</v>
      </c>
      <c r="B21" s="483">
        <v>8.999999999999999E-5</v>
      </c>
    </row>
    <row r="22">
      <c r="A22" s="479">
        <v>-30.0</v>
      </c>
      <c r="B22" s="483">
        <v>1.25E-4</v>
      </c>
    </row>
    <row r="23">
      <c r="A23" s="479">
        <v>-29.0</v>
      </c>
      <c r="B23" s="483">
        <v>1.6E-4</v>
      </c>
    </row>
    <row r="24">
      <c r="A24" s="479">
        <v>-28.0</v>
      </c>
      <c r="B24" s="483">
        <v>2.2E-4</v>
      </c>
    </row>
    <row r="25">
      <c r="A25" s="479">
        <v>-27.0</v>
      </c>
      <c r="B25" s="483">
        <v>3.0E-4</v>
      </c>
    </row>
    <row r="26">
      <c r="A26" s="479">
        <v>-26.0</v>
      </c>
      <c r="B26" s="483">
        <v>4.0E-4</v>
      </c>
    </row>
    <row r="27">
      <c r="A27" s="479">
        <v>-25.0</v>
      </c>
      <c r="B27" s="483">
        <v>5.5E-4</v>
      </c>
    </row>
    <row r="28">
      <c r="A28" s="479">
        <v>-24.0</v>
      </c>
      <c r="B28" s="483">
        <v>7.5E-4</v>
      </c>
    </row>
    <row r="29">
      <c r="A29" s="479">
        <v>-23.0</v>
      </c>
      <c r="B29" s="483">
        <v>0.001</v>
      </c>
    </row>
    <row r="30">
      <c r="A30" s="481">
        <v>-22.0</v>
      </c>
      <c r="B30" s="484">
        <v>0.0013</v>
      </c>
    </row>
    <row r="31">
      <c r="A31" s="479">
        <v>-21.0</v>
      </c>
      <c r="B31" s="485">
        <v>0.0018</v>
      </c>
    </row>
    <row r="32">
      <c r="A32" s="479">
        <v>-20.0</v>
      </c>
      <c r="B32" s="485">
        <v>0.0025</v>
      </c>
    </row>
    <row r="33">
      <c r="A33" s="479">
        <v>-19.0</v>
      </c>
      <c r="B33" s="485">
        <v>0.0033</v>
      </c>
    </row>
    <row r="34">
      <c r="A34" s="479">
        <v>-18.0</v>
      </c>
      <c r="B34" s="485">
        <v>0.0045</v>
      </c>
    </row>
    <row r="35">
      <c r="A35" s="479">
        <v>-17.0</v>
      </c>
      <c r="B35" s="485">
        <v>0.0063</v>
      </c>
    </row>
    <row r="36">
      <c r="A36" s="479">
        <v>-16.0</v>
      </c>
      <c r="B36" s="485">
        <v>0.0085</v>
      </c>
    </row>
    <row r="37">
      <c r="A37" s="479">
        <v>-15.0</v>
      </c>
      <c r="B37" s="485">
        <v>0.011</v>
      </c>
    </row>
    <row r="38">
      <c r="A38" s="479">
        <v>-14.0</v>
      </c>
      <c r="B38" s="485">
        <v>0.015</v>
      </c>
    </row>
    <row r="39">
      <c r="A39" s="479">
        <v>-13.0</v>
      </c>
      <c r="B39" s="485">
        <v>0.02</v>
      </c>
    </row>
    <row r="40">
      <c r="A40" s="479">
        <v>-12.0</v>
      </c>
      <c r="B40" s="485">
        <v>0.03</v>
      </c>
    </row>
    <row r="41">
      <c r="A41" s="479">
        <v>-11.0</v>
      </c>
      <c r="B41" s="485">
        <v>0.04</v>
      </c>
    </row>
    <row r="42">
      <c r="A42" s="479">
        <v>-10.0</v>
      </c>
      <c r="B42" s="485">
        <v>0.05</v>
      </c>
    </row>
    <row r="43">
      <c r="A43" s="479">
        <v>-9.0</v>
      </c>
      <c r="B43" s="485">
        <v>0.067</v>
      </c>
    </row>
    <row r="44">
      <c r="A44" s="479">
        <v>-8.0</v>
      </c>
      <c r="B44" s="485">
        <v>0.09</v>
      </c>
    </row>
    <row r="45">
      <c r="A45" s="479">
        <v>-7.0</v>
      </c>
      <c r="B45" s="485">
        <v>0.125</v>
      </c>
    </row>
    <row r="46">
      <c r="A46" s="479">
        <v>-6.0</v>
      </c>
      <c r="B46" s="485">
        <v>0.16</v>
      </c>
    </row>
    <row r="47">
      <c r="A47" s="479">
        <v>-5.0</v>
      </c>
      <c r="B47" s="485">
        <v>0.22</v>
      </c>
    </row>
    <row r="48">
      <c r="A48" s="479">
        <v>-4.0</v>
      </c>
      <c r="B48" s="485">
        <v>0.3</v>
      </c>
    </row>
    <row r="49">
      <c r="A49" s="479">
        <v>-3.0</v>
      </c>
      <c r="B49" s="485">
        <v>0.4</v>
      </c>
    </row>
    <row r="50">
      <c r="A50" s="479">
        <v>-2.0</v>
      </c>
      <c r="B50" s="485">
        <v>0.55</v>
      </c>
    </row>
    <row r="51">
      <c r="A51" s="479">
        <v>-1.0</v>
      </c>
      <c r="B51" s="486">
        <v>0.75</v>
      </c>
    </row>
    <row r="52">
      <c r="A52" s="487">
        <v>0.0</v>
      </c>
      <c r="B52" s="488">
        <v>1.0</v>
      </c>
    </row>
    <row r="53">
      <c r="A53" s="479">
        <v>1.0</v>
      </c>
      <c r="B53" s="489">
        <v>1.35</v>
      </c>
    </row>
    <row r="54">
      <c r="A54" s="479">
        <v>2.0</v>
      </c>
      <c r="B54" s="490">
        <v>1.8</v>
      </c>
    </row>
    <row r="55">
      <c r="A55" s="479">
        <v>3.0</v>
      </c>
      <c r="B55" s="490">
        <v>2.5</v>
      </c>
    </row>
    <row r="56">
      <c r="A56" s="479">
        <v>4.0</v>
      </c>
      <c r="B56" s="490">
        <v>3.3</v>
      </c>
    </row>
    <row r="57">
      <c r="A57" s="479">
        <v>5.0</v>
      </c>
      <c r="B57" s="490">
        <v>4.5</v>
      </c>
    </row>
    <row r="58">
      <c r="A58" s="479">
        <v>6.0</v>
      </c>
      <c r="B58" s="491">
        <v>6.0</v>
      </c>
    </row>
    <row r="59">
      <c r="A59" s="479">
        <v>7.0</v>
      </c>
      <c r="B59" s="491">
        <v>8.0</v>
      </c>
    </row>
    <row r="60">
      <c r="A60" s="479">
        <v>8.0</v>
      </c>
      <c r="B60" s="491">
        <v>11.0</v>
      </c>
    </row>
    <row r="61">
      <c r="A61" s="479">
        <v>9.0</v>
      </c>
      <c r="B61" s="491">
        <v>15.0</v>
      </c>
    </row>
    <row r="62">
      <c r="A62" s="479">
        <v>10.0</v>
      </c>
      <c r="B62" s="491">
        <v>20.0</v>
      </c>
    </row>
    <row r="63">
      <c r="A63" s="479">
        <v>11.0</v>
      </c>
      <c r="B63" s="491">
        <v>25.0</v>
      </c>
    </row>
    <row r="64">
      <c r="A64" s="479">
        <v>12.0</v>
      </c>
      <c r="B64" s="491">
        <v>35.0</v>
      </c>
    </row>
    <row r="65">
      <c r="A65" s="479">
        <v>13.0</v>
      </c>
      <c r="B65" s="491">
        <v>50.0</v>
      </c>
    </row>
    <row r="66">
      <c r="A66" s="479">
        <v>14.0</v>
      </c>
      <c r="B66" s="491">
        <v>65.0</v>
      </c>
    </row>
    <row r="67">
      <c r="A67" s="479">
        <v>15.0</v>
      </c>
      <c r="B67" s="491">
        <v>90.0</v>
      </c>
    </row>
    <row r="68">
      <c r="A68" s="479">
        <v>16.0</v>
      </c>
      <c r="B68" s="491">
        <v>120.0</v>
      </c>
    </row>
    <row r="69">
      <c r="A69" s="479">
        <v>17.0</v>
      </c>
      <c r="B69" s="491">
        <v>160.0</v>
      </c>
    </row>
    <row r="70">
      <c r="A70" s="479">
        <v>18.0</v>
      </c>
      <c r="B70" s="491">
        <v>220.0</v>
      </c>
    </row>
    <row r="71">
      <c r="A71" s="479">
        <v>19.0</v>
      </c>
      <c r="B71" s="491">
        <v>300.0</v>
      </c>
    </row>
    <row r="72">
      <c r="A72" s="479">
        <v>20.0</v>
      </c>
      <c r="B72" s="491">
        <v>400.0</v>
      </c>
    </row>
    <row r="73">
      <c r="A73" s="479">
        <v>21.0</v>
      </c>
      <c r="B73" s="491">
        <v>550.0</v>
      </c>
    </row>
    <row r="74">
      <c r="A74" s="492">
        <v>22.0</v>
      </c>
      <c r="B74" s="493">
        <v>750.0</v>
      </c>
    </row>
    <row r="75">
      <c r="A75" s="479">
        <v>23.0</v>
      </c>
      <c r="B75" s="491">
        <v>1000.0</v>
      </c>
    </row>
    <row r="76">
      <c r="A76" s="479">
        <v>24.0</v>
      </c>
      <c r="B76" s="491">
        <v>1350.0</v>
      </c>
    </row>
    <row r="77">
      <c r="A77" s="479">
        <v>25.0</v>
      </c>
      <c r="B77" s="491">
        <v>1800.0</v>
      </c>
    </row>
    <row r="78">
      <c r="A78" s="479">
        <v>26.0</v>
      </c>
      <c r="B78" s="491">
        <v>2500.0</v>
      </c>
    </row>
    <row r="79">
      <c r="A79" s="479">
        <v>27.0</v>
      </c>
      <c r="B79" s="491">
        <v>3300.0</v>
      </c>
    </row>
    <row r="80">
      <c r="A80" s="479">
        <v>28.0</v>
      </c>
      <c r="B80" s="491">
        <v>4500.0</v>
      </c>
    </row>
    <row r="81">
      <c r="A81" s="479">
        <v>29.0</v>
      </c>
      <c r="B81" s="491">
        <v>6000.0</v>
      </c>
    </row>
    <row r="82">
      <c r="A82" s="479">
        <v>30.0</v>
      </c>
      <c r="B82" s="491">
        <v>8000.0</v>
      </c>
    </row>
    <row r="83">
      <c r="A83" s="479">
        <v>31.0</v>
      </c>
      <c r="B83" s="491">
        <v>11000.0</v>
      </c>
    </row>
    <row r="84">
      <c r="A84" s="479">
        <v>32.0</v>
      </c>
      <c r="B84" s="491">
        <v>15000.0</v>
      </c>
    </row>
    <row r="85">
      <c r="A85" s="479">
        <v>33.0</v>
      </c>
      <c r="B85" s="491">
        <v>20000.0</v>
      </c>
    </row>
    <row r="86">
      <c r="A86" s="479">
        <v>34.0</v>
      </c>
      <c r="B86" s="491">
        <v>25000.0</v>
      </c>
    </row>
    <row r="87">
      <c r="A87" s="479">
        <v>35.0</v>
      </c>
      <c r="B87" s="491">
        <v>35000.0</v>
      </c>
    </row>
    <row r="88">
      <c r="A88" s="479">
        <v>36.0</v>
      </c>
      <c r="B88" s="491">
        <v>50000.0</v>
      </c>
    </row>
    <row r="89">
      <c r="A89" s="479">
        <v>37.0</v>
      </c>
      <c r="B89" s="491">
        <v>65000.0</v>
      </c>
    </row>
    <row r="90">
      <c r="A90" s="479">
        <v>38.0</v>
      </c>
      <c r="B90" s="491">
        <v>90000.0</v>
      </c>
    </row>
    <row r="91">
      <c r="A91" s="479">
        <v>39.0</v>
      </c>
      <c r="B91" s="491">
        <v>120000.0</v>
      </c>
    </row>
    <row r="92">
      <c r="A92" s="479">
        <v>40.0</v>
      </c>
      <c r="B92" s="491">
        <v>160000.0</v>
      </c>
    </row>
    <row r="93">
      <c r="A93" s="479">
        <v>41.0</v>
      </c>
      <c r="B93" s="491">
        <v>220000.0</v>
      </c>
    </row>
    <row r="94">
      <c r="A94" s="479">
        <v>42.0</v>
      </c>
      <c r="B94" s="491">
        <v>300000.0</v>
      </c>
    </row>
    <row r="95">
      <c r="A95" s="479">
        <v>43.0</v>
      </c>
      <c r="B95" s="491">
        <v>400000.0</v>
      </c>
    </row>
    <row r="96">
      <c r="A96" s="479">
        <v>44.0</v>
      </c>
      <c r="B96" s="491">
        <v>550000.0</v>
      </c>
    </row>
    <row r="97">
      <c r="A97" s="492">
        <v>45.0</v>
      </c>
      <c r="B97" s="493">
        <v>750000.0</v>
      </c>
    </row>
    <row r="98">
      <c r="A98" s="479">
        <v>46.0</v>
      </c>
      <c r="B98" s="491">
        <v>1000000.0</v>
      </c>
    </row>
    <row r="99">
      <c r="A99" s="479">
        <v>47.0</v>
      </c>
      <c r="B99" s="491">
        <v>1350000.0</v>
      </c>
    </row>
    <row r="100">
      <c r="A100" s="479">
        <v>48.0</v>
      </c>
      <c r="B100" s="491">
        <v>1800000.0</v>
      </c>
    </row>
    <row r="101">
      <c r="A101" s="479">
        <v>49.0</v>
      </c>
      <c r="B101" s="491">
        <v>2500000.0</v>
      </c>
    </row>
    <row r="102">
      <c r="A102" s="479">
        <v>50.0</v>
      </c>
      <c r="B102" s="491">
        <v>3300000.0</v>
      </c>
    </row>
  </sheetData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</cols>
  <sheetData>
    <row r="1">
      <c r="A1" s="494" t="s">
        <v>154</v>
      </c>
      <c r="B1" s="494" t="s">
        <v>155</v>
      </c>
    </row>
    <row r="2">
      <c r="A2" s="495" t="s">
        <v>156</v>
      </c>
      <c r="B2" s="495" t="s">
        <v>157</v>
      </c>
    </row>
    <row r="3">
      <c r="A3" s="496" t="s">
        <v>158</v>
      </c>
      <c r="B3" s="497" t="s">
        <v>159</v>
      </c>
    </row>
    <row r="4">
      <c r="A4" s="498" t="s">
        <v>160</v>
      </c>
      <c r="B4" s="499"/>
    </row>
    <row r="5">
      <c r="A5" s="500" t="s">
        <v>161</v>
      </c>
      <c r="B5" s="499"/>
    </row>
    <row r="6">
      <c r="A6" s="501" t="s">
        <v>162</v>
      </c>
      <c r="B6" s="497" t="s">
        <v>163</v>
      </c>
    </row>
    <row r="7">
      <c r="A7" s="502" t="s">
        <v>164</v>
      </c>
      <c r="B7" s="499"/>
    </row>
    <row r="8">
      <c r="A8" s="503" t="s">
        <v>165</v>
      </c>
      <c r="B8" s="499"/>
    </row>
    <row r="9">
      <c r="A9" s="504" t="s">
        <v>166</v>
      </c>
      <c r="B9" s="499"/>
    </row>
    <row r="10">
      <c r="A10" s="502" t="s">
        <v>167</v>
      </c>
      <c r="B10" s="499"/>
    </row>
    <row r="11">
      <c r="A11" s="503" t="s">
        <v>168</v>
      </c>
      <c r="B11" s="499"/>
    </row>
    <row r="12">
      <c r="A12" s="504" t="s">
        <v>169</v>
      </c>
      <c r="B12" s="499"/>
    </row>
    <row r="13">
      <c r="A13" s="502" t="s">
        <v>170</v>
      </c>
      <c r="B13" s="499"/>
    </row>
    <row r="14">
      <c r="A14" s="505" t="s">
        <v>171</v>
      </c>
      <c r="B14" s="499"/>
    </row>
    <row r="15">
      <c r="A15" s="497" t="s">
        <v>172</v>
      </c>
      <c r="B15" s="497" t="s">
        <v>173</v>
      </c>
    </row>
    <row r="16">
      <c r="A16" s="495" t="s">
        <v>174</v>
      </c>
      <c r="B16" s="499"/>
    </row>
    <row r="17">
      <c r="A17" s="506" t="s">
        <v>175</v>
      </c>
      <c r="B17" s="499"/>
    </row>
    <row r="18">
      <c r="A18" s="505" t="s">
        <v>176</v>
      </c>
      <c r="B18" s="499"/>
    </row>
    <row r="19">
      <c r="A19" s="495" t="s">
        <v>177</v>
      </c>
      <c r="B19" s="499"/>
    </row>
    <row r="20">
      <c r="A20" s="506" t="s">
        <v>178</v>
      </c>
      <c r="B20" s="499"/>
    </row>
    <row r="21">
      <c r="A21" s="505" t="s">
        <v>179</v>
      </c>
      <c r="B21" s="499"/>
    </row>
    <row r="22">
      <c r="A22" s="495" t="s">
        <v>180</v>
      </c>
      <c r="B22" s="499"/>
    </row>
    <row r="23">
      <c r="A23" s="507" t="s">
        <v>181</v>
      </c>
      <c r="B23" s="499"/>
    </row>
    <row r="24">
      <c r="A24" s="500" t="s">
        <v>182</v>
      </c>
      <c r="B24" s="499"/>
    </row>
    <row r="25">
      <c r="A25" s="495" t="s">
        <v>183</v>
      </c>
      <c r="B25" s="499"/>
    </row>
    <row r="26">
      <c r="A26" s="506" t="s">
        <v>184</v>
      </c>
      <c r="B26" s="499"/>
    </row>
    <row r="27">
      <c r="A27" s="505" t="s">
        <v>185</v>
      </c>
      <c r="B27" s="499"/>
    </row>
    <row r="28">
      <c r="A28" s="495" t="s">
        <v>186</v>
      </c>
      <c r="B28" s="499"/>
    </row>
    <row r="29">
      <c r="A29" s="506" t="s">
        <v>187</v>
      </c>
      <c r="B29" s="499"/>
    </row>
    <row r="30">
      <c r="A30" s="505" t="s">
        <v>188</v>
      </c>
      <c r="B30" s="499"/>
    </row>
    <row r="31">
      <c r="A31" s="495" t="s">
        <v>189</v>
      </c>
      <c r="B31" s="499"/>
    </row>
    <row r="32">
      <c r="A32" s="495" t="s">
        <v>190</v>
      </c>
      <c r="B32" s="499"/>
    </row>
    <row r="33">
      <c r="A33" s="500" t="s">
        <v>191</v>
      </c>
      <c r="B33" s="499"/>
    </row>
    <row r="34">
      <c r="A34" s="495" t="s">
        <v>192</v>
      </c>
      <c r="B34" s="499"/>
    </row>
    <row r="35">
      <c r="A35" s="506" t="s">
        <v>193</v>
      </c>
      <c r="B35" s="499"/>
    </row>
    <row r="36">
      <c r="A36" s="505" t="s">
        <v>194</v>
      </c>
      <c r="B36" s="499"/>
    </row>
    <row r="37">
      <c r="A37" s="495" t="s">
        <v>195</v>
      </c>
      <c r="B37" s="499"/>
    </row>
    <row r="38">
      <c r="A38" s="506" t="s">
        <v>196</v>
      </c>
      <c r="B38" s="499"/>
    </row>
    <row r="39">
      <c r="A39" s="505" t="s">
        <v>197</v>
      </c>
      <c r="B39" s="499"/>
    </row>
    <row r="40">
      <c r="A40" s="495" t="s">
        <v>198</v>
      </c>
      <c r="B40" s="499"/>
    </row>
    <row r="41">
      <c r="A41" s="495" t="s">
        <v>199</v>
      </c>
      <c r="B41" s="499"/>
    </row>
  </sheetData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59" t="s">
        <v>200</v>
      </c>
      <c r="B1" s="508" t="s">
        <v>53</v>
      </c>
      <c r="C1" s="509" t="s">
        <v>54</v>
      </c>
      <c r="D1" s="509" t="s">
        <v>48</v>
      </c>
      <c r="E1" s="510" t="s">
        <v>55</v>
      </c>
      <c r="F1" s="510" t="s">
        <v>56</v>
      </c>
      <c r="G1" s="510" t="s">
        <v>57</v>
      </c>
      <c r="H1" s="511" t="s">
        <v>58</v>
      </c>
    </row>
    <row r="2">
      <c r="A2" s="461" t="s">
        <v>201</v>
      </c>
      <c r="B2" s="512" t="s">
        <v>202</v>
      </c>
      <c r="C2" s="513" t="s">
        <v>203</v>
      </c>
      <c r="D2" s="513" t="s">
        <v>204</v>
      </c>
      <c r="E2" s="513" t="s">
        <v>205</v>
      </c>
      <c r="F2" s="513" t="s">
        <v>206</v>
      </c>
      <c r="G2" s="513" t="s">
        <v>207</v>
      </c>
      <c r="H2" s="514" t="s">
        <v>208</v>
      </c>
    </row>
    <row r="3">
      <c r="A3" s="461" t="s">
        <v>209</v>
      </c>
      <c r="B3" s="512" t="s">
        <v>210</v>
      </c>
      <c r="C3" s="513" t="s">
        <v>211</v>
      </c>
      <c r="D3" s="513" t="s">
        <v>212</v>
      </c>
      <c r="E3" s="513" t="s">
        <v>213</v>
      </c>
      <c r="F3" s="513" t="s">
        <v>214</v>
      </c>
      <c r="G3" s="513" t="s">
        <v>215</v>
      </c>
      <c r="H3" s="514" t="s">
        <v>216</v>
      </c>
    </row>
    <row r="4">
      <c r="A4" s="461" t="s">
        <v>217</v>
      </c>
      <c r="B4" s="512" t="s">
        <v>218</v>
      </c>
      <c r="C4" s="513" t="s">
        <v>219</v>
      </c>
      <c r="D4" s="513" t="s">
        <v>220</v>
      </c>
      <c r="E4" s="513" t="s">
        <v>221</v>
      </c>
      <c r="F4" s="513" t="s">
        <v>222</v>
      </c>
      <c r="G4" s="513" t="s">
        <v>223</v>
      </c>
      <c r="H4" s="514" t="s">
        <v>224</v>
      </c>
    </row>
    <row r="5">
      <c r="A5" s="461" t="s">
        <v>225</v>
      </c>
      <c r="B5" s="512" t="s">
        <v>226</v>
      </c>
      <c r="C5" s="513" t="s">
        <v>227</v>
      </c>
      <c r="D5" s="513" t="s">
        <v>228</v>
      </c>
      <c r="E5" s="513" t="s">
        <v>229</v>
      </c>
      <c r="F5" s="513" t="s">
        <v>230</v>
      </c>
      <c r="G5" s="513" t="s">
        <v>231</v>
      </c>
      <c r="H5" s="514" t="s">
        <v>232</v>
      </c>
    </row>
    <row r="6">
      <c r="A6" s="461" t="s">
        <v>233</v>
      </c>
      <c r="B6" s="512" t="s">
        <v>234</v>
      </c>
      <c r="C6" s="513" t="s">
        <v>235</v>
      </c>
      <c r="D6" s="513" t="s">
        <v>236</v>
      </c>
      <c r="E6" s="513" t="s">
        <v>237</v>
      </c>
      <c r="F6" s="513" t="s">
        <v>238</v>
      </c>
      <c r="G6" s="513" t="s">
        <v>239</v>
      </c>
      <c r="H6" s="514" t="s">
        <v>240</v>
      </c>
    </row>
    <row r="7">
      <c r="A7" s="461" t="s">
        <v>241</v>
      </c>
      <c r="B7" s="512" t="s">
        <v>242</v>
      </c>
      <c r="C7" s="513" t="s">
        <v>243</v>
      </c>
      <c r="D7" s="513" t="s">
        <v>244</v>
      </c>
      <c r="E7" s="513" t="s">
        <v>245</v>
      </c>
      <c r="F7" s="513" t="s">
        <v>246</v>
      </c>
      <c r="G7" s="513" t="s">
        <v>247</v>
      </c>
      <c r="H7" s="514" t="s">
        <v>248</v>
      </c>
    </row>
    <row r="8">
      <c r="A8" s="461" t="s">
        <v>249</v>
      </c>
      <c r="B8" s="512" t="s">
        <v>250</v>
      </c>
      <c r="C8" s="513" t="s">
        <v>251</v>
      </c>
      <c r="D8" s="513" t="s">
        <v>252</v>
      </c>
      <c r="E8" s="513" t="s">
        <v>253</v>
      </c>
      <c r="F8" s="513" t="s">
        <v>254</v>
      </c>
      <c r="G8" s="513" t="s">
        <v>255</v>
      </c>
      <c r="H8" s="514" t="s">
        <v>256</v>
      </c>
    </row>
    <row r="9">
      <c r="A9" s="461" t="s">
        <v>257</v>
      </c>
      <c r="B9" s="512" t="s">
        <v>258</v>
      </c>
      <c r="C9" s="513" t="s">
        <v>259</v>
      </c>
      <c r="D9" s="513" t="s">
        <v>260</v>
      </c>
      <c r="E9" s="513" t="s">
        <v>261</v>
      </c>
      <c r="F9" s="513" t="s">
        <v>262</v>
      </c>
      <c r="G9" s="513" t="s">
        <v>263</v>
      </c>
      <c r="H9" s="514" t="s">
        <v>264</v>
      </c>
    </row>
    <row r="10">
      <c r="A10" s="461" t="s">
        <v>265</v>
      </c>
      <c r="B10" s="512" t="s">
        <v>266</v>
      </c>
      <c r="C10" s="513" t="s">
        <v>267</v>
      </c>
      <c r="D10" s="513" t="s">
        <v>268</v>
      </c>
      <c r="E10" s="513" t="s">
        <v>269</v>
      </c>
      <c r="F10" s="513" t="s">
        <v>270</v>
      </c>
      <c r="G10" s="513" t="s">
        <v>271</v>
      </c>
      <c r="H10" s="514" t="s">
        <v>272</v>
      </c>
    </row>
    <row r="11">
      <c r="A11" s="461" t="s">
        <v>273</v>
      </c>
      <c r="B11" s="512" t="s">
        <v>274</v>
      </c>
      <c r="C11" s="513" t="s">
        <v>275</v>
      </c>
      <c r="D11" s="513" t="s">
        <v>276</v>
      </c>
      <c r="E11" s="513" t="s">
        <v>277</v>
      </c>
      <c r="F11" s="513" t="s">
        <v>278</v>
      </c>
      <c r="G11" s="513" t="s">
        <v>279</v>
      </c>
      <c r="H11" s="514" t="s">
        <v>280</v>
      </c>
    </row>
    <row r="12">
      <c r="A12" s="461" t="s">
        <v>281</v>
      </c>
      <c r="B12" s="512" t="s">
        <v>282</v>
      </c>
      <c r="C12" s="513" t="s">
        <v>283</v>
      </c>
      <c r="D12" s="513" t="s">
        <v>284</v>
      </c>
      <c r="E12" s="513" t="s">
        <v>285</v>
      </c>
      <c r="F12" s="513" t="s">
        <v>286</v>
      </c>
      <c r="G12" s="513" t="s">
        <v>287</v>
      </c>
      <c r="H12" s="514" t="s">
        <v>288</v>
      </c>
    </row>
    <row r="13">
      <c r="A13" s="461" t="s">
        <v>289</v>
      </c>
      <c r="B13" s="512" t="s">
        <v>290</v>
      </c>
      <c r="C13" s="513" t="s">
        <v>291</v>
      </c>
      <c r="D13" s="513" t="s">
        <v>292</v>
      </c>
      <c r="E13" s="513" t="s">
        <v>293</v>
      </c>
      <c r="F13" s="513" t="s">
        <v>294</v>
      </c>
      <c r="G13" s="513" t="s">
        <v>295</v>
      </c>
      <c r="H13" s="514" t="s">
        <v>296</v>
      </c>
    </row>
    <row r="14">
      <c r="A14" s="461" t="s">
        <v>297</v>
      </c>
      <c r="B14" s="512" t="s">
        <v>298</v>
      </c>
      <c r="C14" s="513" t="s">
        <v>299</v>
      </c>
      <c r="D14" s="513" t="s">
        <v>300</v>
      </c>
      <c r="E14" s="513" t="s">
        <v>301</v>
      </c>
      <c r="F14" s="513" t="s">
        <v>302</v>
      </c>
      <c r="G14" s="513" t="s">
        <v>303</v>
      </c>
      <c r="H14" s="514" t="s">
        <v>304</v>
      </c>
    </row>
    <row r="15">
      <c r="A15" s="461" t="s">
        <v>305</v>
      </c>
      <c r="B15" s="512" t="s">
        <v>306</v>
      </c>
      <c r="C15" s="513" t="s">
        <v>307</v>
      </c>
      <c r="D15" s="513" t="s">
        <v>308</v>
      </c>
      <c r="E15" s="513" t="s">
        <v>309</v>
      </c>
      <c r="F15" s="513" t="s">
        <v>310</v>
      </c>
      <c r="G15" s="513" t="s">
        <v>311</v>
      </c>
      <c r="H15" s="514" t="s">
        <v>312</v>
      </c>
    </row>
    <row r="16">
      <c r="A16" s="461" t="s">
        <v>313</v>
      </c>
      <c r="B16" s="512" t="s">
        <v>314</v>
      </c>
      <c r="C16" s="513" t="s">
        <v>315</v>
      </c>
      <c r="D16" s="513" t="s">
        <v>316</v>
      </c>
      <c r="E16" s="513" t="s">
        <v>317</v>
      </c>
      <c r="F16" s="513" t="s">
        <v>318</v>
      </c>
      <c r="G16" s="513" t="s">
        <v>319</v>
      </c>
      <c r="H16" s="514" t="s">
        <v>320</v>
      </c>
    </row>
    <row r="17">
      <c r="A17" s="461" t="s">
        <v>321</v>
      </c>
      <c r="B17" s="512" t="s">
        <v>322</v>
      </c>
      <c r="C17" s="513" t="s">
        <v>323</v>
      </c>
      <c r="D17" s="513" t="s">
        <v>324</v>
      </c>
      <c r="E17" s="513" t="s">
        <v>325</v>
      </c>
      <c r="F17" s="513" t="s">
        <v>326</v>
      </c>
      <c r="G17" s="513" t="s">
        <v>327</v>
      </c>
      <c r="H17" s="514" t="s">
        <v>328</v>
      </c>
    </row>
    <row r="18">
      <c r="A18" s="461" t="s">
        <v>329</v>
      </c>
      <c r="B18" s="512" t="s">
        <v>330</v>
      </c>
      <c r="C18" s="513" t="s">
        <v>331</v>
      </c>
      <c r="D18" s="513" t="s">
        <v>332</v>
      </c>
      <c r="E18" s="513" t="s">
        <v>333</v>
      </c>
      <c r="F18" s="513" t="s">
        <v>334</v>
      </c>
      <c r="G18" s="513" t="s">
        <v>335</v>
      </c>
      <c r="H18" s="514" t="s">
        <v>336</v>
      </c>
    </row>
    <row r="19">
      <c r="A19" s="461" t="s">
        <v>337</v>
      </c>
      <c r="B19" s="512" t="s">
        <v>338</v>
      </c>
      <c r="C19" s="513" t="s">
        <v>339</v>
      </c>
      <c r="D19" s="513" t="s">
        <v>340</v>
      </c>
      <c r="E19" s="513" t="s">
        <v>341</v>
      </c>
      <c r="F19" s="513" t="s">
        <v>342</v>
      </c>
      <c r="G19" s="513" t="s">
        <v>343</v>
      </c>
      <c r="H19" s="514" t="s">
        <v>344</v>
      </c>
    </row>
    <row r="20">
      <c r="A20" s="461" t="s">
        <v>345</v>
      </c>
      <c r="B20" s="512" t="s">
        <v>346</v>
      </c>
      <c r="C20" s="513" t="s">
        <v>347</v>
      </c>
      <c r="D20" s="513" t="s">
        <v>348</v>
      </c>
      <c r="E20" s="513" t="s">
        <v>349</v>
      </c>
      <c r="F20" s="513" t="s">
        <v>350</v>
      </c>
      <c r="G20" s="513" t="s">
        <v>351</v>
      </c>
      <c r="H20" s="514" t="s">
        <v>352</v>
      </c>
    </row>
    <row r="21">
      <c r="A21" s="461" t="s">
        <v>353</v>
      </c>
      <c r="B21" s="512" t="s">
        <v>354</v>
      </c>
      <c r="C21" s="513" t="s">
        <v>355</v>
      </c>
      <c r="D21" s="513" t="s">
        <v>356</v>
      </c>
      <c r="E21" s="513" t="s">
        <v>357</v>
      </c>
      <c r="F21" s="513" t="s">
        <v>358</v>
      </c>
      <c r="G21" s="513" t="s">
        <v>359</v>
      </c>
      <c r="H21" s="514" t="s">
        <v>360</v>
      </c>
    </row>
    <row r="22">
      <c r="A22" s="461" t="s">
        <v>361</v>
      </c>
      <c r="B22" s="512" t="s">
        <v>362</v>
      </c>
      <c r="C22" s="513" t="s">
        <v>363</v>
      </c>
      <c r="D22" s="513" t="s">
        <v>364</v>
      </c>
      <c r="E22" s="513" t="s">
        <v>365</v>
      </c>
      <c r="F22" s="513" t="s">
        <v>366</v>
      </c>
      <c r="G22" s="513" t="s">
        <v>367</v>
      </c>
      <c r="H22" s="514" t="s">
        <v>368</v>
      </c>
    </row>
    <row r="23">
      <c r="A23" s="461" t="s">
        <v>369</v>
      </c>
      <c r="B23" s="512" t="s">
        <v>370</v>
      </c>
      <c r="C23" s="513" t="s">
        <v>371</v>
      </c>
      <c r="D23" s="513" t="s">
        <v>372</v>
      </c>
      <c r="E23" s="513" t="s">
        <v>373</v>
      </c>
      <c r="F23" s="513" t="s">
        <v>374</v>
      </c>
      <c r="G23" s="513" t="s">
        <v>375</v>
      </c>
      <c r="H23" s="514" t="s">
        <v>376</v>
      </c>
    </row>
    <row r="24">
      <c r="A24" s="461" t="s">
        <v>377</v>
      </c>
      <c r="B24" s="512" t="s">
        <v>378</v>
      </c>
      <c r="C24" s="513" t="s">
        <v>379</v>
      </c>
      <c r="D24" s="513" t="s">
        <v>380</v>
      </c>
      <c r="E24" s="513" t="s">
        <v>381</v>
      </c>
      <c r="F24" s="513" t="s">
        <v>382</v>
      </c>
      <c r="G24" s="513" t="s">
        <v>383</v>
      </c>
      <c r="H24" s="514" t="s">
        <v>384</v>
      </c>
    </row>
    <row r="25">
      <c r="A25" s="461" t="s">
        <v>385</v>
      </c>
      <c r="B25" s="512" t="s">
        <v>386</v>
      </c>
      <c r="C25" s="513" t="s">
        <v>387</v>
      </c>
      <c r="D25" s="513" t="s">
        <v>388</v>
      </c>
      <c r="E25" s="513" t="s">
        <v>389</v>
      </c>
      <c r="F25" s="513" t="s">
        <v>390</v>
      </c>
      <c r="G25" s="513" t="s">
        <v>391</v>
      </c>
      <c r="H25" s="514" t="s">
        <v>392</v>
      </c>
    </row>
    <row r="26">
      <c r="A26" s="461" t="s">
        <v>393</v>
      </c>
      <c r="B26" s="512" t="s">
        <v>394</v>
      </c>
      <c r="C26" s="513" t="s">
        <v>395</v>
      </c>
      <c r="D26" s="513" t="s">
        <v>396</v>
      </c>
      <c r="E26" s="513" t="s">
        <v>397</v>
      </c>
      <c r="F26" s="513" t="s">
        <v>398</v>
      </c>
      <c r="G26" s="513" t="s">
        <v>399</v>
      </c>
      <c r="H26" s="514" t="s">
        <v>400</v>
      </c>
    </row>
    <row r="27">
      <c r="A27" s="461" t="s">
        <v>401</v>
      </c>
      <c r="B27" s="512" t="s">
        <v>402</v>
      </c>
      <c r="C27" s="513" t="s">
        <v>403</v>
      </c>
      <c r="D27" s="513" t="s">
        <v>404</v>
      </c>
      <c r="E27" s="513" t="s">
        <v>405</v>
      </c>
      <c r="F27" s="513" t="s">
        <v>406</v>
      </c>
      <c r="G27" s="513" t="s">
        <v>407</v>
      </c>
      <c r="H27" s="514" t="s">
        <v>408</v>
      </c>
    </row>
    <row r="28">
      <c r="A28" s="461" t="s">
        <v>409</v>
      </c>
      <c r="B28" s="512" t="s">
        <v>410</v>
      </c>
      <c r="C28" s="513" t="s">
        <v>411</v>
      </c>
      <c r="D28" s="513" t="s">
        <v>412</v>
      </c>
      <c r="E28" s="513" t="s">
        <v>293</v>
      </c>
      <c r="F28" s="513" t="s">
        <v>413</v>
      </c>
      <c r="G28" s="513" t="s">
        <v>414</v>
      </c>
      <c r="H28" s="514" t="s">
        <v>415</v>
      </c>
    </row>
    <row r="29">
      <c r="A29" s="461" t="s">
        <v>416</v>
      </c>
      <c r="B29" s="512" t="s">
        <v>417</v>
      </c>
      <c r="C29" s="513" t="s">
        <v>418</v>
      </c>
      <c r="D29" s="513" t="s">
        <v>419</v>
      </c>
      <c r="E29" s="513" t="s">
        <v>420</v>
      </c>
      <c r="F29" s="513" t="s">
        <v>421</v>
      </c>
      <c r="G29" s="513" t="s">
        <v>422</v>
      </c>
      <c r="H29" s="514" t="s">
        <v>423</v>
      </c>
    </row>
    <row r="30">
      <c r="A30" s="461" t="s">
        <v>424</v>
      </c>
      <c r="B30" s="512" t="s">
        <v>425</v>
      </c>
      <c r="C30" s="513" t="s">
        <v>426</v>
      </c>
      <c r="D30" s="513" t="s">
        <v>427</v>
      </c>
      <c r="E30" s="513" t="s">
        <v>428</v>
      </c>
      <c r="F30" s="513" t="s">
        <v>429</v>
      </c>
      <c r="G30" s="513" t="s">
        <v>430</v>
      </c>
      <c r="H30" s="514" t="s">
        <v>431</v>
      </c>
    </row>
    <row r="31">
      <c r="A31" s="461" t="s">
        <v>432</v>
      </c>
      <c r="B31" s="512" t="s">
        <v>433</v>
      </c>
      <c r="C31" s="513" t="s">
        <v>434</v>
      </c>
      <c r="D31" s="513" t="s">
        <v>435</v>
      </c>
      <c r="E31" s="513" t="s">
        <v>436</v>
      </c>
      <c r="F31" s="513" t="s">
        <v>437</v>
      </c>
      <c r="G31" s="513" t="s">
        <v>438</v>
      </c>
      <c r="H31" s="514" t="s">
        <v>439</v>
      </c>
    </row>
  </sheetData>
  <drawing r:id="rId1"/>
  <tableParts count="1">
    <tablePart r:id="rId3"/>
  </tableParts>
</worksheet>
</file>