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) Raw Input" sheetId="1" r:id="rId4"/>
    <sheet state="visible" name="2) Filtered &amp; sorted" sheetId="2" r:id="rId5"/>
  </sheets>
  <definedNames/>
  <calcPr/>
</workbook>
</file>

<file path=xl/sharedStrings.xml><?xml version="1.0" encoding="utf-8"?>
<sst xmlns="http://schemas.openxmlformats.org/spreadsheetml/2006/main" count="405" uniqueCount="395">
  <si>
    <t>T2 output</t>
  </si>
  <si>
    <t>Angle</t>
  </si>
  <si>
    <t>Angle ###</t>
  </si>
  <si>
    <t>X</t>
  </si>
  <si>
    <t>Y</t>
  </si>
  <si>
    <t>GVM Output: Started scanning *** LEFT *** stick. KEEP LEFT TO AT EDGES THROUGHOUT AND FROM BEGINNING, ELSE RESTART PROCESS.</t>
  </si>
  <si>
    <t>GVM Output: OUTER EDGE L stick (x, y) data:  (x:+100.00, y:-9.02) for angle:85</t>
  </si>
  <si>
    <t>GVM Output: NEXT OUTSTANDING ANGLE THAT NEEDS SCANNING:      ====  0  ====</t>
  </si>
  <si>
    <t>GVM Output: OUTER EDGE L stick (x, y) data:  (x:+100.00, y:-11.37) for angle:84</t>
  </si>
  <si>
    <t>GVM Output: OUTER EDGE L stick (x, y) data:  (x:+100.00, y:-12.94) for angle:83</t>
  </si>
  <si>
    <t>GVM Output: OUTER EDGE L stick (x, y) data:  (x:+100.00, y:-14.51) for angle:82</t>
  </si>
  <si>
    <t>GVM Output: OUTER EDGE L stick (x, y) data:  (x:+100.00, y:-16.08) for angle:81</t>
  </si>
  <si>
    <t>Data anomolies (missing or duplicate angles):</t>
  </si>
  <si>
    <t>GVM Output: OUTER EDGE L stick (x, y) data:  (x:+100.00, y:-18.43) for angle:80</t>
  </si>
  <si>
    <t>All values from 0 to 359 appear exactly once.</t>
  </si>
  <si>
    <t>GVM Output: OUTER EDGE L stick (x, y) data:  (x:+100.00, y:-20.00) for angle:79</t>
  </si>
  <si>
    <t>GVM Output: OUTER EDGE L stick (x, y) data:  (x:+100.00, y:-21.57) for angle:78</t>
  </si>
  <si>
    <t>GVM Output: OUTER EDGE L stick (x, y) data:  (x:+100.00, y:-23.14) for angle:77</t>
  </si>
  <si>
    <t>HOW TO USE THIS SHEET</t>
  </si>
  <si>
    <t>GVM Output: OUTER EDGE L stick (x, y) data:  (x:+100.00, y:-24.71) for angle:76</t>
  </si>
  <si>
    <r>
      <rPr>
        <rFont val="Arial"/>
        <color theme="1"/>
        <sz val="13.0"/>
      </rPr>
      <t xml:space="preserve">- </t>
    </r>
    <r>
      <rPr>
        <rFont val="Arial"/>
        <b/>
        <color theme="1"/>
        <sz val="13.0"/>
      </rPr>
      <t>USER</t>
    </r>
    <r>
      <rPr>
        <rFont val="Arial"/>
        <color theme="1"/>
        <sz val="13.0"/>
      </rPr>
      <t>: Clear the old input data (click the red button above)</t>
    </r>
  </si>
  <si>
    <t>GVM Output: OUTER EDGE L stick (x, y) data:  (x:+100.00, y:-27.06) for angle:75</t>
  </si>
  <si>
    <r>
      <rPr>
        <rFont val="Arial"/>
        <color theme="1"/>
        <sz val="13.0"/>
      </rPr>
      <t xml:space="preserve">- </t>
    </r>
    <r>
      <rPr>
        <rFont val="Arial"/>
        <b/>
        <color theme="1"/>
        <sz val="13.0"/>
      </rPr>
      <t>USER</t>
    </r>
    <r>
      <rPr>
        <rFont val="Arial"/>
        <color theme="1"/>
        <sz val="13.0"/>
      </rPr>
      <t>: Use Titan 2 program</t>
    </r>
    <r>
      <rPr>
        <rFont val="Arial"/>
        <b/>
        <color theme="1"/>
        <sz val="13.0"/>
      </rPr>
      <t xml:space="preserve"> </t>
    </r>
    <r>
      <rPr>
        <rFont val="Arial"/>
        <color theme="1"/>
        <sz val="13.0"/>
      </rPr>
      <t>(edge-scanner.gpc) to get Stick Perimeter Coordinates. Copy the output from GTuner's Output Panel, and paste the results into column A. 
NOTE: you will need to repeat this process for both sticks (L/R) in turn.</t>
    </r>
  </si>
  <si>
    <t>GVM Output: OUTER EDGE L stick (x, y) data:  (x:+100.00, y:-28.63) for angle:74</t>
  </si>
  <si>
    <r>
      <rPr>
        <rFont val="Arial"/>
        <color theme="1"/>
        <sz val="13.0"/>
      </rPr>
      <t xml:space="preserve">- </t>
    </r>
    <r>
      <rPr>
        <rFont val="Arial"/>
        <b/>
        <color theme="1"/>
        <sz val="13.0"/>
      </rPr>
      <t>SYSTEM</t>
    </r>
    <r>
      <rPr>
        <rFont val="Arial"/>
        <color theme="1"/>
        <sz val="13.0"/>
      </rPr>
      <t>: will extract atomic data into output columns (B-E), from input data in column A</t>
    </r>
  </si>
  <si>
    <t>GVM Output: OUTER EDGE L stick (x, y) data:  (x:+100.00, y:-30.20) for angle:73</t>
  </si>
  <si>
    <r>
      <rPr>
        <rFont val="Arial"/>
        <color theme="1"/>
        <sz val="13.0"/>
      </rPr>
      <t xml:space="preserve">- </t>
    </r>
    <r>
      <rPr>
        <rFont val="Arial"/>
        <b/>
        <color theme="1"/>
        <sz val="13.0"/>
      </rPr>
      <t>USER</t>
    </r>
    <r>
      <rPr>
        <rFont val="Arial"/>
        <color theme="1"/>
        <sz val="13.0"/>
      </rPr>
      <t>: Click the green button above and look at the resulting output in cell F9. This is simply to check that your input data is valid. we should have a single entry for every single angle from 0 to 359.</t>
    </r>
  </si>
  <si>
    <t>GVM Output: OUTER EDGE L stick (x, y) data:  (x:+100.00, y:-32.55) for angle:72</t>
  </si>
  <si>
    <r>
      <rPr>
        <rFont val="Arial"/>
        <color theme="1"/>
        <sz val="13.0"/>
      </rPr>
      <t xml:space="preserve">- </t>
    </r>
    <r>
      <rPr>
        <rFont val="Arial"/>
        <b/>
        <color theme="1"/>
        <sz val="13.0"/>
      </rPr>
      <t>USER</t>
    </r>
    <r>
      <rPr>
        <rFont val="Arial"/>
        <color theme="1"/>
        <sz val="13.0"/>
      </rPr>
      <t>: If seems all good, then move on to the next sheet.</t>
    </r>
  </si>
  <si>
    <t>GVM Output: OUTER EDGE L stick (x, y) data:  (x:+100.00, y:-34.12) for angle:71</t>
  </si>
  <si>
    <t>GVM Output: OUTER EDGE L stick (x, y) data:  (x:+100.00, y:-35.69) for angle:70</t>
  </si>
  <si>
    <t>GVM Output: OUTER EDGE L stick (x, y) data:  (x:+100.00, y:-38.04) for angle:69</t>
  </si>
  <si>
    <r>
      <rPr/>
      <t xml:space="preserve">For more info, see: </t>
    </r>
    <r>
      <rPr>
        <color rgb="FF1155CC"/>
        <u/>
      </rPr>
      <t>https://github.com/Sparky101-2/edge-scanner</t>
    </r>
  </si>
  <si>
    <t>GVM Output: OUTER EDGE L stick (x, y) data:  (x:+100.00, y:-39.61) for angle:68</t>
  </si>
  <si>
    <t>GVM Output: OUTER EDGE L stick (x, y) data:  (x:+100.00, y:-41.96) for angle:67</t>
  </si>
  <si>
    <t>GVM Output: OUTER EDGE L stick (x, y) data:  (x:+100.00, y:-43.53) for angle:66</t>
  </si>
  <si>
    <t>GVM Output: OUTER EDGE L stick (x, y) data:  (x:+100.00, y:-46.67) for angle:65</t>
  </si>
  <si>
    <t>GVM Output: OUTER EDGE L stick (x, y) data:  (x:+100.00, y:-48.24) for angle:64</t>
  </si>
  <si>
    <t>GVM Output: OUTER EDGE L stick (x, y) data:  (x:+100.00, y:-49.80) for angle:63</t>
  </si>
  <si>
    <t>GVM Output: OUTER EDGE L stick (x, y) data:  (x:+100.00, y:-52.16) for angle:62</t>
  </si>
  <si>
    <t>GVM Output: OUTER EDGE L stick (x, y) data:  (x:+99.22, y:-54.51) for angle:61</t>
  </si>
  <si>
    <t>GVM Output: OUTER EDGE L stick (x, y) data:  (x:+99.22, y:-56.08) for angle:60</t>
  </si>
  <si>
    <t>GVM Output: OUTER EDGE L stick (x, y) data:  (x:+98.43, y:-57.65) for angle:59</t>
  </si>
  <si>
    <t>GVM Output: OUTER EDGE L stick (x, y) data:  (x:+98.43, y:-60.00) for angle:58</t>
  </si>
  <si>
    <t>GVM Output: OUTER EDGE L stick (x, y) data:  (x:+96.86, y:-61.57) for angle:57</t>
  </si>
  <si>
    <t>GVM Output: OUTER EDGE L stick (x, y) data:  (x:+95.30, y:-63.92) for angle:56</t>
  </si>
  <si>
    <t>GVM Output: OUTER EDGE L stick (x, y) data:  (x:+94.51, y:-64.71) for angle:55</t>
  </si>
  <si>
    <t>GVM Output: OUTER EDGE L stick (x, y) data:  (x:+92.94, y:-66.27) for angle:54</t>
  </si>
  <si>
    <t>GVM Output: OUTER EDGE L stick (x, y) data:  (x:+92.16, y:-68.63) for angle:53</t>
  </si>
  <si>
    <t>GVM Output: OUTER EDGE L stick (x, y) data:  (x:+90.59, y:-69.41) for angle:52</t>
  </si>
  <si>
    <t>GVM Output: OUTER EDGE L stick (x, y) data:  (x:+89.80, y:-71.76) for angle:51</t>
  </si>
  <si>
    <t>GVM Output: OUTER EDGE L stick (x, y) data:  (x:+88.24, y:-72.55) for angle:50</t>
  </si>
  <si>
    <t>GVM Output: OUTER EDGE L stick (x, y) data:  (x:+86.67, y:-74.12) for angle:49</t>
  </si>
  <si>
    <t>GVM Output: OUTER EDGE L stick (x, y) data:  (x:+85.10, y:-75.69) for angle:48</t>
  </si>
  <si>
    <t>GVM Output: OUTER EDGE L stick (x, y) data:  (x:+84.31, y:-77.25) for angle:47</t>
  </si>
  <si>
    <t>GVM Output: OUTER EDGE L stick (x, y) data:  (x:+82.75, y:-78.82) for angle:46</t>
  </si>
  <si>
    <t>GVM Output: OUTER EDGE L stick (x, y) data:  (x:+77.26, y:-81.18) for angle:44</t>
  </si>
  <si>
    <t>GVM Output: OUTER EDGE L stick (x, y) data:  (x:+74.12, y:-81.96) for angle:42</t>
  </si>
  <si>
    <t>GVM Output: OUTER EDGE L stick (x, y) data:  (x:+76.47, y:-81.96) for angle:43</t>
  </si>
  <si>
    <t>GVM Output: OUTER EDGE L stick (x, y) data:  (x:+70.20, y:-82.75) for angle:40</t>
  </si>
  <si>
    <t>GVM Output: OUTER EDGE L stick (x, y) data:  (x:+75.69, y:-85.88) for angle:41</t>
  </si>
  <si>
    <t>GVM Output: OUTER EDGE L stick (x, y) data:  (x:+71.77, y:-87.45) for angle:39</t>
  </si>
  <si>
    <t>GVM Output: OUTER EDGE L stick (x, y) data:  (x:+66.28, y:-89.02) for angle:37</t>
  </si>
  <si>
    <t>GVM Output: OUTER EDGE L stick (x, y) data:  (x:+63.92, y:-89.80) for angle:36</t>
  </si>
  <si>
    <t>GVM Output: OUTER EDGE L stick (x, y) data:  (x:+65.49, y:-92.94) for angle:35</t>
  </si>
  <si>
    <t>GVM Output: OUTER EDGE L stick (x, y) data:  (x:+63.92, y:-93.73) for angle:34</t>
  </si>
  <si>
    <t>GVM Output: OUTER EDGE L stick (x, y) data:  (x:+61.57, y:-94.51) for angle:33</t>
  </si>
  <si>
    <t>GVM Output: OUTER EDGE L stick (x, y) data:  (x:+60.00, y:-95.29) for angle:32</t>
  </si>
  <si>
    <t>GVM Output: OUTER EDGE L stick (x, y) data:  (x:+58.43, y:-96.08) for angle:31</t>
  </si>
  <si>
    <t>GVM Output: OUTER EDGE L stick (x, y) data:  (x:+56.08, y:-96.86) for angle:30</t>
  </si>
  <si>
    <t>GVM Output: OUTER EDGE L stick (x, y) data:  (x:+55.29, y:-98.43) for angle:29</t>
  </si>
  <si>
    <t>GVM Output: OUTER EDGE L stick (x, y) data:  (x:+52.94, y:-99.22) for angle:28</t>
  </si>
  <si>
    <t>GVM Output: OUTER EDGE L stick (x, y) data:  (x:+51.37, y:-99.22) for angle:27</t>
  </si>
  <si>
    <t>GVM Output: OUTER EDGE L stick (x, y) data:  (x:+49.02, y:-100.00) for angle:26</t>
  </si>
  <si>
    <t>GVM Output: OUTER EDGE L stick (x, y) data:  (x:+47.45, y:-100.00) for angle:25</t>
  </si>
  <si>
    <t>GVM Output: OUTER EDGE L stick (x, y) data:  (x:+45.10, y:-100.00) for angle:24</t>
  </si>
  <si>
    <t>GVM Output: OUTER EDGE L stick (x, y) data:  (x:+42.75, y:-100.00) for angle:23</t>
  </si>
  <si>
    <t>GVM Output: OUTER EDGE L stick (x, y) data:  (x:+41.18, y:-100.00) for angle:22</t>
  </si>
  <si>
    <t>GVM Output: OUTER EDGE L stick (x, y) data:  (x:+38.82, y:-100.00) for angle:21</t>
  </si>
  <si>
    <t>GVM Output: OUTER EDGE L stick (x, y) data:  (x:+37.26, y:-100.00) for angle:20</t>
  </si>
  <si>
    <t>GVM Output: OUTER EDGE L stick (x, y) data:  (x:+34.90, y:-100.00) for angle:19</t>
  </si>
  <si>
    <t>GVM Output: OUTER EDGE L stick (x, y) data:  (x:+33.33, y:-100.00) for angle:18</t>
  </si>
  <si>
    <t>GVM Output: OUTER EDGE L stick (x, y) data:  (x:+31.77, y:-100.00) for angle:17</t>
  </si>
  <si>
    <t>GVM Output: OUTER EDGE L stick (x, y) data:  (x:+29.41, y:-100.00) for angle:16</t>
  </si>
  <si>
    <t>GVM Output: OUTER EDGE L stick (x, y) data:  (x:+27.84, y:-100.00) for angle:15</t>
  </si>
  <si>
    <t>GVM Output: OUTER EDGE L stick (x, y) data:  (x:+25.49, y:-100.00) for angle:14</t>
  </si>
  <si>
    <t>GVM Output: OUTER EDGE L stick (x, y) data:  (x:+23.92, y:-100.00) for angle:13</t>
  </si>
  <si>
    <t>GVM Output: OUTER EDGE L stick (x, y) data:  (x:+22.35, y:-100.00) for angle:12</t>
  </si>
  <si>
    <t>GVM Output: OUTER EDGE L stick (x, y) data:  (x:+20.78, y:-100.00) for angle:11</t>
  </si>
  <si>
    <t>GVM Output: OUTER EDGE L stick (x, y) data:  (x:+19.22, y:-100.00) for angle:10</t>
  </si>
  <si>
    <t>GVM Output: OUTER EDGE L stick (x, y) data:  (x:+17.65, y:-100.00) for angle:9</t>
  </si>
  <si>
    <t>GVM Output: OUTER EDGE L stick (x, y) data:  (x:+15.29, y:-100.00) for angle:8</t>
  </si>
  <si>
    <t>GVM Output: OUTER EDGE L stick (x, y) data:  (x:+13.73, y:-100.00) for angle:7</t>
  </si>
  <si>
    <t>GVM Output: OUTER EDGE L stick (x, y) data:  (x:+12.16, y:-100.00) for angle:6</t>
  </si>
  <si>
    <t>GVM Output: OUTER EDGE L stick (x, y) data:  (x:+10.59, y:-100.00) for angle:5</t>
  </si>
  <si>
    <t>GVM Output: OUTER EDGE L stick (x, y) data:  (x:+8.24, y:-100.00) for angle:4</t>
  </si>
  <si>
    <t>GVM Output: OUTER EDGE L stick (x, y) data:  (x:+6.67, y:-100.00) for angle:3</t>
  </si>
  <si>
    <t>GVM Output: OUTER EDGE L stick (x, y) data:  (x:+5.10, y:-100.00) for angle:2</t>
  </si>
  <si>
    <t>GVM Output: OUTER EDGE L stick (x, y) data:  (x:+2.75, y:-100.00) for angle:1</t>
  </si>
  <si>
    <t>GVM Output: OUTER EDGE L stick (x, y) data:  (x:+0.39, y:-100.00) for angle:0</t>
  </si>
  <si>
    <t>GVM Output: OUTER EDGE L stick (x, y) data:  (x:-1.18, y:-100.00) for angle:359</t>
  </si>
  <si>
    <t>GVM Output: OUTER EDGE L stick (x, y) data:  (x:-4.31, y:-100.00) for angle:358</t>
  </si>
  <si>
    <t>GVM Output: OUTER EDGE L stick (x, y) data:  (x:-5.88, y:-100.00) for angle:357</t>
  </si>
  <si>
    <t>GVM Output: OUTER EDGE L stick (x, y) data:  (x:-7.45, y:-100.00) for angle:356</t>
  </si>
  <si>
    <t>GVM Output: OUTER EDGE L stick (x, y) data:  (x:-9.02, y:-100.00) for angle:355</t>
  </si>
  <si>
    <t>GVM Output: OUTER EDGE L stick (x, y) data:  (x:-11.37, y:-100.00) for angle:354</t>
  </si>
  <si>
    <t>GVM Output: OUTER EDGE L stick (x, y) data:  (x:-12.94, y:-100.00) for angle:353</t>
  </si>
  <si>
    <t>GVM Output: OUTER EDGE L stick (x, y) data:  (x:-14.51, y:-100.00) for angle:352</t>
  </si>
  <si>
    <t>GVM Output: OUTER EDGE L stick (x, y) data:  (x:-16.08, y:-100.00) for angle:351</t>
  </si>
  <si>
    <t>GVM Output: OUTER EDGE L stick (x, y) data:  (x:-18.43, y:-100.00) for angle:350</t>
  </si>
  <si>
    <t>GVM Output: OUTER EDGE L stick (x, y) data:  (x:-20.00, y:-100.00) for angle:349</t>
  </si>
  <si>
    <t>GVM Output: OUTER EDGE L stick (x, y) data:  (x:-21.57, y:-100.00) for angle:348</t>
  </si>
  <si>
    <t>GVM Output: OUTER EDGE L stick (x, y) data:  (x:-23.14, y:-100.00) for angle:347</t>
  </si>
  <si>
    <t>GVM Output: OUTER EDGE L stick (x, y) data:  (x:-24.71, y:-100.00) for angle:346</t>
  </si>
  <si>
    <t>GVM Output: OUTER EDGE L stick (x, y) data:  (x:-27.06, y:-100.00) for angle:345</t>
  </si>
  <si>
    <t>GVM Output: OUTER EDGE L stick (x, y) data:  (x:-28.63, y:-100.00) for angle:344</t>
  </si>
  <si>
    <t>GVM Output: OUTER EDGE L stick (x, y) data:  (x:-30.20, y:-100.00) for angle:343</t>
  </si>
  <si>
    <t>GVM Output: OUTER EDGE L stick (x, y) data:  (x:-32.55, y:-100.00) for angle:342</t>
  </si>
  <si>
    <t>GVM Output: OUTER EDGE L stick (x, y) data:  (x:-34.12, y:-100.00) for angle:341</t>
  </si>
  <si>
    <t>GVM Output: OUTER EDGE L stick (x, y) data:  (x:-35.69, y:-100.00) for angle:340</t>
  </si>
  <si>
    <t>GVM Output: OUTER EDGE L stick (x, y) data:  (x:-37.25, y:-99.22) for angle:339</t>
  </si>
  <si>
    <t>GVM Output: OUTER EDGE L stick (x, y) data:  (x:-39.61, y:-99.22) for angle:338</t>
  </si>
  <si>
    <t>GVM Output: OUTER EDGE L stick (x, y) data:  (x:-41.18, y:-98.43) for angle:337</t>
  </si>
  <si>
    <t>GVM Output: OUTER EDGE L stick (x, y) data:  (x:-42.74, y:-98.43) for angle:336</t>
  </si>
  <si>
    <t>GVM Output: OUTER EDGE L stick (x, y) data:  (x:-44.31, y:-96.86) for angle:335</t>
  </si>
  <si>
    <t>GVM Output: OUTER EDGE L stick (x, y) data:  (x:-46.67, y:-96.08) for angle:334</t>
  </si>
  <si>
    <t>GVM Output: OUTER EDGE L stick (x, y) data:  (x:-48.24, y:-95.29) for angle:333</t>
  </si>
  <si>
    <t>GVM Output: OUTER EDGE L stick (x, y) data:  (x:-49.02, y:-94.51) for angle:332</t>
  </si>
  <si>
    <t>GVM Output: OUTER EDGE L stick (x, y) data:  (x:-50.59, y:-92.94) for angle:331</t>
  </si>
  <si>
    <t>GVM Output: OUTER EDGE L stick (x, y) data:  (x:-52.94, y:-92.16) for angle:330</t>
  </si>
  <si>
    <t>GVM Output: OUTER EDGE L stick (x, y) data:  (x:-53.73, y:-91.37) for angle:329</t>
  </si>
  <si>
    <t>GVM Output: OUTER EDGE L stick (x, y) data:  (x:-56.08, y:-91.37) for angle:328</t>
  </si>
  <si>
    <t>GVM Output: OUTER EDGE L stick (x, y) data:  (x:-57.65, y:-89.80) for angle:327</t>
  </si>
  <si>
    <t>GVM Output: OUTER EDGE L stick (x, y) data:  (x:-59.22, y:-88.24) for angle:326</t>
  </si>
  <si>
    <t>GVM Output: OUTER EDGE L stick (x, y) data:  (x:-60.00, y:-87.45) for angle:325</t>
  </si>
  <si>
    <t>GVM Output: OUTER EDGE L stick (x, y) data:  (x:-61.57, y:-85.88) for angle:324</t>
  </si>
  <si>
    <t>GVM Output: OUTER EDGE L stick (x, y) data:  (x:-63.14, y:-85.10) for angle:323</t>
  </si>
  <si>
    <t>GVM Output: OUTER EDGE L stick (x, y) data:  (x:-64.71, y:-84.31) for angle:322</t>
  </si>
  <si>
    <t>GVM Output: OUTER EDGE L stick (x, y) data:  (x:-66.27, y:-83.53) for angle:321</t>
  </si>
  <si>
    <t>GVM Output: OUTER EDGE L stick (x, y) data:  (x:-68.63, y:-82.75) for angle:320</t>
  </si>
  <si>
    <t>GVM Output: OUTER EDGE L stick (x, y) data:  (x:-69.41, y:-81.18) for angle:319</t>
  </si>
  <si>
    <t>GVM Output: OUTER EDGE L stick (x, y) data:  (x:-70.20, y:-78.82) for angle:318</t>
  </si>
  <si>
    <t>GVM Output: OUTER EDGE L stick (x, y) data:  (x:-71.76, y:-78.04) for angle:317</t>
  </si>
  <si>
    <t>GVM Output: OUTER EDGE L stick (x, y) data:  (x:-72.55, y:-76.47) for angle:316</t>
  </si>
  <si>
    <t>GVM Output: OUTER EDGE L stick (x, y) data:  (x:-74.90, y:-74.90) for angle:315</t>
  </si>
  <si>
    <t>GVM Output: OUTER EDGE L stick (x, y) data:  (x:-76.47, y:-74.12) for angle:314</t>
  </si>
  <si>
    <t>GVM Output: OUTER EDGE L stick (x, y) data:  (x:-78.04, y:-72.55) for angle:313</t>
  </si>
  <si>
    <t>GVM Output: OUTER EDGE L stick (x, y) data:  (x:-78.82, y:-71.76) for angle:312</t>
  </si>
  <si>
    <t>GVM Output: OUTER EDGE L stick (x, y) data:  (x:-79.61, y:-70.20) for angle:311</t>
  </si>
  <si>
    <t>GVM Output: OUTER EDGE L stick (x, y) data:  (x:-81.18, y:-68.63) for angle:310</t>
  </si>
  <si>
    <t>GVM Output: OUTER EDGE L stick (x, y) data:  (x:-83.53, y:-67.84) for angle:309</t>
  </si>
  <si>
    <t>GVM Output: OUTER EDGE L stick (x, y) data:  (x:-84.31, y:-66.27) for angle:308</t>
  </si>
  <si>
    <t>GVM Output: OUTER EDGE L stick (x, y) data:  (x:-85.88, y:-65.49) for angle:307</t>
  </si>
  <si>
    <t>GVM Output: OUTER EDGE L stick (x, y) data:  (x:-87.45, y:-63.92) for angle:306</t>
  </si>
  <si>
    <t>GVM Output: OUTER EDGE L stick (x, y) data:  (x:-88.24, y:-62.35) for angle:305</t>
  </si>
  <si>
    <t>GVM Output: OUTER EDGE L stick (x, y) data:  (x:-89.80, y:-60.78) for angle:304</t>
  </si>
  <si>
    <t>GVM Output: OUTER EDGE L stick (x, y) data:  (x:-90.59, y:-59.22) for angle:303</t>
  </si>
  <si>
    <t>GVM Output: OUTER EDGE L stick (x, y) data:  (x:-91.37, y:-56.86) for angle:302</t>
  </si>
  <si>
    <t>GVM Output: OUTER EDGE L stick (x, y) data:  (x:-91.37, y:-55.29) for angle:301</t>
  </si>
  <si>
    <t>GVM Output: OUTER EDGE L stick (x, y) data:  (x:-92.94, y:-53.73) for angle:300</t>
  </si>
  <si>
    <t>GVM Output: OUTER EDGE L stick (x, y) data:  (x:-94.51, y:-52.16) for angle:299</t>
  </si>
  <si>
    <t>GVM Output: OUTER EDGE L stick (x, y) data:  (x:-95.29, y:-50.59) for angle:298</t>
  </si>
  <si>
    <t>GVM Output: OUTER EDGE L stick (x, y) data:  (x:-96.86, y:-49.02) for angle:297</t>
  </si>
  <si>
    <t>GVM Output: OUTER EDGE L stick (x, y) data:  (x:-97.65, y:-46.67) for angle:296</t>
  </si>
  <si>
    <t>GVM Output: OUTER EDGE L stick (x, y) data:  (x:-98.43, y:-45.88) for angle:295</t>
  </si>
  <si>
    <t>GVM Output: OUTER EDGE L stick (x, y) data:  (x:-98.43, y:-43.53) for angle:294</t>
  </si>
  <si>
    <t>GVM Output: OUTER EDGE L stick (x, y) data:  (x:-99.22, y:-41.96) for angle:293</t>
  </si>
  <si>
    <t>GVM Output: OUTER EDGE L stick (x, y) data:  (x:-99.22, y:-40.39) for angle:292</t>
  </si>
  <si>
    <t>GVM Output: OUTER EDGE L stick (x, y) data:  (x:-100.00, y:-38.82) for angle:291</t>
  </si>
  <si>
    <t>GVM Output: OUTER EDGE L stick (x, y) data:  (x:-100.00, y:-36.47) for angle:290</t>
  </si>
  <si>
    <t>GVM Output: OUTER EDGE L stick (x, y) data:  (x:-100.00, y:-34.90) for angle:289</t>
  </si>
  <si>
    <t>GVM Output: OUTER EDGE L stick (x, y) data:  (x:-100.00, y:-33.33) for angle:288</t>
  </si>
  <si>
    <t>GVM Output: OUTER EDGE L stick (x, y) data:  (x:-100.00, y:-29.41) for angle:286</t>
  </si>
  <si>
    <t>GVM Output: OUTER EDGE L stick (x, y) data:  (x:-100.00, y:-27.06) for angle:285</t>
  </si>
  <si>
    <t>GVM Output: OUTER EDGE L stick (x, y) data:  (x:-100.00, y:-26.27) for angle:284</t>
  </si>
  <si>
    <t>GVM Output: OUTER EDGE L stick (x, y) data:  (x:-100.00, y:-23.14) for angle:283</t>
  </si>
  <si>
    <t>GVM Output: OUTER EDGE L stick (x, y) data:  (x:-100.00, y:-22.35) for angle:282</t>
  </si>
  <si>
    <t>GVM Output: OUTER EDGE L stick (x, y) data:  (x:-100.00, y:-20.78) for angle:281</t>
  </si>
  <si>
    <t>GVM Output: OUTER EDGE L stick (x, y) data:  (x:-100.00, y:-17.65) for angle:279</t>
  </si>
  <si>
    <t>GVM Output: OUTER EDGE L stick (x, y) data:  (x:-100.00, y:-14.51) for angle:278</t>
  </si>
  <si>
    <t>GVM Output: OUTER EDGE L stick (x, y) data:  (x:-100.00, y:-13.73) for angle:277</t>
  </si>
  <si>
    <t>GVM Output: OUTER EDGE L stick (x, y) data:  (x:-100.00, y:-10.59) for angle:275</t>
  </si>
  <si>
    <t>GVM Output: OUTER EDGE L stick (x, y) data:  (x:-100.00, y:-11.37) for angle:276</t>
  </si>
  <si>
    <t>GVM Output: OUTER EDGE L stick (x, y) data:  (x:-100.00, y:-8.23) for angle:274</t>
  </si>
  <si>
    <t>GVM Output: OUTER EDGE L stick (x, y) data:  (x:-100.00, y:-6.67) for angle:273</t>
  </si>
  <si>
    <t>GVM Output: OUTER EDGE L stick (x, y) data:  (x:-100.00, y:-4.31) for angle:272</t>
  </si>
  <si>
    <t>GVM Output: OUTER EDGE L stick (x, y) data:  (x:-100.00, y:-1.96) for angle:271</t>
  </si>
  <si>
    <t>GVM Output: OUTER EDGE L stick (x, y) data:  (x:-100.00, y:-0.39) for angle:270</t>
  </si>
  <si>
    <t>GVM Output: OUTER EDGE L stick (x, y) data:  (x:-100.00, y:+1.96) for angle:269</t>
  </si>
  <si>
    <t>GVM Output: OUTER EDGE L stick (x, y) data:  (x:-100.00, y:+4.31) for angle:268</t>
  </si>
  <si>
    <t>GVM Output: OUTER EDGE L stick (x, y) data:  (x:-100.00, y:+5.88) for angle:267</t>
  </si>
  <si>
    <t>GVM Output: OUTER EDGE L stick (x, y) data:  (x:-100.00, y:+8.24) for angle:266</t>
  </si>
  <si>
    <t>GVM Output: OUTER EDGE L stick (x, y) data:  (x:-100.00, y:+9.02) for angle:265</t>
  </si>
  <si>
    <t>GVM Output: OUTER EDGE L stick (x, y) data:  (x:-100.00, y:+11.37) for angle:264</t>
  </si>
  <si>
    <t>GVM Output: OUTER EDGE L stick (x, y) data:  (x:-100.00, y:+12.94) for angle:263</t>
  </si>
  <si>
    <t>GVM Output: OUTER EDGE L stick (x, y) data:  (x:-100.00, y:+14.51) for angle:262</t>
  </si>
  <si>
    <t>GVM Output: OUTER EDGE L stick (x, y) data:  (x:-100.00, y:+16.08) for angle:261</t>
  </si>
  <si>
    <t>GVM Output: OUTER EDGE L stick (x, y) data:  (x:-100.00, y:+18.43) for angle:260</t>
  </si>
  <si>
    <t>GVM Output: OUTER EDGE L stick (x, y) data:  (x:-100.00, y:+20.00) for angle:259</t>
  </si>
  <si>
    <t>GVM Output: OUTER EDGE L stick (x, y) data:  (x:-100.00, y:+21.57) for angle:258</t>
  </si>
  <si>
    <t>GVM Output: OUTER EDGE L stick (x, y) data:  (x:-100.00, y:+23.14) for angle:257</t>
  </si>
  <si>
    <t>GVM Output: OUTER EDGE L stick (x, y) data:  (x:-100.00, y:+24.71) for angle:256</t>
  </si>
  <si>
    <t>GVM Output: OUTER EDGE L stick (x, y) data:  (x:-100.00, y:+27.06) for angle:255</t>
  </si>
  <si>
    <t>GVM Output: OUTER EDGE L stick (x, y) data:  (x:-100.00, y:+28.63) for angle:254</t>
  </si>
  <si>
    <t>GVM Output: OUTER EDGE L stick (x, y) data:  (x:-100.00, y:+30.20) for angle:253</t>
  </si>
  <si>
    <t>GVM Output: OUTER EDGE L stick (x, y) data:  (x:-100.00, y:+32.55) for angle:252</t>
  </si>
  <si>
    <t>GVM Output: OUTER EDGE L stick (x, y) data:  (x:-100.00, y:+34.12) for angle:251</t>
  </si>
  <si>
    <t>GVM Output: OUTER EDGE L stick (x, y) data:  (x:-100.00, y:+35.69) for angle:250</t>
  </si>
  <si>
    <t>GVM Output: OUTER EDGE L stick (x, y) data:  (x:-100.00, y:+38.04) for angle:249</t>
  </si>
  <si>
    <t>GVM Output: OUTER EDGE L stick (x, y) data:  (x:-100.00, y:+39.61) for angle:248</t>
  </si>
  <si>
    <t>GVM Output: OUTER EDGE L stick (x, y) data:  (x:-100.00, y:+41.96) for angle:247</t>
  </si>
  <si>
    <t>GVM Output: OUTER EDGE L stick (x, y) data:  (x:-100.00, y:+43.53) for angle:246</t>
  </si>
  <si>
    <t>GVM Output: OUTER EDGE L stick (x, y) data:  (x:-99.22, y:+45.10) for angle:245</t>
  </si>
  <si>
    <t>GVM Output: OUTER EDGE L stick (x, y) data:  (x:-98.43, y:+47.45) for angle:244</t>
  </si>
  <si>
    <t>GVM Output: OUTER EDGE L stick (x, y) data:  (x:-97.65, y:+49.02) for angle:243</t>
  </si>
  <si>
    <t>GVM Output: OUTER EDGE L stick (x, y) data:  (x:-96.86, y:+50.59) for angle:242</t>
  </si>
  <si>
    <t>GVM Output: OUTER EDGE L stick (x, y) data:  (x:-95.29, y:+52.16) for angle:241</t>
  </si>
  <si>
    <t>GVM Output: OUTER EDGE L stick (x, y) data:  (x:-94.51, y:+53.73) for angle:240</t>
  </si>
  <si>
    <t>GVM Output: OUTER EDGE L stick (x, y) data:  (x:-93.73, y:+56.08) for angle:239</t>
  </si>
  <si>
    <t>GVM Output: OUTER EDGE L stick (x, y) data:  (x:-92.94, y:+56.86) for angle:238</t>
  </si>
  <si>
    <t>GVM Output: OUTER EDGE L stick (x, y) data:  (x:-90.59, y:+57.65) for angle:237</t>
  </si>
  <si>
    <t>GVM Output: OUTER EDGE L stick (x, y) data:  (x:-89.80, y:+59.22) for angle:236</t>
  </si>
  <si>
    <t>GVM Output: OUTER EDGE L stick (x, y) data:  (x:-89.02, y:+61.57) for angle:235</t>
  </si>
  <si>
    <t>GVM Output: OUTER EDGE L stick (x, y) data:  (x:-88.24, y:+63.14) for angle:234</t>
  </si>
  <si>
    <t>GVM Output: OUTER EDGE L stick (x, y) data:  (x:-88.24, y:+65.49) for angle:233</t>
  </si>
  <si>
    <t>GVM Output: OUTER EDGE L stick (x, y) data:  (x:-86.67, y:+66.28) for angle:232</t>
  </si>
  <si>
    <t>GVM Output: OUTER EDGE L stick (x, y) data:  (x:-84.31, y:+67.84) for angle:231</t>
  </si>
  <si>
    <t>GVM Output: OUTER EDGE L stick (x, y) data:  (x:-83.53, y:+68.63) for angle:230</t>
  </si>
  <si>
    <t>GVM Output: OUTER EDGE L stick (x, y) data:  (x:-81.18, y:+70.20) for angle:229</t>
  </si>
  <si>
    <t>GVM Output: OUTER EDGE L stick (x, y) data:  (x:-80.39, y:+71.77) for angle:228</t>
  </si>
  <si>
    <t>GVM Output: OUTER EDGE L stick (x, y) data:  (x:-79.61, y:+73.33) for angle:227</t>
  </si>
  <si>
    <t>GVM Output: OUTER EDGE L stick (x, y) data:  (x:-78.82, y:+74.90) for angle:226</t>
  </si>
  <si>
    <t>GVM Output: OUTER EDGE L stick (x, y) data:  (x:-76.47, y:+75.69) for angle:225</t>
  </si>
  <si>
    <t>GVM Output: OUTER EDGE L stick (x, y) data:  (x:-75.69, y:+77.26) for angle:224</t>
  </si>
  <si>
    <t>GVM Output: OUTER EDGE L stick (x, y) data:  (x:-74.12, y:+78.82) for angle:223</t>
  </si>
  <si>
    <t>GVM Output: OUTER EDGE L stick (x, y) data:  (x:-71.76, y:+79.61) for angle:222</t>
  </si>
  <si>
    <t>GVM Output: OUTER EDGE L stick (x, y) data:  (x:-70.20, y:+79.61) for angle:221</t>
  </si>
  <si>
    <t>GVM Output: OUTER EDGE L stick (x, y) data:  (x:-69.41, y:+81.96) for angle:220</t>
  </si>
  <si>
    <t>GVM Output: OUTER EDGE L stick (x, y) data:  (x:-67.84, y:+82.75) for angle:219</t>
  </si>
  <si>
    <t>GVM Output: OUTER EDGE L stick (x, y) data:  (x:-66.27, y:+84.31) for angle:218</t>
  </si>
  <si>
    <t>GVM Output: OUTER EDGE L stick (x, y) data:  (x:-64.71, y:+85.10) for angle:217</t>
  </si>
  <si>
    <t>GVM Output: OUTER EDGE L stick (x, y) data:  (x:-63.14, y:+85.88) for angle:216</t>
  </si>
  <si>
    <t>GVM Output: OUTER EDGE L stick (x, y) data:  (x:-60.78, y:+86.67) for angle:215</t>
  </si>
  <si>
    <t>GVM Output: OUTER EDGE L stick (x, y) data:  (x:-59.22, y:+87.45) for angle:214</t>
  </si>
  <si>
    <t>GVM Output: OUTER EDGE L stick (x, y) data:  (x:-58.43, y:+89.02) for angle:213</t>
  </si>
  <si>
    <t>GVM Output: OUTER EDGE L stick (x, y) data:  (x:-56.86, y:+89.80) for angle:212</t>
  </si>
  <si>
    <t>GVM Output: OUTER EDGE L stick (x, y) data:  (x:-53.73, y:+91.37) for angle:211</t>
  </si>
  <si>
    <t>GVM Output: OUTER EDGE L stick (x, y) data:  (x:-52.94, y:+91.37) for angle:210</t>
  </si>
  <si>
    <t>GVM Output: OUTER EDGE L stick (x, y) data:  (x:-51.37, y:+92.16) for angle:209</t>
  </si>
  <si>
    <t>GVM Output: OUTER EDGE L stick (x, y) data:  (x:-49.80, y:+92.94) for angle:208</t>
  </si>
  <si>
    <t>GVM Output: OUTER EDGE L stick (x, y) data:  (x:-48.24, y:+94.51) for angle:207</t>
  </si>
  <si>
    <t>GVM Output: OUTER EDGE L stick (x, y) data:  (x:-46.67, y:+94.51) for angle:206</t>
  </si>
  <si>
    <t>GVM Output: OUTER EDGE L stick (x, y) data:  (x:-45.10, y:+95.30) for angle:205</t>
  </si>
  <si>
    <t>GVM Output: OUTER EDGE L stick (x, y) data:  (x:-42.74, y:+96.08) for angle:204</t>
  </si>
  <si>
    <t>GVM Output: OUTER EDGE L stick (x, y) data:  (x:-41.96, y:+96.86) for angle:203</t>
  </si>
  <si>
    <t>GVM Output: OUTER EDGE L stick (x, y) data:  (x:-39.61, y:+97.65) for angle:202</t>
  </si>
  <si>
    <t>GVM Output: OUTER EDGE L stick (x, y) data:  (x:-38.04, y:+97.65) for angle:201</t>
  </si>
  <si>
    <t>GVM Output: OUTER EDGE L stick (x, y) data:  (x:-36.47, y:+98.43) for angle:200</t>
  </si>
  <si>
    <t>GVM Output: OUTER EDGE L stick (x, y) data:  (x:-34.90, y:+100.00) for angle:199</t>
  </si>
  <si>
    <t>GVM Output: OUTER EDGE L stick (x, y) data:  (x:-33.33, y:+100.00) for angle:198</t>
  </si>
  <si>
    <t>GVM Output: OUTER EDGE L stick (x, y) data:  (x:-31.76, y:+100.00) for angle:197</t>
  </si>
  <si>
    <t>GVM Output: OUTER EDGE L stick (x, y) data:  (x:-29.41, y:+100.00) for angle:196</t>
  </si>
  <si>
    <t>GVM Output: OUTER EDGE L stick (x, y) data:  (x:-27.84, y:+100.00) for angle:195</t>
  </si>
  <si>
    <t>GVM Output: OUTER EDGE L stick (x, y) data:  (x:-26.27, y:+100.00) for angle:194</t>
  </si>
  <si>
    <t>GVM Output: OUTER EDGE L stick (x, y) data:  (x:-23.92, y:+100.00) for angle:193</t>
  </si>
  <si>
    <t>GVM Output: OUTER EDGE L stick (x, y) data:  (x:-21.57, y:+100.00) for angle:192</t>
  </si>
  <si>
    <t>GVM Output: OUTER EDGE L stick (x, y) data:  (x:-20.78, y:+100.00) for angle:191</t>
  </si>
  <si>
    <t>GVM Output: OUTER EDGE L stick (x, y) data:  (x:-19.22, y:+100.00) for angle:190</t>
  </si>
  <si>
    <t>GVM Output: NEXT OUTSTANDING ANGLE THAT NEEDS SCANNING:      ====  38  ====</t>
  </si>
  <si>
    <t>GVM Output: OUTER EDGE L stick (x, y) data:  (x:-0.39, y:+100.00) for angle:180</t>
  </si>
  <si>
    <t>GVM Output: OUTER EDGE L stick (x, y) data:  (x:+1.18, y:+100.00) for angle:179</t>
  </si>
  <si>
    <t>GVM Output: OUTER EDGE L stick (x, y) data:  (x:+3.53, y:+100.00) for angle:178</t>
  </si>
  <si>
    <t>GVM Output: OUTER EDGE L stick (x, y) data:  (x:+5.88, y:+100.00) for angle:177</t>
  </si>
  <si>
    <t>GVM Output: OUTER EDGE L stick (x, y) data:  (x:+7.45, y:+100.00) for angle:176</t>
  </si>
  <si>
    <t>GVM Output: OUTER EDGE L stick (x, y) data:  (x:+9.02, y:+100.00) for angle:175</t>
  </si>
  <si>
    <t>GVM Output: OUTER EDGE L stick (x, y) data:  (x:+11.37, y:+100.00) for angle:174</t>
  </si>
  <si>
    <t>GVM Output: OUTER EDGE L stick (x, y) data:  (x:+12.94, y:+100.00) for angle:173</t>
  </si>
  <si>
    <t>GVM Output: OUTER EDGE L stick (x, y) data:  (x:+15.29, y:+100.00) for angle:172</t>
  </si>
  <si>
    <t>GVM Output: OUTER EDGE L stick (x, y) data:  (x:+16.86, y:+100.00) for angle:171</t>
  </si>
  <si>
    <t>GVM Output: OUTER EDGE L stick (x, y) data:  (x:+18.43, y:+100.00) for angle:170</t>
  </si>
  <si>
    <t>GVM Output: OUTER EDGE L stick (x, y) data:  (x:+20.00, y:+100.00) for angle:169</t>
  </si>
  <si>
    <t>GVM Output: OUTER EDGE L stick (x, y) data:  (x:+21.57, y:+100.00) for angle:168</t>
  </si>
  <si>
    <t>GVM Output: OUTER EDGE L stick (x, y) data:  (x:+23.14, y:+100.00) for angle:167</t>
  </si>
  <si>
    <t>GVM Output: OUTER EDGE L stick (x, y) data:  (x:+24.71, y:+100.00) for angle:166</t>
  </si>
  <si>
    <t>GVM Output: OUTER EDGE L stick (x, y) data:  (x:+27.06, y:+100.00) for angle:165</t>
  </si>
  <si>
    <t>GVM Output: OUTER EDGE L stick (x, y) data:  (x:+28.63, y:+100.00) for angle:164</t>
  </si>
  <si>
    <t>GVM Output: OUTER EDGE L stick (x, y) data:  (x:+30.20, y:+100.00) for angle:163</t>
  </si>
  <si>
    <t>GVM Output: OUTER EDGE L stick (x, y) data:  (x:+32.55, y:+100.00) for angle:162</t>
  </si>
  <si>
    <t>GVM Output: OUTER EDGE L stick (x, y) data:  (x:+34.12, y:+100.00) for angle:161</t>
  </si>
  <si>
    <t>GVM Output: OUTER EDGE L stick (x, y) data:  (x:+35.69, y:+100.00) for angle:160</t>
  </si>
  <si>
    <t>GVM Output: OUTER EDGE L stick (x, y) data:  (x:+38.04, y:+100.00) for angle:159</t>
  </si>
  <si>
    <t>GVM Output: OUTER EDGE L stick (x, y) data:  (x:+39.61, y:+100.00) for angle:158</t>
  </si>
  <si>
    <t>GVM Output: OUTER EDGE L stick (x, y) data:  (x:+41.96, y:+100.00) for angle:157</t>
  </si>
  <si>
    <t>GVM Output: OUTER EDGE L stick (x, y) data:  (x:+43.53, y:+100.00) for angle:156</t>
  </si>
  <si>
    <t>GVM Output: OUTER EDGE L stick (x, y) data:  (x:+46.67, y:+100.00) for angle:155</t>
  </si>
  <si>
    <t>GVM Output: OUTER EDGE L stick (x, y) data:  (x:+47.45, y:+99.22) for angle:154</t>
  </si>
  <si>
    <t>GVM Output: OUTER EDGE L stick (x, y) data:  (x:+49.80, y:+99.22) for angle:153</t>
  </si>
  <si>
    <t>GVM Output: OUTER EDGE L stick (x, y) data:  (x:+51.37, y:+98.43) for angle:152</t>
  </si>
  <si>
    <t>GVM Output: OUTER EDGE L stick (x, y) data:  (x:+52.94, y:+96.86) for angle:151</t>
  </si>
  <si>
    <t>GVM Output: OUTER EDGE L stick (x, y) data:  (x:+54.51, y:+96.08) for angle:150</t>
  </si>
  <si>
    <t>GVM Output: OUTER EDGE L stick (x, y) data:  (x:+57.65, y:+95.30) for angle:149</t>
  </si>
  <si>
    <t>GVM Output: OUTER EDGE L stick (x, y) data:  (x:+57.65, y:+94.51) for angle:148</t>
  </si>
  <si>
    <t>GVM Output: OUTER EDGE L stick (x, y) data:  (x:+60.00, y:+93.73) for angle:147</t>
  </si>
  <si>
    <t>GVM Output: OUTER EDGE L stick (x, y) data:  (x:+61.57, y:+92.16) for angle:146</t>
  </si>
  <si>
    <t>GVM Output: OUTER EDGE L stick (x, y) data:  (x:+63.14, y:+90.59) for angle:145</t>
  </si>
  <si>
    <t>GVM Output: OUTER EDGE L stick (x, y) data:  (x:+64.71, y:+89.80) for angle:144</t>
  </si>
  <si>
    <t>GVM Output: OUTER EDGE L stick (x, y) data:  (x:+65.49, y:+88.24) for angle:143</t>
  </si>
  <si>
    <t>GVM Output: OUTER EDGE L stick (x, y) data:  (x:+67.06, y:+87.45) for angle:142</t>
  </si>
  <si>
    <t>GVM Output: OUTER EDGE L stick (x, y) data:  (x:+69.41, y:+85.88) for angle:141</t>
  </si>
  <si>
    <t>GVM Output: OUTER EDGE L stick (x, y) data:  (x:+70.20, y:+85.10) for angle:140</t>
  </si>
  <si>
    <t>GVM Output: OUTER EDGE L stick (x, y) data:  (x:+72.55, y:+83.53) for angle:139</t>
  </si>
  <si>
    <t>GVM Output: OUTER EDGE L stick (x, y) data:  (x:+74.12, y:+83.53) for angle:138</t>
  </si>
  <si>
    <t>GVM Output: OUTER EDGE L stick (x, y) data:  (x:+74.90, y:+81.18) for angle:137</t>
  </si>
  <si>
    <t>GVM Output: OUTER EDGE L stick (x, y) data:  (x:+76.47, y:+80.39) for angle:136</t>
  </si>
  <si>
    <t>GVM Output: OUTER EDGE L stick (x, y) data:  (x:+78.82, y:+79.61) for angle:135</t>
  </si>
  <si>
    <t>GVM Output: OUTER EDGE L stick (x, y) data:  (x:+79.61, y:+78.04) for angle:134</t>
  </si>
  <si>
    <t>GVM Output: OUTER EDGE L stick (x, y) data:  (x:+80.39, y:+75.69) for angle:133</t>
  </si>
  <si>
    <t>GVM Output: OUTER EDGE L stick (x, y) data:  (x:+81.96, y:+74.90) for angle:132</t>
  </si>
  <si>
    <t>GVM Output: OUTER EDGE L stick (x, y) data:  (x:+83.53, y:+73.33) for angle:131</t>
  </si>
  <si>
    <t>GVM Output: OUTER EDGE L stick (x, y) data:  (x:+84.31, y:+71.77) for angle:130</t>
  </si>
  <si>
    <t>GVM Output: OUTER EDGE L stick (x, y) data:  (x:+84.31, y:+68.63) for angle:129</t>
  </si>
  <si>
    <t>GVM Output: OUTER EDGE L stick (x, y) data:  (x:+87.45, y:+67.06) for angle:128</t>
  </si>
  <si>
    <t>GVM Output: OUTER EDGE L stick (x, y) data:  (x:+87.45, y:+66.28) for angle:127</t>
  </si>
  <si>
    <t>GVM Output: OUTER EDGE L stick (x, y) data:  (x:+89.02, y:+65.49) for angle:126</t>
  </si>
  <si>
    <t>GVM Output: OUTER EDGE L stick (x, y) data:  (x:+89.80, y:+63.14) for angle:125</t>
  </si>
  <si>
    <t>GVM Output: OUTER EDGE L stick (x, y) data:  (x:+89.80, y:+60.79) for angle:124</t>
  </si>
  <si>
    <t>GVM Output: OUTER EDGE L stick (x, y) data:  (x:+90.59, y:+59.22) for angle:123</t>
  </si>
  <si>
    <t>GVM Output: OUTER EDGE L stick (x, y) data:  (x:+91.37, y:+57.65) for angle:122</t>
  </si>
  <si>
    <t>GVM Output: OUTER EDGE L stick (x, y) data:  (x:+92.94, y:+56.08) for angle:121</t>
  </si>
  <si>
    <t>GVM Output: OUTER EDGE L stick (x, y) data:  (x:+93.73, y:+53.73) for angle:120</t>
  </si>
  <si>
    <t>GVM Output: OUTER EDGE L stick (x, y) data:  (x:+93.73, y:+51.37) for angle:119</t>
  </si>
  <si>
    <t>GVM Output: OUTER EDGE L stick (x, y) data:  (x:+95.30, y:+50.59) for angle:118</t>
  </si>
  <si>
    <t>GVM Output: OUTER EDGE L stick (x, y) data:  (x:+96.86, y:+49.02) for angle:117</t>
  </si>
  <si>
    <t>GVM Output: OUTER EDGE L stick (x, y) data:  (x:+96.86, y:+47.45) for angle:116</t>
  </si>
  <si>
    <t>GVM Output: OUTER EDGE L stick (x, y) data:  (x:+97.65, y:+45.88) for angle:115</t>
  </si>
  <si>
    <t>GVM Output: OUTER EDGE L stick (x, y) data:  (x:+97.65, y:+44.31) for angle:114</t>
  </si>
  <si>
    <t>GVM Output: OUTER EDGE L stick (x, y) data:  (x:+98.43, y:+41.96) for angle:113</t>
  </si>
  <si>
    <t>GVM Output: OUTER EDGE L stick (x, y) data:  (x:+99.22, y:+40.39) for angle:112</t>
  </si>
  <si>
    <t>GVM Output: OUTER EDGE L stick (x, y) data:  (x:+99.22, y:+38.82) for angle:111</t>
  </si>
  <si>
    <t>GVM Output: OUTER EDGE L stick (x, y) data:  (x:+99.22, y:+34.90) for angle:109</t>
  </si>
  <si>
    <t>GVM Output: OUTER EDGE L stick (x, y) data:  (x:+99.22, y:+33.33) for angle:108</t>
  </si>
  <si>
    <t>GVM Output: OUTER EDGE L stick (x, y) data:  (x:+100.00, y:+31.77) for angle:107</t>
  </si>
  <si>
    <t>GVM Output: OUTER EDGE L stick (x, y) data:  (x:+100.00, y:+29.41) for angle:106</t>
  </si>
  <si>
    <t>GVM Output: OUTER EDGE L stick (x, y) data:  (x:+100.00, y:+27.84) for angle:105</t>
  </si>
  <si>
    <t>GVM Output: OUTER EDGE L stick (x, y) data:  (x:+100.00, y:+26.28) for angle:104</t>
  </si>
  <si>
    <t>GVM Output: OUTER EDGE L stick (x, y) data:  (x:+100.00, y:+23.14) for angle:103</t>
  </si>
  <si>
    <t>GVM Output: OUTER EDGE L stick (x, y) data:  (x:+100.00, y:+22.35) for angle:102</t>
  </si>
  <si>
    <t>GVM Output: OUTER EDGE L stick (x, y) data:  (x:+100.00, y:+20.78) for angle:101</t>
  </si>
  <si>
    <t>GVM Output: OUTER EDGE L stick (x, y) data:  (x:+100.00, y:+19.22) for angle:100</t>
  </si>
  <si>
    <t>GVM Output: OUTER EDGE L stick (x, y) data:  (x:+100.00, y:+17.65) for angle:99</t>
  </si>
  <si>
    <t>GVM Output: OUTER EDGE L stick (x, y) data:  (x:+100.00, y:+15.29) for angle:98</t>
  </si>
  <si>
    <t>GVM Output: OUTER EDGE L stick (x, y) data:  (x:+100.00, y:+13.73) for angle:97</t>
  </si>
  <si>
    <t>GVM Output: OUTER EDGE L stick (x, y) data:  (x:+100.00, y:+12.16) for angle:96</t>
  </si>
  <si>
    <t>GVM Output: OUTER EDGE L stick (x, y) data:  (x:+100.00, y:+10.59) for angle:95</t>
  </si>
  <si>
    <t>GVM Output: OUTER EDGE L stick (x, y) data:  (x:+100.00, y:+8.24) for angle:94</t>
  </si>
  <si>
    <t>GVM Output: OUTER EDGE L stick (x, y) data:  (x:+100.00, y:+6.67) for angle:93</t>
  </si>
  <si>
    <t>GVM Output: OUTER EDGE L stick (x, y) data:  (x:+100.00, y:+5.10) for angle:92</t>
  </si>
  <si>
    <t>GVM Output: OUTER EDGE L stick (x, y) data:  (x:+100.00, y:+2.75) for angle:91</t>
  </si>
  <si>
    <t>GVM Output: OUTER EDGE L stick (x, y) data:  (x:+100.00, y:+0.39) for angle:90</t>
  </si>
  <si>
    <t>GVM Output: OUTER EDGE L stick (x, y) data:  (x:+100.00, y:-1.96) for angle:89</t>
  </si>
  <si>
    <t>GVM Output: OUTER EDGE L stick (x, y) data:  (x:+100.00, y:-3.53) for angle:88</t>
  </si>
  <si>
    <t>GVM Output: OUTER EDGE L stick (x, y) data:  (x:+100.00, y:-5.88) for angle:87</t>
  </si>
  <si>
    <t>GVM Output: OUTER EDGE L stick (x, y) data:  (x:+100.00, y:-7.45) for angle:86</t>
  </si>
  <si>
    <t>GVM Output: OUTER EDGE L stick (x, y) data:  (x:+81.96, y:-81.18) for angle:45</t>
  </si>
  <si>
    <t>GVM Output: OUTER EDGE L stick (x, y) data:  (x:+70.98, y:-89.80) for angle:38</t>
  </si>
  <si>
    <t>GVM Output: NEXT OUTSTANDING ANGLE THAT NEEDS SCANNING:      ====  110  ====</t>
  </si>
  <si>
    <t>GVM Output: OUTER EDGE L stick (x, y) data:  (x:-17.65, y:+100.00) for angle:189</t>
  </si>
  <si>
    <t>GVM Output: OUTER EDGE L stick (x, y) data:  (x:-15.29, y:+100.00) for angle:188</t>
  </si>
  <si>
    <t>GVM Output: OUTER EDGE L stick (x, y) data:  (x:-12.94, y:+100.00) for angle:187</t>
  </si>
  <si>
    <t>GVM Output: OUTER EDGE L stick (x, y) data:  (x:-12.16, y:+100.00) for angle:186</t>
  </si>
  <si>
    <t>GVM Output: OUTER EDGE L stick (x, y) data:  (x:-10.59, y:+100.00) for angle:185</t>
  </si>
  <si>
    <t>GVM Output: OUTER EDGE L stick (x, y) data:  (x:-8.23, y:+100.00) for angle:184</t>
  </si>
  <si>
    <t>GVM Output: OUTER EDGE L stick (x, y) data:  (x:-6.67, y:+100.00) for angle:183</t>
  </si>
  <si>
    <t>GVM Output: OUTER EDGE L stick (x, y) data:  (x:-5.10, y:+100.00) for angle:182</t>
  </si>
  <si>
    <t>GVM Output: OUTER EDGE L stick (x, y) data:  (x:-2.74, y:+100.00) for angle:181</t>
  </si>
  <si>
    <t>GVM Output: OUTER EDGE L stick (x, y) data:  (x:-100.00, y:-31.76) for angle:287</t>
  </si>
  <si>
    <t>GVM Output: OUTER EDGE L stick (x, y) data:  (x:-100.00, y:-19.22) for angle:280</t>
  </si>
  <si>
    <t>GVM Output: OUTER EDGE L stick (x, y) data:  (x:+99.22, y:+36.47) for angle:110</t>
  </si>
  <si>
    <t>GVM Output:</t>
  </si>
  <si>
    <t>GVM Output: ============================================</t>
  </si>
  <si>
    <t>GVM Output: !!!!!!!!!!!!!!!!!!!!!!!!!!!!!!!!!!!!!!!!!!!!!!!!!!!!!!!!!!!</t>
  </si>
  <si>
    <t>GVM Output:   ALL OF THE 360 ANGLES HAVE BEEN PRINTED !!!</t>
  </si>
  <si>
    <t>GVM Output:   If you are happy with your scan, i.e. the stick was kept to outer edge at</t>
  </si>
  <si>
    <t>GVM Output:   all times, then:</t>
  </si>
  <si>
    <t>GVM Output:   Copy the lines of data above and use the spreadsheet in the instructions</t>
  </si>
  <si>
    <t>GVM Output:   to calculate the calibration data.</t>
  </si>
  <si>
    <t>GVM Output: WAIT FOR INITIALISATION BEFORE SCANNING</t>
  </si>
  <si>
    <t>GVM Output: INITIALISATION COMPLETE. READY TO SCAN.</t>
  </si>
  <si>
    <t>GVM Output: To start scanning the stick outer edge (x, y) coordinates:</t>
  </si>
  <si>
    <t>GVM Output:  - 1) Hold the L/R stick to the outer edge (at any angle).</t>
  </si>
  <si>
    <t>GVM Output:  - 2) Press SQUARE / RIGHT (D-PAD) to scan either the LEFT or RIGHT stick respectively.</t>
  </si>
  <si>
    <t>GVM Output:  - 3) Rotate stick around outer edge repeatedly, until Output panel reports that you have scanned all the angles.</t>
  </si>
  <si>
    <t>GVM Output:  - 4) If at any time (from the beginning) the stick isn't on the outer edge, then repeat to get an accurate output.</t>
  </si>
  <si>
    <r>
      <rPr>
        <rFont val="Arial"/>
        <color theme="1"/>
        <sz val="13.0"/>
      </rPr>
      <t xml:space="preserve">- </t>
    </r>
    <r>
      <rPr>
        <rFont val="Arial"/>
        <b/>
        <color theme="1"/>
        <sz val="13.0"/>
      </rPr>
      <t>SYSTEM</t>
    </r>
    <r>
      <rPr>
        <rFont val="Arial"/>
        <color theme="1"/>
        <sz val="13.0"/>
      </rPr>
      <t>: (should have already done the following): copied, filtered and sorted the data from the previous sheet.</t>
    </r>
  </si>
  <si>
    <r>
      <rPr>
        <rFont val="Arial"/>
        <color theme="1"/>
        <sz val="13.0"/>
      </rPr>
      <t xml:space="preserve">- </t>
    </r>
    <r>
      <rPr>
        <rFont val="Arial"/>
        <b/>
        <color theme="1"/>
        <sz val="13.0"/>
      </rPr>
      <t>USER</t>
    </r>
    <r>
      <rPr>
        <rFont val="Arial"/>
        <color theme="1"/>
        <sz val="13.0"/>
      </rPr>
      <t>: This data set is the end result: (x, y) coords for all angles 0-359 at the perimeter of the stick (cell range A3 - C362)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</si>
</sst>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sz val="16.0"/>
      <color theme="1"/>
      <name val="Arial"/>
      <scheme val="minor"/>
    </font>
    <font>
      <sz val="13.0"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2" numFmtId="0" xfId="0" applyAlignment="1" applyFill="1" applyFont="1">
      <alignment readingOrder="0"/>
    </xf>
    <xf borderId="0" fillId="3" fontId="2" numFmtId="0" xfId="0" applyFill="1" applyFont="1"/>
    <xf borderId="0" fillId="3" fontId="2" numFmtId="0" xfId="0" applyFont="1"/>
    <xf borderId="0" fillId="0" fontId="3" numFmtId="0" xfId="0" applyAlignment="1" applyFont="1">
      <alignment readingOrder="0"/>
    </xf>
    <xf borderId="2" fillId="4" fontId="1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2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3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</xdr:row>
      <xdr:rowOff>76200</xdr:rowOff>
    </xdr:from>
    <xdr:ext cx="1533525" cy="628650"/>
    <xdr:grpSp>
      <xdr:nvGrpSpPr>
        <xdr:cNvPr id="2" name="Shape 2" title="Drawing"/>
        <xdr:cNvGrpSpPr/>
      </xdr:nvGrpSpPr>
      <xdr:grpSpPr>
        <a:xfrm>
          <a:off x="-159025" y="0"/>
          <a:ext cx="1685350" cy="619225"/>
          <a:chOff x="-159025" y="0"/>
          <a:chExt cx="1685350" cy="619225"/>
        </a:xfrm>
      </xdr:grpSpPr>
      <xdr:sp>
        <xdr:nvSpPr>
          <xdr:cNvPr id="3" name="Shape 3"/>
          <xdr:cNvSpPr/>
        </xdr:nvSpPr>
        <xdr:spPr>
          <a:xfrm>
            <a:off x="-118275" y="60925"/>
            <a:ext cx="1644600" cy="558300"/>
          </a:xfrm>
          <a:prstGeom prst="rect">
            <a:avLst/>
          </a:prstGeom>
          <a:solidFill>
            <a:srgbClr val="43434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-159025" y="0"/>
            <a:ext cx="1644600" cy="558300"/>
          </a:xfrm>
          <a:prstGeom prst="rect">
            <a:avLst/>
          </a:prstGeom>
          <a:solidFill>
            <a:srgbClr val="CC0000"/>
          </a:solidFill>
          <a:ln cap="flat" cmpd="sng" w="9525">
            <a:solidFill>
              <a:srgbClr val="EFEFE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</a:rPr>
              <a:t>Clear data A2-A1000</a:t>
            </a:r>
            <a:endParaRPr sz="1400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1685925</xdr:colOff>
      <xdr:row>1</xdr:row>
      <xdr:rowOff>76200</xdr:rowOff>
    </xdr:from>
    <xdr:ext cx="4057650" cy="838200"/>
    <xdr:grpSp>
      <xdr:nvGrpSpPr>
        <xdr:cNvPr id="2" name="Shape 2" title="Drawing"/>
        <xdr:cNvGrpSpPr/>
      </xdr:nvGrpSpPr>
      <xdr:grpSpPr>
        <a:xfrm>
          <a:off x="44000" y="125200"/>
          <a:ext cx="4040325" cy="822500"/>
          <a:chOff x="44000" y="125200"/>
          <a:chExt cx="4040325" cy="822500"/>
        </a:xfrm>
      </xdr:grpSpPr>
      <xdr:sp>
        <xdr:nvSpPr>
          <xdr:cNvPr id="5" name="Shape 5"/>
          <xdr:cNvSpPr/>
        </xdr:nvSpPr>
        <xdr:spPr>
          <a:xfrm>
            <a:off x="84725" y="176100"/>
            <a:ext cx="3999600" cy="771600"/>
          </a:xfrm>
          <a:prstGeom prst="rect">
            <a:avLst/>
          </a:prstGeom>
          <a:solidFill>
            <a:srgbClr val="66666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44000" y="125200"/>
            <a:ext cx="3999600" cy="771600"/>
          </a:xfrm>
          <a:prstGeom prst="rect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REFRESH ANOMALIES OUTPUT (to F9)</a:t>
            </a:r>
            <a:endParaRPr b="1"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(will need to do this every time after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Add new raw data to column A)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parky101-2/edge-scann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8.13"/>
    <col customWidth="1" min="2" max="2" width="5.63"/>
    <col customWidth="1" min="3" max="3" width="8.63"/>
    <col customWidth="1" min="4" max="4" width="7.38"/>
    <col customWidth="1" min="5" max="5" width="7.25"/>
    <col customWidth="1" min="6" max="6" width="7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5</v>
      </c>
      <c r="B2" s="4">
        <f>IFERROR(__xludf.DUMMYFUNCTION("IFERROR(VALUE(REGEXEXTRACT(A2, ""angle:(\d+)"")), -1)"),-1.0)</f>
        <v>-1</v>
      </c>
      <c r="C2" s="5" t="str">
        <f t="shared" ref="C2:C1000" si="1">TRIM(IF(B2=0, TEXT(0, "000"), IF(B2&lt;0, "-" &amp; TEXT(ABS(B2), "000"), TEXT(B2, "000"))))</f>
        <v>-001</v>
      </c>
      <c r="D2" s="5" t="str">
        <f>IFERROR(__xludf.DUMMYFUNCTION("IFERROR(REGEXEXTRACT(A2, ""x:([-+]?[0-9]*\.?[0-9]+)""), """")"),"")</f>
        <v/>
      </c>
      <c r="E2" s="5" t="str">
        <f>IFERROR(__xludf.DUMMYFUNCTION("IFERROR(REGEXEXTRACT(A2, ""y:([-+]?[0-9]*\.?[0-9]+)""), """")"),"")</f>
        <v/>
      </c>
      <c r="F2" s="6"/>
    </row>
    <row r="3">
      <c r="A3" s="3" t="s">
        <v>6</v>
      </c>
      <c r="B3" s="4">
        <f>IFERROR(__xludf.DUMMYFUNCTION("IFERROR(VALUE(REGEXEXTRACT(A3, ""angle:(\d+)"")), -1)"),85.0)</f>
        <v>85</v>
      </c>
      <c r="C3" s="5" t="str">
        <f t="shared" si="1"/>
        <v>085</v>
      </c>
      <c r="D3" s="5" t="str">
        <f>IFERROR(__xludf.DUMMYFUNCTION("IFERROR(REGEXEXTRACT(A3, ""x:([-+]?[0-9]*\.?[0-9]+)""), """")"),"+100.00")</f>
        <v>+100.00</v>
      </c>
      <c r="E3" s="5" t="str">
        <f>IFERROR(__xludf.DUMMYFUNCTION("IFERROR(REGEXEXTRACT(A3, ""y:([-+]?[0-9]*\.?[0-9]+)""), """")"),"-9.02")</f>
        <v>-9.02</v>
      </c>
    </row>
    <row r="4">
      <c r="A4" s="3" t="s">
        <v>7</v>
      </c>
      <c r="B4" s="4">
        <f>IFERROR(__xludf.DUMMYFUNCTION("IFERROR(VALUE(REGEXEXTRACT(A4, ""angle:(\d+)"")), -1)"),-1.0)</f>
        <v>-1</v>
      </c>
      <c r="C4" s="5" t="str">
        <f t="shared" si="1"/>
        <v>-001</v>
      </c>
      <c r="D4" s="5" t="str">
        <f>IFERROR(__xludf.DUMMYFUNCTION("IFERROR(REGEXEXTRACT(A4, ""x:([-+]?[0-9]*\.?[0-9]+)""), """")"),"")</f>
        <v/>
      </c>
      <c r="E4" s="5" t="str">
        <f>IFERROR(__xludf.DUMMYFUNCTION("IFERROR(REGEXEXTRACT(A4, ""y:([-+]?[0-9]*\.?[0-9]+)""), """")"),"")</f>
        <v/>
      </c>
    </row>
    <row r="5">
      <c r="A5" s="3" t="s">
        <v>8</v>
      </c>
      <c r="B5" s="4">
        <f>IFERROR(__xludf.DUMMYFUNCTION("IFERROR(VALUE(REGEXEXTRACT(A5, ""angle:(\d+)"")), -1)"),84.0)</f>
        <v>84</v>
      </c>
      <c r="C5" s="5" t="str">
        <f t="shared" si="1"/>
        <v>084</v>
      </c>
      <c r="D5" s="5" t="str">
        <f>IFERROR(__xludf.DUMMYFUNCTION("IFERROR(REGEXEXTRACT(A5, ""x:([-+]?[0-9]*\.?[0-9]+)""), """")"),"+100.00")</f>
        <v>+100.00</v>
      </c>
      <c r="E5" s="5" t="str">
        <f>IFERROR(__xludf.DUMMYFUNCTION("IFERROR(REGEXEXTRACT(A5, ""y:([-+]?[0-9]*\.?[0-9]+)""), """")"),"-11.37")</f>
        <v>-11.37</v>
      </c>
    </row>
    <row r="6">
      <c r="A6" s="3" t="s">
        <v>9</v>
      </c>
      <c r="B6" s="4">
        <f>IFERROR(__xludf.DUMMYFUNCTION("IFERROR(VALUE(REGEXEXTRACT(A6, ""angle:(\d+)"")), -1)"),83.0)</f>
        <v>83</v>
      </c>
      <c r="C6" s="5" t="str">
        <f t="shared" si="1"/>
        <v>083</v>
      </c>
      <c r="D6" s="5" t="str">
        <f>IFERROR(__xludf.DUMMYFUNCTION("IFERROR(REGEXEXTRACT(A6, ""x:([-+]?[0-9]*\.?[0-9]+)""), """")"),"+100.00")</f>
        <v>+100.00</v>
      </c>
      <c r="E6" s="5" t="str">
        <f>IFERROR(__xludf.DUMMYFUNCTION("IFERROR(REGEXEXTRACT(A6, ""y:([-+]?[0-9]*\.?[0-9]+)""), """")"),"-12.94")</f>
        <v>-12.94</v>
      </c>
    </row>
    <row r="7">
      <c r="A7" s="3" t="s">
        <v>10</v>
      </c>
      <c r="B7" s="4">
        <f>IFERROR(__xludf.DUMMYFUNCTION("IFERROR(VALUE(REGEXEXTRACT(A7, ""angle:(\d+)"")), -1)"),82.0)</f>
        <v>82</v>
      </c>
      <c r="C7" s="5" t="str">
        <f t="shared" si="1"/>
        <v>082</v>
      </c>
      <c r="D7" s="5" t="str">
        <f>IFERROR(__xludf.DUMMYFUNCTION("IFERROR(REGEXEXTRACT(A7, ""x:([-+]?[0-9]*\.?[0-9]+)""), """")"),"+100.00")</f>
        <v>+100.00</v>
      </c>
      <c r="E7" s="5" t="str">
        <f>IFERROR(__xludf.DUMMYFUNCTION("IFERROR(REGEXEXTRACT(A7, ""y:([-+]?[0-9]*\.?[0-9]+)""), """")"),"-14.51")</f>
        <v>-14.51</v>
      </c>
    </row>
    <row r="8">
      <c r="A8" s="3" t="s">
        <v>11</v>
      </c>
      <c r="B8" s="4">
        <f>IFERROR(__xludf.DUMMYFUNCTION("IFERROR(VALUE(REGEXEXTRACT(A8, ""angle:(\d+)"")), -1)"),81.0)</f>
        <v>81</v>
      </c>
      <c r="C8" s="5" t="str">
        <f t="shared" si="1"/>
        <v>081</v>
      </c>
      <c r="D8" s="5" t="str">
        <f>IFERROR(__xludf.DUMMYFUNCTION("IFERROR(REGEXEXTRACT(A8, ""x:([-+]?[0-9]*\.?[0-9]+)""), """")"),"+100.00")</f>
        <v>+100.00</v>
      </c>
      <c r="E8" s="5" t="str">
        <f>IFERROR(__xludf.DUMMYFUNCTION("IFERROR(REGEXEXTRACT(A8, ""y:([-+]?[0-9]*\.?[0-9]+)""), """")"),"-16.08")</f>
        <v>-16.08</v>
      </c>
      <c r="F8" s="7" t="s">
        <v>12</v>
      </c>
    </row>
    <row r="9">
      <c r="A9" s="3" t="s">
        <v>13</v>
      </c>
      <c r="B9" s="4">
        <f>IFERROR(__xludf.DUMMYFUNCTION("IFERROR(VALUE(REGEXEXTRACT(A9, ""angle:(\d+)"")), -1)"),80.0)</f>
        <v>80</v>
      </c>
      <c r="C9" s="5" t="str">
        <f t="shared" si="1"/>
        <v>080</v>
      </c>
      <c r="D9" s="5" t="str">
        <f>IFERROR(__xludf.DUMMYFUNCTION("IFERROR(REGEXEXTRACT(A9, ""x:([-+]?[0-9]*\.?[0-9]+)""), """")"),"+100.00")</f>
        <v>+100.00</v>
      </c>
      <c r="E9" s="5" t="str">
        <f>IFERROR(__xludf.DUMMYFUNCTION("IFERROR(REGEXEXTRACT(A9, ""y:([-+]?[0-9]*\.?[0-9]+)""), """")"),"-18.43")</f>
        <v>-18.43</v>
      </c>
      <c r="F9" s="8" t="s">
        <v>14</v>
      </c>
    </row>
    <row r="10">
      <c r="A10" s="3" t="s">
        <v>15</v>
      </c>
      <c r="B10" s="4">
        <f>IFERROR(__xludf.DUMMYFUNCTION("IFERROR(VALUE(REGEXEXTRACT(A10, ""angle:(\d+)"")), -1)"),79.0)</f>
        <v>79</v>
      </c>
      <c r="C10" s="5" t="str">
        <f t="shared" si="1"/>
        <v>079</v>
      </c>
      <c r="D10" s="5" t="str">
        <f>IFERROR(__xludf.DUMMYFUNCTION("IFERROR(REGEXEXTRACT(A10, ""x:([-+]?[0-9]*\.?[0-9]+)""), """")"),"+100.00")</f>
        <v>+100.00</v>
      </c>
      <c r="E10" s="5" t="str">
        <f>IFERROR(__xludf.DUMMYFUNCTION("IFERROR(REGEXEXTRACT(A10, ""y:([-+]?[0-9]*\.?[0-9]+)""), """")"),"-20.00")</f>
        <v>-20.00</v>
      </c>
    </row>
    <row r="11">
      <c r="A11" s="3" t="s">
        <v>16</v>
      </c>
      <c r="B11" s="4">
        <f>IFERROR(__xludf.DUMMYFUNCTION("IFERROR(VALUE(REGEXEXTRACT(A11, ""angle:(\d+)"")), -1)"),78.0)</f>
        <v>78</v>
      </c>
      <c r="C11" s="5" t="str">
        <f t="shared" si="1"/>
        <v>078</v>
      </c>
      <c r="D11" s="5" t="str">
        <f>IFERROR(__xludf.DUMMYFUNCTION("IFERROR(REGEXEXTRACT(A11, ""x:([-+]?[0-9]*\.?[0-9]+)""), """")"),"+100.00")</f>
        <v>+100.00</v>
      </c>
      <c r="E11" s="5" t="str">
        <f>IFERROR(__xludf.DUMMYFUNCTION("IFERROR(REGEXEXTRACT(A11, ""y:([-+]?[0-9]*\.?[0-9]+)""), """")"),"-21.57")</f>
        <v>-21.57</v>
      </c>
    </row>
    <row r="12">
      <c r="A12" s="3" t="s">
        <v>17</v>
      </c>
      <c r="B12" s="4">
        <f>IFERROR(__xludf.DUMMYFUNCTION("IFERROR(VALUE(REGEXEXTRACT(A12, ""angle:(\d+)"")), -1)"),77.0)</f>
        <v>77</v>
      </c>
      <c r="C12" s="5" t="str">
        <f t="shared" si="1"/>
        <v>077</v>
      </c>
      <c r="D12" s="5" t="str">
        <f>IFERROR(__xludf.DUMMYFUNCTION("IFERROR(REGEXEXTRACT(A12, ""x:([-+]?[0-9]*\.?[0-9]+)""), """")"),"+100.00")</f>
        <v>+100.00</v>
      </c>
      <c r="E12" s="5" t="str">
        <f>IFERROR(__xludf.DUMMYFUNCTION("IFERROR(REGEXEXTRACT(A12, ""y:([-+]?[0-9]*\.?[0-9]+)""), """")"),"-23.14")</f>
        <v>-23.14</v>
      </c>
      <c r="F12" s="9" t="s">
        <v>18</v>
      </c>
    </row>
    <row r="13">
      <c r="A13" s="3" t="s">
        <v>19</v>
      </c>
      <c r="B13" s="4">
        <f>IFERROR(__xludf.DUMMYFUNCTION("IFERROR(VALUE(REGEXEXTRACT(A13, ""angle:(\d+)"")), -1)"),76.0)</f>
        <v>76</v>
      </c>
      <c r="C13" s="5" t="str">
        <f t="shared" si="1"/>
        <v>076</v>
      </c>
      <c r="D13" s="5" t="str">
        <f>IFERROR(__xludf.DUMMYFUNCTION("IFERROR(REGEXEXTRACT(A13, ""x:([-+]?[0-9]*\.?[0-9]+)""), """")"),"+100.00")</f>
        <v>+100.00</v>
      </c>
      <c r="E13" s="5" t="str">
        <f>IFERROR(__xludf.DUMMYFUNCTION("IFERROR(REGEXEXTRACT(A13, ""y:([-+]?[0-9]*\.?[0-9]+)""), """")"),"-24.71")</f>
        <v>-24.71</v>
      </c>
      <c r="F13" s="10" t="s">
        <v>20</v>
      </c>
    </row>
    <row r="14">
      <c r="A14" s="3" t="s">
        <v>21</v>
      </c>
      <c r="B14" s="4">
        <f>IFERROR(__xludf.DUMMYFUNCTION("IFERROR(VALUE(REGEXEXTRACT(A14, ""angle:(\d+)"")), -1)"),75.0)</f>
        <v>75</v>
      </c>
      <c r="C14" s="5" t="str">
        <f t="shared" si="1"/>
        <v>075</v>
      </c>
      <c r="D14" s="5" t="str">
        <f>IFERROR(__xludf.DUMMYFUNCTION("IFERROR(REGEXEXTRACT(A14, ""x:([-+]?[0-9]*\.?[0-9]+)""), """")"),"+100.00")</f>
        <v>+100.00</v>
      </c>
      <c r="E14" s="5" t="str">
        <f>IFERROR(__xludf.DUMMYFUNCTION("IFERROR(REGEXEXTRACT(A14, ""y:([-+]?[0-9]*\.?[0-9]+)""), """")"),"-27.06")</f>
        <v>-27.06</v>
      </c>
      <c r="F14" s="10" t="s">
        <v>22</v>
      </c>
    </row>
    <row r="15">
      <c r="A15" s="3" t="s">
        <v>23</v>
      </c>
      <c r="B15" s="4">
        <f>IFERROR(__xludf.DUMMYFUNCTION("IFERROR(VALUE(REGEXEXTRACT(A15, ""angle:(\d+)"")), -1)"),74.0)</f>
        <v>74</v>
      </c>
      <c r="C15" s="5" t="str">
        <f t="shared" si="1"/>
        <v>074</v>
      </c>
      <c r="D15" s="5" t="str">
        <f>IFERROR(__xludf.DUMMYFUNCTION("IFERROR(REGEXEXTRACT(A15, ""x:([-+]?[0-9]*\.?[0-9]+)""), """")"),"+100.00")</f>
        <v>+100.00</v>
      </c>
      <c r="E15" s="5" t="str">
        <f>IFERROR(__xludf.DUMMYFUNCTION("IFERROR(REGEXEXTRACT(A15, ""y:([-+]?[0-9]*\.?[0-9]+)""), """")"),"-28.63")</f>
        <v>-28.63</v>
      </c>
      <c r="F15" s="10" t="s">
        <v>24</v>
      </c>
    </row>
    <row r="16">
      <c r="A16" s="3" t="s">
        <v>25</v>
      </c>
      <c r="B16" s="4">
        <f>IFERROR(__xludf.DUMMYFUNCTION("IFERROR(VALUE(REGEXEXTRACT(A16, ""angle:(\d+)"")), -1)"),73.0)</f>
        <v>73</v>
      </c>
      <c r="C16" s="5" t="str">
        <f t="shared" si="1"/>
        <v>073</v>
      </c>
      <c r="D16" s="5" t="str">
        <f>IFERROR(__xludf.DUMMYFUNCTION("IFERROR(REGEXEXTRACT(A16, ""x:([-+]?[0-9]*\.?[0-9]+)""), """")"),"+100.00")</f>
        <v>+100.00</v>
      </c>
      <c r="E16" s="5" t="str">
        <f>IFERROR(__xludf.DUMMYFUNCTION("IFERROR(REGEXEXTRACT(A16, ""y:([-+]?[0-9]*\.?[0-9]+)""), """")"),"-30.20")</f>
        <v>-30.20</v>
      </c>
      <c r="F16" s="10" t="s">
        <v>26</v>
      </c>
    </row>
    <row r="17">
      <c r="A17" s="3" t="s">
        <v>27</v>
      </c>
      <c r="B17" s="4">
        <f>IFERROR(__xludf.DUMMYFUNCTION("IFERROR(VALUE(REGEXEXTRACT(A17, ""angle:(\d+)"")), -1)"),72.0)</f>
        <v>72</v>
      </c>
      <c r="C17" s="5" t="str">
        <f t="shared" si="1"/>
        <v>072</v>
      </c>
      <c r="D17" s="5" t="str">
        <f>IFERROR(__xludf.DUMMYFUNCTION("IFERROR(REGEXEXTRACT(A17, ""x:([-+]?[0-9]*\.?[0-9]+)""), """")"),"+100.00")</f>
        <v>+100.00</v>
      </c>
      <c r="E17" s="5" t="str">
        <f>IFERROR(__xludf.DUMMYFUNCTION("IFERROR(REGEXEXTRACT(A17, ""y:([-+]?[0-9]*\.?[0-9]+)""), """")"),"-32.55")</f>
        <v>-32.55</v>
      </c>
      <c r="F17" s="10" t="s">
        <v>28</v>
      </c>
    </row>
    <row r="18">
      <c r="A18" s="3" t="s">
        <v>29</v>
      </c>
      <c r="B18" s="4">
        <f>IFERROR(__xludf.DUMMYFUNCTION("IFERROR(VALUE(REGEXEXTRACT(A18, ""angle:(\d+)"")), -1)"),71.0)</f>
        <v>71</v>
      </c>
      <c r="C18" s="5" t="str">
        <f t="shared" si="1"/>
        <v>071</v>
      </c>
      <c r="D18" s="5" t="str">
        <f>IFERROR(__xludf.DUMMYFUNCTION("IFERROR(REGEXEXTRACT(A18, ""x:([-+]?[0-9]*\.?[0-9]+)""), """")"),"+100.00")</f>
        <v>+100.00</v>
      </c>
      <c r="E18" s="5" t="str">
        <f>IFERROR(__xludf.DUMMYFUNCTION("IFERROR(REGEXEXTRACT(A18, ""y:([-+]?[0-9]*\.?[0-9]+)""), """")"),"-34.12")</f>
        <v>-34.12</v>
      </c>
      <c r="F18" s="11"/>
    </row>
    <row r="19">
      <c r="A19" s="3" t="s">
        <v>30</v>
      </c>
      <c r="B19" s="4">
        <f>IFERROR(__xludf.DUMMYFUNCTION("IFERROR(VALUE(REGEXEXTRACT(A19, ""angle:(\d+)"")), -1)"),70.0)</f>
        <v>70</v>
      </c>
      <c r="C19" s="5" t="str">
        <f t="shared" si="1"/>
        <v>070</v>
      </c>
      <c r="D19" s="5" t="str">
        <f>IFERROR(__xludf.DUMMYFUNCTION("IFERROR(REGEXEXTRACT(A19, ""x:([-+]?[0-9]*\.?[0-9]+)""), """")"),"+100.00")</f>
        <v>+100.00</v>
      </c>
      <c r="E19" s="5" t="str">
        <f>IFERROR(__xludf.DUMMYFUNCTION("IFERROR(REGEXEXTRACT(A19, ""y:([-+]?[0-9]*\.?[0-9]+)""), """")"),"-35.69")</f>
        <v>-35.69</v>
      </c>
      <c r="F19" s="11"/>
    </row>
    <row r="20">
      <c r="A20" s="3" t="s">
        <v>31</v>
      </c>
      <c r="B20" s="4">
        <f>IFERROR(__xludf.DUMMYFUNCTION("IFERROR(VALUE(REGEXEXTRACT(A20, ""angle:(\d+)"")), -1)"),69.0)</f>
        <v>69</v>
      </c>
      <c r="C20" s="5" t="str">
        <f t="shared" si="1"/>
        <v>069</v>
      </c>
      <c r="D20" s="5" t="str">
        <f>IFERROR(__xludf.DUMMYFUNCTION("IFERROR(REGEXEXTRACT(A20, ""x:([-+]?[0-9]*\.?[0-9]+)""), """")"),"+100.00")</f>
        <v>+100.00</v>
      </c>
      <c r="E20" s="5" t="str">
        <f>IFERROR(__xludf.DUMMYFUNCTION("IFERROR(REGEXEXTRACT(A20, ""y:([-+]?[0-9]*\.?[0-9]+)""), """")"),"-38.04")</f>
        <v>-38.04</v>
      </c>
      <c r="F20" s="12" t="s">
        <v>32</v>
      </c>
    </row>
    <row r="21">
      <c r="A21" s="3" t="s">
        <v>33</v>
      </c>
      <c r="B21" s="4">
        <f>IFERROR(__xludf.DUMMYFUNCTION("IFERROR(VALUE(REGEXEXTRACT(A21, ""angle:(\d+)"")), -1)"),68.0)</f>
        <v>68</v>
      </c>
      <c r="C21" s="5" t="str">
        <f t="shared" si="1"/>
        <v>068</v>
      </c>
      <c r="D21" s="5" t="str">
        <f>IFERROR(__xludf.DUMMYFUNCTION("IFERROR(REGEXEXTRACT(A21, ""x:([-+]?[0-9]*\.?[0-9]+)""), """")"),"+100.00")</f>
        <v>+100.00</v>
      </c>
      <c r="E21" s="5" t="str">
        <f>IFERROR(__xludf.DUMMYFUNCTION("IFERROR(REGEXEXTRACT(A21, ""y:([-+]?[0-9]*\.?[0-9]+)""), """")"),"-39.61")</f>
        <v>-39.61</v>
      </c>
    </row>
    <row r="22">
      <c r="A22" s="3" t="s">
        <v>34</v>
      </c>
      <c r="B22" s="4">
        <f>IFERROR(__xludf.DUMMYFUNCTION("IFERROR(VALUE(REGEXEXTRACT(A22, ""angle:(\d+)"")), -1)"),67.0)</f>
        <v>67</v>
      </c>
      <c r="C22" s="5" t="str">
        <f t="shared" si="1"/>
        <v>067</v>
      </c>
      <c r="D22" s="5" t="str">
        <f>IFERROR(__xludf.DUMMYFUNCTION("IFERROR(REGEXEXTRACT(A22, ""x:([-+]?[0-9]*\.?[0-9]+)""), """")"),"+100.00")</f>
        <v>+100.00</v>
      </c>
      <c r="E22" s="5" t="str">
        <f>IFERROR(__xludf.DUMMYFUNCTION("IFERROR(REGEXEXTRACT(A22, ""y:([-+]?[0-9]*\.?[0-9]+)""), """")"),"-41.96")</f>
        <v>-41.96</v>
      </c>
    </row>
    <row r="23">
      <c r="A23" s="3" t="s">
        <v>35</v>
      </c>
      <c r="B23" s="4">
        <f>IFERROR(__xludf.DUMMYFUNCTION("IFERROR(VALUE(REGEXEXTRACT(A23, ""angle:(\d+)"")), -1)"),66.0)</f>
        <v>66</v>
      </c>
      <c r="C23" s="5" t="str">
        <f t="shared" si="1"/>
        <v>066</v>
      </c>
      <c r="D23" s="5" t="str">
        <f>IFERROR(__xludf.DUMMYFUNCTION("IFERROR(REGEXEXTRACT(A23, ""x:([-+]?[0-9]*\.?[0-9]+)""), """")"),"+100.00")</f>
        <v>+100.00</v>
      </c>
      <c r="E23" s="5" t="str">
        <f>IFERROR(__xludf.DUMMYFUNCTION("IFERROR(REGEXEXTRACT(A23, ""y:([-+]?[0-9]*\.?[0-9]+)""), """")"),"-43.53")</f>
        <v>-43.53</v>
      </c>
    </row>
    <row r="24">
      <c r="A24" s="3" t="s">
        <v>36</v>
      </c>
      <c r="B24" s="4">
        <f>IFERROR(__xludf.DUMMYFUNCTION("IFERROR(VALUE(REGEXEXTRACT(A24, ""angle:(\d+)"")), -1)"),65.0)</f>
        <v>65</v>
      </c>
      <c r="C24" s="5" t="str">
        <f t="shared" si="1"/>
        <v>065</v>
      </c>
      <c r="D24" s="5" t="str">
        <f>IFERROR(__xludf.DUMMYFUNCTION("IFERROR(REGEXEXTRACT(A24, ""x:([-+]?[0-9]*\.?[0-9]+)""), """")"),"+100.00")</f>
        <v>+100.00</v>
      </c>
      <c r="E24" s="5" t="str">
        <f>IFERROR(__xludf.DUMMYFUNCTION("IFERROR(REGEXEXTRACT(A24, ""y:([-+]?[0-9]*\.?[0-9]+)""), """")"),"-46.67")</f>
        <v>-46.67</v>
      </c>
    </row>
    <row r="25">
      <c r="A25" s="3" t="s">
        <v>37</v>
      </c>
      <c r="B25" s="4">
        <f>IFERROR(__xludf.DUMMYFUNCTION("IFERROR(VALUE(REGEXEXTRACT(A25, ""angle:(\d+)"")), -1)"),64.0)</f>
        <v>64</v>
      </c>
      <c r="C25" s="5" t="str">
        <f t="shared" si="1"/>
        <v>064</v>
      </c>
      <c r="D25" s="5" t="str">
        <f>IFERROR(__xludf.DUMMYFUNCTION("IFERROR(REGEXEXTRACT(A25, ""x:([-+]?[0-9]*\.?[0-9]+)""), """")"),"+100.00")</f>
        <v>+100.00</v>
      </c>
      <c r="E25" s="5" t="str">
        <f>IFERROR(__xludf.DUMMYFUNCTION("IFERROR(REGEXEXTRACT(A25, ""y:([-+]?[0-9]*\.?[0-9]+)""), """")"),"-48.24")</f>
        <v>-48.24</v>
      </c>
    </row>
    <row r="26">
      <c r="A26" s="3" t="s">
        <v>38</v>
      </c>
      <c r="B26" s="4">
        <f>IFERROR(__xludf.DUMMYFUNCTION("IFERROR(VALUE(REGEXEXTRACT(A26, ""angle:(\d+)"")), -1)"),63.0)</f>
        <v>63</v>
      </c>
      <c r="C26" s="5" t="str">
        <f t="shared" si="1"/>
        <v>063</v>
      </c>
      <c r="D26" s="5" t="str">
        <f>IFERROR(__xludf.DUMMYFUNCTION("IFERROR(REGEXEXTRACT(A26, ""x:([-+]?[0-9]*\.?[0-9]+)""), """")"),"+100.00")</f>
        <v>+100.00</v>
      </c>
      <c r="E26" s="5" t="str">
        <f>IFERROR(__xludf.DUMMYFUNCTION("IFERROR(REGEXEXTRACT(A26, ""y:([-+]?[0-9]*\.?[0-9]+)""), """")"),"-49.80")</f>
        <v>-49.80</v>
      </c>
    </row>
    <row r="27">
      <c r="A27" s="3" t="s">
        <v>39</v>
      </c>
      <c r="B27" s="4">
        <f>IFERROR(__xludf.DUMMYFUNCTION("IFERROR(VALUE(REGEXEXTRACT(A27, ""angle:(\d+)"")), -1)"),62.0)</f>
        <v>62</v>
      </c>
      <c r="C27" s="5" t="str">
        <f t="shared" si="1"/>
        <v>062</v>
      </c>
      <c r="D27" s="5" t="str">
        <f>IFERROR(__xludf.DUMMYFUNCTION("IFERROR(REGEXEXTRACT(A27, ""x:([-+]?[0-9]*\.?[0-9]+)""), """")"),"+100.00")</f>
        <v>+100.00</v>
      </c>
      <c r="E27" s="5" t="str">
        <f>IFERROR(__xludf.DUMMYFUNCTION("IFERROR(REGEXEXTRACT(A27, ""y:([-+]?[0-9]*\.?[0-9]+)""), """")"),"-52.16")</f>
        <v>-52.16</v>
      </c>
    </row>
    <row r="28">
      <c r="A28" s="3" t="s">
        <v>40</v>
      </c>
      <c r="B28" s="4">
        <f>IFERROR(__xludf.DUMMYFUNCTION("IFERROR(VALUE(REGEXEXTRACT(A28, ""angle:(\d+)"")), -1)"),61.0)</f>
        <v>61</v>
      </c>
      <c r="C28" s="5" t="str">
        <f t="shared" si="1"/>
        <v>061</v>
      </c>
      <c r="D28" s="5" t="str">
        <f>IFERROR(__xludf.DUMMYFUNCTION("IFERROR(REGEXEXTRACT(A28, ""x:([-+]?[0-9]*\.?[0-9]+)""), """")"),"+99.22")</f>
        <v>+99.22</v>
      </c>
      <c r="E28" s="5" t="str">
        <f>IFERROR(__xludf.DUMMYFUNCTION("IFERROR(REGEXEXTRACT(A28, ""y:([-+]?[0-9]*\.?[0-9]+)""), """")"),"-54.51")</f>
        <v>-54.51</v>
      </c>
    </row>
    <row r="29">
      <c r="A29" s="3" t="s">
        <v>41</v>
      </c>
      <c r="B29" s="4">
        <f>IFERROR(__xludf.DUMMYFUNCTION("IFERROR(VALUE(REGEXEXTRACT(A29, ""angle:(\d+)"")), -1)"),60.0)</f>
        <v>60</v>
      </c>
      <c r="C29" s="5" t="str">
        <f t="shared" si="1"/>
        <v>060</v>
      </c>
      <c r="D29" s="5" t="str">
        <f>IFERROR(__xludf.DUMMYFUNCTION("IFERROR(REGEXEXTRACT(A29, ""x:([-+]?[0-9]*\.?[0-9]+)""), """")"),"+99.22")</f>
        <v>+99.22</v>
      </c>
      <c r="E29" s="5" t="str">
        <f>IFERROR(__xludf.DUMMYFUNCTION("IFERROR(REGEXEXTRACT(A29, ""y:([-+]?[0-9]*\.?[0-9]+)""), """")"),"-56.08")</f>
        <v>-56.08</v>
      </c>
    </row>
    <row r="30">
      <c r="A30" s="3" t="s">
        <v>42</v>
      </c>
      <c r="B30" s="4">
        <f>IFERROR(__xludf.DUMMYFUNCTION("IFERROR(VALUE(REGEXEXTRACT(A30, ""angle:(\d+)"")), -1)"),59.0)</f>
        <v>59</v>
      </c>
      <c r="C30" s="5" t="str">
        <f t="shared" si="1"/>
        <v>059</v>
      </c>
      <c r="D30" s="5" t="str">
        <f>IFERROR(__xludf.DUMMYFUNCTION("IFERROR(REGEXEXTRACT(A30, ""x:([-+]?[0-9]*\.?[0-9]+)""), """")"),"+98.43")</f>
        <v>+98.43</v>
      </c>
      <c r="E30" s="5" t="str">
        <f>IFERROR(__xludf.DUMMYFUNCTION("IFERROR(REGEXEXTRACT(A30, ""y:([-+]?[0-9]*\.?[0-9]+)""), """")"),"-57.65")</f>
        <v>-57.65</v>
      </c>
    </row>
    <row r="31">
      <c r="A31" s="3" t="s">
        <v>43</v>
      </c>
      <c r="B31" s="4">
        <f>IFERROR(__xludf.DUMMYFUNCTION("IFERROR(VALUE(REGEXEXTRACT(A31, ""angle:(\d+)"")), -1)"),58.0)</f>
        <v>58</v>
      </c>
      <c r="C31" s="5" t="str">
        <f t="shared" si="1"/>
        <v>058</v>
      </c>
      <c r="D31" s="5" t="str">
        <f>IFERROR(__xludf.DUMMYFUNCTION("IFERROR(REGEXEXTRACT(A31, ""x:([-+]?[0-9]*\.?[0-9]+)""), """")"),"+98.43")</f>
        <v>+98.43</v>
      </c>
      <c r="E31" s="5" t="str">
        <f>IFERROR(__xludf.DUMMYFUNCTION("IFERROR(REGEXEXTRACT(A31, ""y:([-+]?[0-9]*\.?[0-9]+)""), """")"),"-60.00")</f>
        <v>-60.00</v>
      </c>
    </row>
    <row r="32">
      <c r="A32" s="3" t="s">
        <v>44</v>
      </c>
      <c r="B32" s="4">
        <f>IFERROR(__xludf.DUMMYFUNCTION("IFERROR(VALUE(REGEXEXTRACT(A32, ""angle:(\d+)"")), -1)"),57.0)</f>
        <v>57</v>
      </c>
      <c r="C32" s="5" t="str">
        <f t="shared" si="1"/>
        <v>057</v>
      </c>
      <c r="D32" s="5" t="str">
        <f>IFERROR(__xludf.DUMMYFUNCTION("IFERROR(REGEXEXTRACT(A32, ""x:([-+]?[0-9]*\.?[0-9]+)""), """")"),"+96.86")</f>
        <v>+96.86</v>
      </c>
      <c r="E32" s="5" t="str">
        <f>IFERROR(__xludf.DUMMYFUNCTION("IFERROR(REGEXEXTRACT(A32, ""y:([-+]?[0-9]*\.?[0-9]+)""), """")"),"-61.57")</f>
        <v>-61.57</v>
      </c>
    </row>
    <row r="33">
      <c r="A33" s="3" t="s">
        <v>45</v>
      </c>
      <c r="B33" s="4">
        <f>IFERROR(__xludf.DUMMYFUNCTION("IFERROR(VALUE(REGEXEXTRACT(A33, ""angle:(\d+)"")), -1)"),56.0)</f>
        <v>56</v>
      </c>
      <c r="C33" s="5" t="str">
        <f t="shared" si="1"/>
        <v>056</v>
      </c>
      <c r="D33" s="5" t="str">
        <f>IFERROR(__xludf.DUMMYFUNCTION("IFERROR(REGEXEXTRACT(A33, ""x:([-+]?[0-9]*\.?[0-9]+)""), """")"),"+95.30")</f>
        <v>+95.30</v>
      </c>
      <c r="E33" s="5" t="str">
        <f>IFERROR(__xludf.DUMMYFUNCTION("IFERROR(REGEXEXTRACT(A33, ""y:([-+]?[0-9]*\.?[0-9]+)""), """")"),"-63.92")</f>
        <v>-63.92</v>
      </c>
    </row>
    <row r="34">
      <c r="A34" s="3" t="s">
        <v>46</v>
      </c>
      <c r="B34" s="4">
        <f>IFERROR(__xludf.DUMMYFUNCTION("IFERROR(VALUE(REGEXEXTRACT(A34, ""angle:(\d+)"")), -1)"),55.0)</f>
        <v>55</v>
      </c>
      <c r="C34" s="5" t="str">
        <f t="shared" si="1"/>
        <v>055</v>
      </c>
      <c r="D34" s="5" t="str">
        <f>IFERROR(__xludf.DUMMYFUNCTION("IFERROR(REGEXEXTRACT(A34, ""x:([-+]?[0-9]*\.?[0-9]+)""), """")"),"+94.51")</f>
        <v>+94.51</v>
      </c>
      <c r="E34" s="5" t="str">
        <f>IFERROR(__xludf.DUMMYFUNCTION("IFERROR(REGEXEXTRACT(A34, ""y:([-+]?[0-9]*\.?[0-9]+)""), """")"),"-64.71")</f>
        <v>-64.71</v>
      </c>
    </row>
    <row r="35">
      <c r="A35" s="3" t="s">
        <v>47</v>
      </c>
      <c r="B35" s="4">
        <f>IFERROR(__xludf.DUMMYFUNCTION("IFERROR(VALUE(REGEXEXTRACT(A35, ""angle:(\d+)"")), -1)"),54.0)</f>
        <v>54</v>
      </c>
      <c r="C35" s="5" t="str">
        <f t="shared" si="1"/>
        <v>054</v>
      </c>
      <c r="D35" s="5" t="str">
        <f>IFERROR(__xludf.DUMMYFUNCTION("IFERROR(REGEXEXTRACT(A35, ""x:([-+]?[0-9]*\.?[0-9]+)""), """")"),"+92.94")</f>
        <v>+92.94</v>
      </c>
      <c r="E35" s="5" t="str">
        <f>IFERROR(__xludf.DUMMYFUNCTION("IFERROR(REGEXEXTRACT(A35, ""y:([-+]?[0-9]*\.?[0-9]+)""), """")"),"-66.27")</f>
        <v>-66.27</v>
      </c>
    </row>
    <row r="36">
      <c r="A36" s="3" t="s">
        <v>48</v>
      </c>
      <c r="B36" s="4">
        <f>IFERROR(__xludf.DUMMYFUNCTION("IFERROR(VALUE(REGEXEXTRACT(A36, ""angle:(\d+)"")), -1)"),53.0)</f>
        <v>53</v>
      </c>
      <c r="C36" s="5" t="str">
        <f t="shared" si="1"/>
        <v>053</v>
      </c>
      <c r="D36" s="5" t="str">
        <f>IFERROR(__xludf.DUMMYFUNCTION("IFERROR(REGEXEXTRACT(A36, ""x:([-+]?[0-9]*\.?[0-9]+)""), """")"),"+92.16")</f>
        <v>+92.16</v>
      </c>
      <c r="E36" s="5" t="str">
        <f>IFERROR(__xludf.DUMMYFUNCTION("IFERROR(REGEXEXTRACT(A36, ""y:([-+]?[0-9]*\.?[0-9]+)""), """")"),"-68.63")</f>
        <v>-68.63</v>
      </c>
    </row>
    <row r="37">
      <c r="A37" s="3" t="s">
        <v>49</v>
      </c>
      <c r="B37" s="4">
        <f>IFERROR(__xludf.DUMMYFUNCTION("IFERROR(VALUE(REGEXEXTRACT(A37, ""angle:(\d+)"")), -1)"),52.0)</f>
        <v>52</v>
      </c>
      <c r="C37" s="5" t="str">
        <f t="shared" si="1"/>
        <v>052</v>
      </c>
      <c r="D37" s="5" t="str">
        <f>IFERROR(__xludf.DUMMYFUNCTION("IFERROR(REGEXEXTRACT(A37, ""x:([-+]?[0-9]*\.?[0-9]+)""), """")"),"+90.59")</f>
        <v>+90.59</v>
      </c>
      <c r="E37" s="5" t="str">
        <f>IFERROR(__xludf.DUMMYFUNCTION("IFERROR(REGEXEXTRACT(A37, ""y:([-+]?[0-9]*\.?[0-9]+)""), """")"),"-69.41")</f>
        <v>-69.41</v>
      </c>
    </row>
    <row r="38">
      <c r="A38" s="3" t="s">
        <v>50</v>
      </c>
      <c r="B38" s="4">
        <f>IFERROR(__xludf.DUMMYFUNCTION("IFERROR(VALUE(REGEXEXTRACT(A38, ""angle:(\d+)"")), -1)"),51.0)</f>
        <v>51</v>
      </c>
      <c r="C38" s="5" t="str">
        <f t="shared" si="1"/>
        <v>051</v>
      </c>
      <c r="D38" s="5" t="str">
        <f>IFERROR(__xludf.DUMMYFUNCTION("IFERROR(REGEXEXTRACT(A38, ""x:([-+]?[0-9]*\.?[0-9]+)""), """")"),"+89.80")</f>
        <v>+89.80</v>
      </c>
      <c r="E38" s="5" t="str">
        <f>IFERROR(__xludf.DUMMYFUNCTION("IFERROR(REGEXEXTRACT(A38, ""y:([-+]?[0-9]*\.?[0-9]+)""), """")"),"-71.76")</f>
        <v>-71.76</v>
      </c>
    </row>
    <row r="39">
      <c r="A39" s="3" t="s">
        <v>51</v>
      </c>
      <c r="B39" s="4">
        <f>IFERROR(__xludf.DUMMYFUNCTION("IFERROR(VALUE(REGEXEXTRACT(A39, ""angle:(\d+)"")), -1)"),50.0)</f>
        <v>50</v>
      </c>
      <c r="C39" s="5" t="str">
        <f t="shared" si="1"/>
        <v>050</v>
      </c>
      <c r="D39" s="5" t="str">
        <f>IFERROR(__xludf.DUMMYFUNCTION("IFERROR(REGEXEXTRACT(A39, ""x:([-+]?[0-9]*\.?[0-9]+)""), """")"),"+88.24")</f>
        <v>+88.24</v>
      </c>
      <c r="E39" s="5" t="str">
        <f>IFERROR(__xludf.DUMMYFUNCTION("IFERROR(REGEXEXTRACT(A39, ""y:([-+]?[0-9]*\.?[0-9]+)""), """")"),"-72.55")</f>
        <v>-72.55</v>
      </c>
    </row>
    <row r="40">
      <c r="A40" s="3" t="s">
        <v>52</v>
      </c>
      <c r="B40" s="4">
        <f>IFERROR(__xludf.DUMMYFUNCTION("IFERROR(VALUE(REGEXEXTRACT(A40, ""angle:(\d+)"")), -1)"),49.0)</f>
        <v>49</v>
      </c>
      <c r="C40" s="5" t="str">
        <f t="shared" si="1"/>
        <v>049</v>
      </c>
      <c r="D40" s="5" t="str">
        <f>IFERROR(__xludf.DUMMYFUNCTION("IFERROR(REGEXEXTRACT(A40, ""x:([-+]?[0-9]*\.?[0-9]+)""), """")"),"+86.67")</f>
        <v>+86.67</v>
      </c>
      <c r="E40" s="5" t="str">
        <f>IFERROR(__xludf.DUMMYFUNCTION("IFERROR(REGEXEXTRACT(A40, ""y:([-+]?[0-9]*\.?[0-9]+)""), """")"),"-74.12")</f>
        <v>-74.12</v>
      </c>
    </row>
    <row r="41">
      <c r="A41" s="3" t="s">
        <v>53</v>
      </c>
      <c r="B41" s="4">
        <f>IFERROR(__xludf.DUMMYFUNCTION("IFERROR(VALUE(REGEXEXTRACT(A41, ""angle:(\d+)"")), -1)"),48.0)</f>
        <v>48</v>
      </c>
      <c r="C41" s="5" t="str">
        <f t="shared" si="1"/>
        <v>048</v>
      </c>
      <c r="D41" s="5" t="str">
        <f>IFERROR(__xludf.DUMMYFUNCTION("IFERROR(REGEXEXTRACT(A41, ""x:([-+]?[0-9]*\.?[0-9]+)""), """")"),"+85.10")</f>
        <v>+85.10</v>
      </c>
      <c r="E41" s="5" t="str">
        <f>IFERROR(__xludf.DUMMYFUNCTION("IFERROR(REGEXEXTRACT(A41, ""y:([-+]?[0-9]*\.?[0-9]+)""), """")"),"-75.69")</f>
        <v>-75.69</v>
      </c>
    </row>
    <row r="42">
      <c r="A42" s="3" t="s">
        <v>54</v>
      </c>
      <c r="B42" s="4">
        <f>IFERROR(__xludf.DUMMYFUNCTION("IFERROR(VALUE(REGEXEXTRACT(A42, ""angle:(\d+)"")), -1)"),47.0)</f>
        <v>47</v>
      </c>
      <c r="C42" s="5" t="str">
        <f t="shared" si="1"/>
        <v>047</v>
      </c>
      <c r="D42" s="5" t="str">
        <f>IFERROR(__xludf.DUMMYFUNCTION("IFERROR(REGEXEXTRACT(A42, ""x:([-+]?[0-9]*\.?[0-9]+)""), """")"),"+84.31")</f>
        <v>+84.31</v>
      </c>
      <c r="E42" s="5" t="str">
        <f>IFERROR(__xludf.DUMMYFUNCTION("IFERROR(REGEXEXTRACT(A42, ""y:([-+]?[0-9]*\.?[0-9]+)""), """")"),"-77.25")</f>
        <v>-77.25</v>
      </c>
    </row>
    <row r="43">
      <c r="A43" s="3" t="s">
        <v>55</v>
      </c>
      <c r="B43" s="4">
        <f>IFERROR(__xludf.DUMMYFUNCTION("IFERROR(VALUE(REGEXEXTRACT(A43, ""angle:(\d+)"")), -1)"),46.0)</f>
        <v>46</v>
      </c>
      <c r="C43" s="5" t="str">
        <f t="shared" si="1"/>
        <v>046</v>
      </c>
      <c r="D43" s="5" t="str">
        <f>IFERROR(__xludf.DUMMYFUNCTION("IFERROR(REGEXEXTRACT(A43, ""x:([-+]?[0-9]*\.?[0-9]+)""), """")"),"+82.75")</f>
        <v>+82.75</v>
      </c>
      <c r="E43" s="5" t="str">
        <f>IFERROR(__xludf.DUMMYFUNCTION("IFERROR(REGEXEXTRACT(A43, ""y:([-+]?[0-9]*\.?[0-9]+)""), """")"),"-78.82")</f>
        <v>-78.82</v>
      </c>
    </row>
    <row r="44">
      <c r="A44" s="3" t="s">
        <v>56</v>
      </c>
      <c r="B44" s="4">
        <f>IFERROR(__xludf.DUMMYFUNCTION("IFERROR(VALUE(REGEXEXTRACT(A44, ""angle:(\d+)"")), -1)"),44.0)</f>
        <v>44</v>
      </c>
      <c r="C44" s="5" t="str">
        <f t="shared" si="1"/>
        <v>044</v>
      </c>
      <c r="D44" s="5" t="str">
        <f>IFERROR(__xludf.DUMMYFUNCTION("IFERROR(REGEXEXTRACT(A44, ""x:([-+]?[0-9]*\.?[0-9]+)""), """")"),"+77.26")</f>
        <v>+77.26</v>
      </c>
      <c r="E44" s="5" t="str">
        <f>IFERROR(__xludf.DUMMYFUNCTION("IFERROR(REGEXEXTRACT(A44, ""y:([-+]?[0-9]*\.?[0-9]+)""), """")"),"-81.18")</f>
        <v>-81.18</v>
      </c>
    </row>
    <row r="45">
      <c r="A45" s="3" t="s">
        <v>57</v>
      </c>
      <c r="B45" s="4">
        <f>IFERROR(__xludf.DUMMYFUNCTION("IFERROR(VALUE(REGEXEXTRACT(A45, ""angle:(\d+)"")), -1)"),42.0)</f>
        <v>42</v>
      </c>
      <c r="C45" s="5" t="str">
        <f t="shared" si="1"/>
        <v>042</v>
      </c>
      <c r="D45" s="5" t="str">
        <f>IFERROR(__xludf.DUMMYFUNCTION("IFERROR(REGEXEXTRACT(A45, ""x:([-+]?[0-9]*\.?[0-9]+)""), """")"),"+74.12")</f>
        <v>+74.12</v>
      </c>
      <c r="E45" s="5" t="str">
        <f>IFERROR(__xludf.DUMMYFUNCTION("IFERROR(REGEXEXTRACT(A45, ""y:([-+]?[0-9]*\.?[0-9]+)""), """")"),"-81.96")</f>
        <v>-81.96</v>
      </c>
    </row>
    <row r="46">
      <c r="A46" s="3" t="s">
        <v>58</v>
      </c>
      <c r="B46" s="4">
        <f>IFERROR(__xludf.DUMMYFUNCTION("IFERROR(VALUE(REGEXEXTRACT(A46, ""angle:(\d+)"")), -1)"),43.0)</f>
        <v>43</v>
      </c>
      <c r="C46" s="5" t="str">
        <f t="shared" si="1"/>
        <v>043</v>
      </c>
      <c r="D46" s="5" t="str">
        <f>IFERROR(__xludf.DUMMYFUNCTION("IFERROR(REGEXEXTRACT(A46, ""x:([-+]?[0-9]*\.?[0-9]+)""), """")"),"+76.47")</f>
        <v>+76.47</v>
      </c>
      <c r="E46" s="5" t="str">
        <f>IFERROR(__xludf.DUMMYFUNCTION("IFERROR(REGEXEXTRACT(A46, ""y:([-+]?[0-9]*\.?[0-9]+)""), """")"),"-81.96")</f>
        <v>-81.96</v>
      </c>
    </row>
    <row r="47">
      <c r="A47" s="3" t="s">
        <v>59</v>
      </c>
      <c r="B47" s="4">
        <f>IFERROR(__xludf.DUMMYFUNCTION("IFERROR(VALUE(REGEXEXTRACT(A47, ""angle:(\d+)"")), -1)"),40.0)</f>
        <v>40</v>
      </c>
      <c r="C47" s="5" t="str">
        <f t="shared" si="1"/>
        <v>040</v>
      </c>
      <c r="D47" s="5" t="str">
        <f>IFERROR(__xludf.DUMMYFUNCTION("IFERROR(REGEXEXTRACT(A47, ""x:([-+]?[0-9]*\.?[0-9]+)""), """")"),"+70.20")</f>
        <v>+70.20</v>
      </c>
      <c r="E47" s="5" t="str">
        <f>IFERROR(__xludf.DUMMYFUNCTION("IFERROR(REGEXEXTRACT(A47, ""y:([-+]?[0-9]*\.?[0-9]+)""), """")"),"-82.75")</f>
        <v>-82.75</v>
      </c>
    </row>
    <row r="48">
      <c r="A48" s="3" t="s">
        <v>60</v>
      </c>
      <c r="B48" s="4">
        <f>IFERROR(__xludf.DUMMYFUNCTION("IFERROR(VALUE(REGEXEXTRACT(A48, ""angle:(\d+)"")), -1)"),41.0)</f>
        <v>41</v>
      </c>
      <c r="C48" s="5" t="str">
        <f t="shared" si="1"/>
        <v>041</v>
      </c>
      <c r="D48" s="5" t="str">
        <f>IFERROR(__xludf.DUMMYFUNCTION("IFERROR(REGEXEXTRACT(A48, ""x:([-+]?[0-9]*\.?[0-9]+)""), """")"),"+75.69")</f>
        <v>+75.69</v>
      </c>
      <c r="E48" s="5" t="str">
        <f>IFERROR(__xludf.DUMMYFUNCTION("IFERROR(REGEXEXTRACT(A48, ""y:([-+]?[0-9]*\.?[0-9]+)""), """")"),"-85.88")</f>
        <v>-85.88</v>
      </c>
    </row>
    <row r="49">
      <c r="A49" s="3" t="s">
        <v>61</v>
      </c>
      <c r="B49" s="4">
        <f>IFERROR(__xludf.DUMMYFUNCTION("IFERROR(VALUE(REGEXEXTRACT(A49, ""angle:(\d+)"")), -1)"),39.0)</f>
        <v>39</v>
      </c>
      <c r="C49" s="5" t="str">
        <f t="shared" si="1"/>
        <v>039</v>
      </c>
      <c r="D49" s="5" t="str">
        <f>IFERROR(__xludf.DUMMYFUNCTION("IFERROR(REGEXEXTRACT(A49, ""x:([-+]?[0-9]*\.?[0-9]+)""), """")"),"+71.77")</f>
        <v>+71.77</v>
      </c>
      <c r="E49" s="5" t="str">
        <f>IFERROR(__xludf.DUMMYFUNCTION("IFERROR(REGEXEXTRACT(A49, ""y:([-+]?[0-9]*\.?[0-9]+)""), """")"),"-87.45")</f>
        <v>-87.45</v>
      </c>
    </row>
    <row r="50">
      <c r="A50" s="3" t="s">
        <v>62</v>
      </c>
      <c r="B50" s="4">
        <f>IFERROR(__xludf.DUMMYFUNCTION("IFERROR(VALUE(REGEXEXTRACT(A50, ""angle:(\d+)"")), -1)"),37.0)</f>
        <v>37</v>
      </c>
      <c r="C50" s="5" t="str">
        <f t="shared" si="1"/>
        <v>037</v>
      </c>
      <c r="D50" s="5" t="str">
        <f>IFERROR(__xludf.DUMMYFUNCTION("IFERROR(REGEXEXTRACT(A50, ""x:([-+]?[0-9]*\.?[0-9]+)""), """")"),"+66.28")</f>
        <v>+66.28</v>
      </c>
      <c r="E50" s="5" t="str">
        <f>IFERROR(__xludf.DUMMYFUNCTION("IFERROR(REGEXEXTRACT(A50, ""y:([-+]?[0-9]*\.?[0-9]+)""), """")"),"-89.02")</f>
        <v>-89.02</v>
      </c>
    </row>
    <row r="51">
      <c r="A51" s="3" t="s">
        <v>63</v>
      </c>
      <c r="B51" s="4">
        <f>IFERROR(__xludf.DUMMYFUNCTION("IFERROR(VALUE(REGEXEXTRACT(A51, ""angle:(\d+)"")), -1)"),36.0)</f>
        <v>36</v>
      </c>
      <c r="C51" s="5" t="str">
        <f t="shared" si="1"/>
        <v>036</v>
      </c>
      <c r="D51" s="5" t="str">
        <f>IFERROR(__xludf.DUMMYFUNCTION("IFERROR(REGEXEXTRACT(A51, ""x:([-+]?[0-9]*\.?[0-9]+)""), """")"),"+63.92")</f>
        <v>+63.92</v>
      </c>
      <c r="E51" s="5" t="str">
        <f>IFERROR(__xludf.DUMMYFUNCTION("IFERROR(REGEXEXTRACT(A51, ""y:([-+]?[0-9]*\.?[0-9]+)""), """")"),"-89.80")</f>
        <v>-89.80</v>
      </c>
    </row>
    <row r="52">
      <c r="A52" s="3" t="s">
        <v>64</v>
      </c>
      <c r="B52" s="4">
        <f>IFERROR(__xludf.DUMMYFUNCTION("IFERROR(VALUE(REGEXEXTRACT(A52, ""angle:(\d+)"")), -1)"),35.0)</f>
        <v>35</v>
      </c>
      <c r="C52" s="5" t="str">
        <f t="shared" si="1"/>
        <v>035</v>
      </c>
      <c r="D52" s="5" t="str">
        <f>IFERROR(__xludf.DUMMYFUNCTION("IFERROR(REGEXEXTRACT(A52, ""x:([-+]?[0-9]*\.?[0-9]+)""), """")"),"+65.49")</f>
        <v>+65.49</v>
      </c>
      <c r="E52" s="5" t="str">
        <f>IFERROR(__xludf.DUMMYFUNCTION("IFERROR(REGEXEXTRACT(A52, ""y:([-+]?[0-9]*\.?[0-9]+)""), """")"),"-92.94")</f>
        <v>-92.94</v>
      </c>
    </row>
    <row r="53">
      <c r="A53" s="3" t="s">
        <v>65</v>
      </c>
      <c r="B53" s="4">
        <f>IFERROR(__xludf.DUMMYFUNCTION("IFERROR(VALUE(REGEXEXTRACT(A53, ""angle:(\d+)"")), -1)"),34.0)</f>
        <v>34</v>
      </c>
      <c r="C53" s="5" t="str">
        <f t="shared" si="1"/>
        <v>034</v>
      </c>
      <c r="D53" s="5" t="str">
        <f>IFERROR(__xludf.DUMMYFUNCTION("IFERROR(REGEXEXTRACT(A53, ""x:([-+]?[0-9]*\.?[0-9]+)""), """")"),"+63.92")</f>
        <v>+63.92</v>
      </c>
      <c r="E53" s="5" t="str">
        <f>IFERROR(__xludf.DUMMYFUNCTION("IFERROR(REGEXEXTRACT(A53, ""y:([-+]?[0-9]*\.?[0-9]+)""), """")"),"-93.73")</f>
        <v>-93.73</v>
      </c>
    </row>
    <row r="54">
      <c r="A54" s="3" t="s">
        <v>66</v>
      </c>
      <c r="B54" s="4">
        <f>IFERROR(__xludf.DUMMYFUNCTION("IFERROR(VALUE(REGEXEXTRACT(A54, ""angle:(\d+)"")), -1)"),33.0)</f>
        <v>33</v>
      </c>
      <c r="C54" s="5" t="str">
        <f t="shared" si="1"/>
        <v>033</v>
      </c>
      <c r="D54" s="5" t="str">
        <f>IFERROR(__xludf.DUMMYFUNCTION("IFERROR(REGEXEXTRACT(A54, ""x:([-+]?[0-9]*\.?[0-9]+)""), """")"),"+61.57")</f>
        <v>+61.57</v>
      </c>
      <c r="E54" s="5" t="str">
        <f>IFERROR(__xludf.DUMMYFUNCTION("IFERROR(REGEXEXTRACT(A54, ""y:([-+]?[0-9]*\.?[0-9]+)""), """")"),"-94.51")</f>
        <v>-94.51</v>
      </c>
    </row>
    <row r="55">
      <c r="A55" s="3" t="s">
        <v>67</v>
      </c>
      <c r="B55" s="4">
        <f>IFERROR(__xludf.DUMMYFUNCTION("IFERROR(VALUE(REGEXEXTRACT(A55, ""angle:(\d+)"")), -1)"),32.0)</f>
        <v>32</v>
      </c>
      <c r="C55" s="5" t="str">
        <f t="shared" si="1"/>
        <v>032</v>
      </c>
      <c r="D55" s="5" t="str">
        <f>IFERROR(__xludf.DUMMYFUNCTION("IFERROR(REGEXEXTRACT(A55, ""x:([-+]?[0-9]*\.?[0-9]+)""), """")"),"+60.00")</f>
        <v>+60.00</v>
      </c>
      <c r="E55" s="5" t="str">
        <f>IFERROR(__xludf.DUMMYFUNCTION("IFERROR(REGEXEXTRACT(A55, ""y:([-+]?[0-9]*\.?[0-9]+)""), """")"),"-95.29")</f>
        <v>-95.29</v>
      </c>
    </row>
    <row r="56">
      <c r="A56" s="3" t="s">
        <v>68</v>
      </c>
      <c r="B56" s="4">
        <f>IFERROR(__xludf.DUMMYFUNCTION("IFERROR(VALUE(REGEXEXTRACT(A56, ""angle:(\d+)"")), -1)"),31.0)</f>
        <v>31</v>
      </c>
      <c r="C56" s="5" t="str">
        <f t="shared" si="1"/>
        <v>031</v>
      </c>
      <c r="D56" s="5" t="str">
        <f>IFERROR(__xludf.DUMMYFUNCTION("IFERROR(REGEXEXTRACT(A56, ""x:([-+]?[0-9]*\.?[0-9]+)""), """")"),"+58.43")</f>
        <v>+58.43</v>
      </c>
      <c r="E56" s="5" t="str">
        <f>IFERROR(__xludf.DUMMYFUNCTION("IFERROR(REGEXEXTRACT(A56, ""y:([-+]?[0-9]*\.?[0-9]+)""), """")"),"-96.08")</f>
        <v>-96.08</v>
      </c>
    </row>
    <row r="57">
      <c r="A57" s="3" t="s">
        <v>69</v>
      </c>
      <c r="B57" s="4">
        <f>IFERROR(__xludf.DUMMYFUNCTION("IFERROR(VALUE(REGEXEXTRACT(A57, ""angle:(\d+)"")), -1)"),30.0)</f>
        <v>30</v>
      </c>
      <c r="C57" s="5" t="str">
        <f t="shared" si="1"/>
        <v>030</v>
      </c>
      <c r="D57" s="5" t="str">
        <f>IFERROR(__xludf.DUMMYFUNCTION("IFERROR(REGEXEXTRACT(A57, ""x:([-+]?[0-9]*\.?[0-9]+)""), """")"),"+56.08")</f>
        <v>+56.08</v>
      </c>
      <c r="E57" s="5" t="str">
        <f>IFERROR(__xludf.DUMMYFUNCTION("IFERROR(REGEXEXTRACT(A57, ""y:([-+]?[0-9]*\.?[0-9]+)""), """")"),"-96.86")</f>
        <v>-96.86</v>
      </c>
    </row>
    <row r="58">
      <c r="A58" s="3" t="s">
        <v>70</v>
      </c>
      <c r="B58" s="4">
        <f>IFERROR(__xludf.DUMMYFUNCTION("IFERROR(VALUE(REGEXEXTRACT(A58, ""angle:(\d+)"")), -1)"),29.0)</f>
        <v>29</v>
      </c>
      <c r="C58" s="5" t="str">
        <f t="shared" si="1"/>
        <v>029</v>
      </c>
      <c r="D58" s="5" t="str">
        <f>IFERROR(__xludf.DUMMYFUNCTION("IFERROR(REGEXEXTRACT(A58, ""x:([-+]?[0-9]*\.?[0-9]+)""), """")"),"+55.29")</f>
        <v>+55.29</v>
      </c>
      <c r="E58" s="5" t="str">
        <f>IFERROR(__xludf.DUMMYFUNCTION("IFERROR(REGEXEXTRACT(A58, ""y:([-+]?[0-9]*\.?[0-9]+)""), """")"),"-98.43")</f>
        <v>-98.43</v>
      </c>
    </row>
    <row r="59">
      <c r="A59" s="3" t="s">
        <v>71</v>
      </c>
      <c r="B59" s="4">
        <f>IFERROR(__xludf.DUMMYFUNCTION("IFERROR(VALUE(REGEXEXTRACT(A59, ""angle:(\d+)"")), -1)"),28.0)</f>
        <v>28</v>
      </c>
      <c r="C59" s="5" t="str">
        <f t="shared" si="1"/>
        <v>028</v>
      </c>
      <c r="D59" s="5" t="str">
        <f>IFERROR(__xludf.DUMMYFUNCTION("IFERROR(REGEXEXTRACT(A59, ""x:([-+]?[0-9]*\.?[0-9]+)""), """")"),"+52.94")</f>
        <v>+52.94</v>
      </c>
      <c r="E59" s="5" t="str">
        <f>IFERROR(__xludf.DUMMYFUNCTION("IFERROR(REGEXEXTRACT(A59, ""y:([-+]?[0-9]*\.?[0-9]+)""), """")"),"-99.22")</f>
        <v>-99.22</v>
      </c>
    </row>
    <row r="60">
      <c r="A60" s="3" t="s">
        <v>72</v>
      </c>
      <c r="B60" s="4">
        <f>IFERROR(__xludf.DUMMYFUNCTION("IFERROR(VALUE(REGEXEXTRACT(A60, ""angle:(\d+)"")), -1)"),27.0)</f>
        <v>27</v>
      </c>
      <c r="C60" s="5" t="str">
        <f t="shared" si="1"/>
        <v>027</v>
      </c>
      <c r="D60" s="5" t="str">
        <f>IFERROR(__xludf.DUMMYFUNCTION("IFERROR(REGEXEXTRACT(A60, ""x:([-+]?[0-9]*\.?[0-9]+)""), """")"),"+51.37")</f>
        <v>+51.37</v>
      </c>
      <c r="E60" s="5" t="str">
        <f>IFERROR(__xludf.DUMMYFUNCTION("IFERROR(REGEXEXTRACT(A60, ""y:([-+]?[0-9]*\.?[0-9]+)""), """")"),"-99.22")</f>
        <v>-99.22</v>
      </c>
    </row>
    <row r="61">
      <c r="A61" s="3" t="s">
        <v>73</v>
      </c>
      <c r="B61" s="4">
        <f>IFERROR(__xludf.DUMMYFUNCTION("IFERROR(VALUE(REGEXEXTRACT(A61, ""angle:(\d+)"")), -1)"),26.0)</f>
        <v>26</v>
      </c>
      <c r="C61" s="5" t="str">
        <f t="shared" si="1"/>
        <v>026</v>
      </c>
      <c r="D61" s="5" t="str">
        <f>IFERROR(__xludf.DUMMYFUNCTION("IFERROR(REGEXEXTRACT(A61, ""x:([-+]?[0-9]*\.?[0-9]+)""), """")"),"+49.02")</f>
        <v>+49.02</v>
      </c>
      <c r="E61" s="5" t="str">
        <f>IFERROR(__xludf.DUMMYFUNCTION("IFERROR(REGEXEXTRACT(A61, ""y:([-+]?[0-9]*\.?[0-9]+)""), """")"),"-100.00")</f>
        <v>-100.00</v>
      </c>
    </row>
    <row r="62">
      <c r="A62" s="3" t="s">
        <v>74</v>
      </c>
      <c r="B62" s="4">
        <f>IFERROR(__xludf.DUMMYFUNCTION("IFERROR(VALUE(REGEXEXTRACT(A62, ""angle:(\d+)"")), -1)"),25.0)</f>
        <v>25</v>
      </c>
      <c r="C62" s="5" t="str">
        <f t="shared" si="1"/>
        <v>025</v>
      </c>
      <c r="D62" s="5" t="str">
        <f>IFERROR(__xludf.DUMMYFUNCTION("IFERROR(REGEXEXTRACT(A62, ""x:([-+]?[0-9]*\.?[0-9]+)""), """")"),"+47.45")</f>
        <v>+47.45</v>
      </c>
      <c r="E62" s="5" t="str">
        <f>IFERROR(__xludf.DUMMYFUNCTION("IFERROR(REGEXEXTRACT(A62, ""y:([-+]?[0-9]*\.?[0-9]+)""), """")"),"-100.00")</f>
        <v>-100.00</v>
      </c>
    </row>
    <row r="63">
      <c r="A63" s="3" t="s">
        <v>75</v>
      </c>
      <c r="B63" s="4">
        <f>IFERROR(__xludf.DUMMYFUNCTION("IFERROR(VALUE(REGEXEXTRACT(A63, ""angle:(\d+)"")), -1)"),24.0)</f>
        <v>24</v>
      </c>
      <c r="C63" s="5" t="str">
        <f t="shared" si="1"/>
        <v>024</v>
      </c>
      <c r="D63" s="5" t="str">
        <f>IFERROR(__xludf.DUMMYFUNCTION("IFERROR(REGEXEXTRACT(A63, ""x:([-+]?[0-9]*\.?[0-9]+)""), """")"),"+45.10")</f>
        <v>+45.10</v>
      </c>
      <c r="E63" s="5" t="str">
        <f>IFERROR(__xludf.DUMMYFUNCTION("IFERROR(REGEXEXTRACT(A63, ""y:([-+]?[0-9]*\.?[0-9]+)""), """")"),"-100.00")</f>
        <v>-100.00</v>
      </c>
    </row>
    <row r="64">
      <c r="A64" s="3" t="s">
        <v>76</v>
      </c>
      <c r="B64" s="4">
        <f>IFERROR(__xludf.DUMMYFUNCTION("IFERROR(VALUE(REGEXEXTRACT(A64, ""angle:(\d+)"")), -1)"),23.0)</f>
        <v>23</v>
      </c>
      <c r="C64" s="5" t="str">
        <f t="shared" si="1"/>
        <v>023</v>
      </c>
      <c r="D64" s="5" t="str">
        <f>IFERROR(__xludf.DUMMYFUNCTION("IFERROR(REGEXEXTRACT(A64, ""x:([-+]?[0-9]*\.?[0-9]+)""), """")"),"+42.75")</f>
        <v>+42.75</v>
      </c>
      <c r="E64" s="5" t="str">
        <f>IFERROR(__xludf.DUMMYFUNCTION("IFERROR(REGEXEXTRACT(A64, ""y:([-+]?[0-9]*\.?[0-9]+)""), """")"),"-100.00")</f>
        <v>-100.00</v>
      </c>
    </row>
    <row r="65">
      <c r="A65" s="3" t="s">
        <v>77</v>
      </c>
      <c r="B65" s="4">
        <f>IFERROR(__xludf.DUMMYFUNCTION("IFERROR(VALUE(REGEXEXTRACT(A65, ""angle:(\d+)"")), -1)"),22.0)</f>
        <v>22</v>
      </c>
      <c r="C65" s="5" t="str">
        <f t="shared" si="1"/>
        <v>022</v>
      </c>
      <c r="D65" s="5" t="str">
        <f>IFERROR(__xludf.DUMMYFUNCTION("IFERROR(REGEXEXTRACT(A65, ""x:([-+]?[0-9]*\.?[0-9]+)""), """")"),"+41.18")</f>
        <v>+41.18</v>
      </c>
      <c r="E65" s="5" t="str">
        <f>IFERROR(__xludf.DUMMYFUNCTION("IFERROR(REGEXEXTRACT(A65, ""y:([-+]?[0-9]*\.?[0-9]+)""), """")"),"-100.00")</f>
        <v>-100.00</v>
      </c>
    </row>
    <row r="66">
      <c r="A66" s="3" t="s">
        <v>78</v>
      </c>
      <c r="B66" s="4">
        <f>IFERROR(__xludf.DUMMYFUNCTION("IFERROR(VALUE(REGEXEXTRACT(A66, ""angle:(\d+)"")), -1)"),21.0)</f>
        <v>21</v>
      </c>
      <c r="C66" s="5" t="str">
        <f t="shared" si="1"/>
        <v>021</v>
      </c>
      <c r="D66" s="5" t="str">
        <f>IFERROR(__xludf.DUMMYFUNCTION("IFERROR(REGEXEXTRACT(A66, ""x:([-+]?[0-9]*\.?[0-9]+)""), """")"),"+38.82")</f>
        <v>+38.82</v>
      </c>
      <c r="E66" s="5" t="str">
        <f>IFERROR(__xludf.DUMMYFUNCTION("IFERROR(REGEXEXTRACT(A66, ""y:([-+]?[0-9]*\.?[0-9]+)""), """")"),"-100.00")</f>
        <v>-100.00</v>
      </c>
    </row>
    <row r="67">
      <c r="A67" s="3" t="s">
        <v>79</v>
      </c>
      <c r="B67" s="4">
        <f>IFERROR(__xludf.DUMMYFUNCTION("IFERROR(VALUE(REGEXEXTRACT(A67, ""angle:(\d+)"")), -1)"),20.0)</f>
        <v>20</v>
      </c>
      <c r="C67" s="5" t="str">
        <f t="shared" si="1"/>
        <v>020</v>
      </c>
      <c r="D67" s="5" t="str">
        <f>IFERROR(__xludf.DUMMYFUNCTION("IFERROR(REGEXEXTRACT(A67, ""x:([-+]?[0-9]*\.?[0-9]+)""), """")"),"+37.26")</f>
        <v>+37.26</v>
      </c>
      <c r="E67" s="5" t="str">
        <f>IFERROR(__xludf.DUMMYFUNCTION("IFERROR(REGEXEXTRACT(A67, ""y:([-+]?[0-9]*\.?[0-9]+)""), """")"),"-100.00")</f>
        <v>-100.00</v>
      </c>
    </row>
    <row r="68">
      <c r="A68" s="3" t="s">
        <v>80</v>
      </c>
      <c r="B68" s="4">
        <f>IFERROR(__xludf.DUMMYFUNCTION("IFERROR(VALUE(REGEXEXTRACT(A68, ""angle:(\d+)"")), -1)"),19.0)</f>
        <v>19</v>
      </c>
      <c r="C68" s="5" t="str">
        <f t="shared" si="1"/>
        <v>019</v>
      </c>
      <c r="D68" s="5" t="str">
        <f>IFERROR(__xludf.DUMMYFUNCTION("IFERROR(REGEXEXTRACT(A68, ""x:([-+]?[0-9]*\.?[0-9]+)""), """")"),"+34.90")</f>
        <v>+34.90</v>
      </c>
      <c r="E68" s="5" t="str">
        <f>IFERROR(__xludf.DUMMYFUNCTION("IFERROR(REGEXEXTRACT(A68, ""y:([-+]?[0-9]*\.?[0-9]+)""), """")"),"-100.00")</f>
        <v>-100.00</v>
      </c>
    </row>
    <row r="69">
      <c r="A69" s="3" t="s">
        <v>81</v>
      </c>
      <c r="B69" s="4">
        <f>IFERROR(__xludf.DUMMYFUNCTION("IFERROR(VALUE(REGEXEXTRACT(A69, ""angle:(\d+)"")), -1)"),18.0)</f>
        <v>18</v>
      </c>
      <c r="C69" s="5" t="str">
        <f t="shared" si="1"/>
        <v>018</v>
      </c>
      <c r="D69" s="5" t="str">
        <f>IFERROR(__xludf.DUMMYFUNCTION("IFERROR(REGEXEXTRACT(A69, ""x:([-+]?[0-9]*\.?[0-9]+)""), """")"),"+33.33")</f>
        <v>+33.33</v>
      </c>
      <c r="E69" s="5" t="str">
        <f>IFERROR(__xludf.DUMMYFUNCTION("IFERROR(REGEXEXTRACT(A69, ""y:([-+]?[0-9]*\.?[0-9]+)""), """")"),"-100.00")</f>
        <v>-100.00</v>
      </c>
    </row>
    <row r="70">
      <c r="A70" s="3" t="s">
        <v>82</v>
      </c>
      <c r="B70" s="4">
        <f>IFERROR(__xludf.DUMMYFUNCTION("IFERROR(VALUE(REGEXEXTRACT(A70, ""angle:(\d+)"")), -1)"),17.0)</f>
        <v>17</v>
      </c>
      <c r="C70" s="5" t="str">
        <f t="shared" si="1"/>
        <v>017</v>
      </c>
      <c r="D70" s="5" t="str">
        <f>IFERROR(__xludf.DUMMYFUNCTION("IFERROR(REGEXEXTRACT(A70, ""x:([-+]?[0-9]*\.?[0-9]+)""), """")"),"+31.77")</f>
        <v>+31.77</v>
      </c>
      <c r="E70" s="5" t="str">
        <f>IFERROR(__xludf.DUMMYFUNCTION("IFERROR(REGEXEXTRACT(A70, ""y:([-+]?[0-9]*\.?[0-9]+)""), """")"),"-100.00")</f>
        <v>-100.00</v>
      </c>
    </row>
    <row r="71">
      <c r="A71" s="3" t="s">
        <v>83</v>
      </c>
      <c r="B71" s="4">
        <f>IFERROR(__xludf.DUMMYFUNCTION("IFERROR(VALUE(REGEXEXTRACT(A71, ""angle:(\d+)"")), -1)"),16.0)</f>
        <v>16</v>
      </c>
      <c r="C71" s="5" t="str">
        <f t="shared" si="1"/>
        <v>016</v>
      </c>
      <c r="D71" s="5" t="str">
        <f>IFERROR(__xludf.DUMMYFUNCTION("IFERROR(REGEXEXTRACT(A71, ""x:([-+]?[0-9]*\.?[0-9]+)""), """")"),"+29.41")</f>
        <v>+29.41</v>
      </c>
      <c r="E71" s="5" t="str">
        <f>IFERROR(__xludf.DUMMYFUNCTION("IFERROR(REGEXEXTRACT(A71, ""y:([-+]?[0-9]*\.?[0-9]+)""), """")"),"-100.00")</f>
        <v>-100.00</v>
      </c>
    </row>
    <row r="72">
      <c r="A72" s="3" t="s">
        <v>84</v>
      </c>
      <c r="B72" s="4">
        <f>IFERROR(__xludf.DUMMYFUNCTION("IFERROR(VALUE(REGEXEXTRACT(A72, ""angle:(\d+)"")), -1)"),15.0)</f>
        <v>15</v>
      </c>
      <c r="C72" s="5" t="str">
        <f t="shared" si="1"/>
        <v>015</v>
      </c>
      <c r="D72" s="5" t="str">
        <f>IFERROR(__xludf.DUMMYFUNCTION("IFERROR(REGEXEXTRACT(A72, ""x:([-+]?[0-9]*\.?[0-9]+)""), """")"),"+27.84")</f>
        <v>+27.84</v>
      </c>
      <c r="E72" s="5" t="str">
        <f>IFERROR(__xludf.DUMMYFUNCTION("IFERROR(REGEXEXTRACT(A72, ""y:([-+]?[0-9]*\.?[0-9]+)""), """")"),"-100.00")</f>
        <v>-100.00</v>
      </c>
    </row>
    <row r="73">
      <c r="A73" s="3" t="s">
        <v>85</v>
      </c>
      <c r="B73" s="4">
        <f>IFERROR(__xludf.DUMMYFUNCTION("IFERROR(VALUE(REGEXEXTRACT(A73, ""angle:(\d+)"")), -1)"),14.0)</f>
        <v>14</v>
      </c>
      <c r="C73" s="5" t="str">
        <f t="shared" si="1"/>
        <v>014</v>
      </c>
      <c r="D73" s="5" t="str">
        <f>IFERROR(__xludf.DUMMYFUNCTION("IFERROR(REGEXEXTRACT(A73, ""x:([-+]?[0-9]*\.?[0-9]+)""), """")"),"+25.49")</f>
        <v>+25.49</v>
      </c>
      <c r="E73" s="5" t="str">
        <f>IFERROR(__xludf.DUMMYFUNCTION("IFERROR(REGEXEXTRACT(A73, ""y:([-+]?[0-9]*\.?[0-9]+)""), """")"),"-100.00")</f>
        <v>-100.00</v>
      </c>
    </row>
    <row r="74">
      <c r="A74" s="3" t="s">
        <v>86</v>
      </c>
      <c r="B74" s="4">
        <f>IFERROR(__xludf.DUMMYFUNCTION("IFERROR(VALUE(REGEXEXTRACT(A74, ""angle:(\d+)"")), -1)"),13.0)</f>
        <v>13</v>
      </c>
      <c r="C74" s="5" t="str">
        <f t="shared" si="1"/>
        <v>013</v>
      </c>
      <c r="D74" s="5" t="str">
        <f>IFERROR(__xludf.DUMMYFUNCTION("IFERROR(REGEXEXTRACT(A74, ""x:([-+]?[0-9]*\.?[0-9]+)""), """")"),"+23.92")</f>
        <v>+23.92</v>
      </c>
      <c r="E74" s="5" t="str">
        <f>IFERROR(__xludf.DUMMYFUNCTION("IFERROR(REGEXEXTRACT(A74, ""y:([-+]?[0-9]*\.?[0-9]+)""), """")"),"-100.00")</f>
        <v>-100.00</v>
      </c>
    </row>
    <row r="75">
      <c r="A75" s="3" t="s">
        <v>87</v>
      </c>
      <c r="B75" s="4">
        <f>IFERROR(__xludf.DUMMYFUNCTION("IFERROR(VALUE(REGEXEXTRACT(A75, ""angle:(\d+)"")), -1)"),12.0)</f>
        <v>12</v>
      </c>
      <c r="C75" s="5" t="str">
        <f t="shared" si="1"/>
        <v>012</v>
      </c>
      <c r="D75" s="5" t="str">
        <f>IFERROR(__xludf.DUMMYFUNCTION("IFERROR(REGEXEXTRACT(A75, ""x:([-+]?[0-9]*\.?[0-9]+)""), """")"),"+22.35")</f>
        <v>+22.35</v>
      </c>
      <c r="E75" s="5" t="str">
        <f>IFERROR(__xludf.DUMMYFUNCTION("IFERROR(REGEXEXTRACT(A75, ""y:([-+]?[0-9]*\.?[0-9]+)""), """")"),"-100.00")</f>
        <v>-100.00</v>
      </c>
    </row>
    <row r="76">
      <c r="A76" s="3" t="s">
        <v>88</v>
      </c>
      <c r="B76" s="4">
        <f>IFERROR(__xludf.DUMMYFUNCTION("IFERROR(VALUE(REGEXEXTRACT(A76, ""angle:(\d+)"")), -1)"),11.0)</f>
        <v>11</v>
      </c>
      <c r="C76" s="5" t="str">
        <f t="shared" si="1"/>
        <v>011</v>
      </c>
      <c r="D76" s="5" t="str">
        <f>IFERROR(__xludf.DUMMYFUNCTION("IFERROR(REGEXEXTRACT(A76, ""x:([-+]?[0-9]*\.?[0-9]+)""), """")"),"+20.78")</f>
        <v>+20.78</v>
      </c>
      <c r="E76" s="5" t="str">
        <f>IFERROR(__xludf.DUMMYFUNCTION("IFERROR(REGEXEXTRACT(A76, ""y:([-+]?[0-9]*\.?[0-9]+)""), """")"),"-100.00")</f>
        <v>-100.00</v>
      </c>
    </row>
    <row r="77">
      <c r="A77" s="3" t="s">
        <v>89</v>
      </c>
      <c r="B77" s="4">
        <f>IFERROR(__xludf.DUMMYFUNCTION("IFERROR(VALUE(REGEXEXTRACT(A77, ""angle:(\d+)"")), -1)"),10.0)</f>
        <v>10</v>
      </c>
      <c r="C77" s="5" t="str">
        <f t="shared" si="1"/>
        <v>010</v>
      </c>
      <c r="D77" s="5" t="str">
        <f>IFERROR(__xludf.DUMMYFUNCTION("IFERROR(REGEXEXTRACT(A77, ""x:([-+]?[0-9]*\.?[0-9]+)""), """")"),"+19.22")</f>
        <v>+19.22</v>
      </c>
      <c r="E77" s="5" t="str">
        <f>IFERROR(__xludf.DUMMYFUNCTION("IFERROR(REGEXEXTRACT(A77, ""y:([-+]?[0-9]*\.?[0-9]+)""), """")"),"-100.00")</f>
        <v>-100.00</v>
      </c>
    </row>
    <row r="78">
      <c r="A78" s="3" t="s">
        <v>90</v>
      </c>
      <c r="B78" s="4">
        <f>IFERROR(__xludf.DUMMYFUNCTION("IFERROR(VALUE(REGEXEXTRACT(A78, ""angle:(\d+)"")), -1)"),9.0)</f>
        <v>9</v>
      </c>
      <c r="C78" s="5" t="str">
        <f t="shared" si="1"/>
        <v>009</v>
      </c>
      <c r="D78" s="5" t="str">
        <f>IFERROR(__xludf.DUMMYFUNCTION("IFERROR(REGEXEXTRACT(A78, ""x:([-+]?[0-9]*\.?[0-9]+)""), """")"),"+17.65")</f>
        <v>+17.65</v>
      </c>
      <c r="E78" s="5" t="str">
        <f>IFERROR(__xludf.DUMMYFUNCTION("IFERROR(REGEXEXTRACT(A78, ""y:([-+]?[0-9]*\.?[0-9]+)""), """")"),"-100.00")</f>
        <v>-100.00</v>
      </c>
    </row>
    <row r="79">
      <c r="A79" s="3" t="s">
        <v>91</v>
      </c>
      <c r="B79" s="4">
        <f>IFERROR(__xludf.DUMMYFUNCTION("IFERROR(VALUE(REGEXEXTRACT(A79, ""angle:(\d+)"")), -1)"),8.0)</f>
        <v>8</v>
      </c>
      <c r="C79" s="5" t="str">
        <f t="shared" si="1"/>
        <v>008</v>
      </c>
      <c r="D79" s="5" t="str">
        <f>IFERROR(__xludf.DUMMYFUNCTION("IFERROR(REGEXEXTRACT(A79, ""x:([-+]?[0-9]*\.?[0-9]+)""), """")"),"+15.29")</f>
        <v>+15.29</v>
      </c>
      <c r="E79" s="5" t="str">
        <f>IFERROR(__xludf.DUMMYFUNCTION("IFERROR(REGEXEXTRACT(A79, ""y:([-+]?[0-9]*\.?[0-9]+)""), """")"),"-100.00")</f>
        <v>-100.00</v>
      </c>
    </row>
    <row r="80">
      <c r="A80" s="3" t="s">
        <v>92</v>
      </c>
      <c r="B80" s="4">
        <f>IFERROR(__xludf.DUMMYFUNCTION("IFERROR(VALUE(REGEXEXTRACT(A80, ""angle:(\d+)"")), -1)"),7.0)</f>
        <v>7</v>
      </c>
      <c r="C80" s="5" t="str">
        <f t="shared" si="1"/>
        <v>007</v>
      </c>
      <c r="D80" s="5" t="str">
        <f>IFERROR(__xludf.DUMMYFUNCTION("IFERROR(REGEXEXTRACT(A80, ""x:([-+]?[0-9]*\.?[0-9]+)""), """")"),"+13.73")</f>
        <v>+13.73</v>
      </c>
      <c r="E80" s="5" t="str">
        <f>IFERROR(__xludf.DUMMYFUNCTION("IFERROR(REGEXEXTRACT(A80, ""y:([-+]?[0-9]*\.?[0-9]+)""), """")"),"-100.00")</f>
        <v>-100.00</v>
      </c>
    </row>
    <row r="81">
      <c r="A81" s="3" t="s">
        <v>93</v>
      </c>
      <c r="B81" s="4">
        <f>IFERROR(__xludf.DUMMYFUNCTION("IFERROR(VALUE(REGEXEXTRACT(A81, ""angle:(\d+)"")), -1)"),6.0)</f>
        <v>6</v>
      </c>
      <c r="C81" s="5" t="str">
        <f t="shared" si="1"/>
        <v>006</v>
      </c>
      <c r="D81" s="5" t="str">
        <f>IFERROR(__xludf.DUMMYFUNCTION("IFERROR(REGEXEXTRACT(A81, ""x:([-+]?[0-9]*\.?[0-9]+)""), """")"),"+12.16")</f>
        <v>+12.16</v>
      </c>
      <c r="E81" s="5" t="str">
        <f>IFERROR(__xludf.DUMMYFUNCTION("IFERROR(REGEXEXTRACT(A81, ""y:([-+]?[0-9]*\.?[0-9]+)""), """")"),"-100.00")</f>
        <v>-100.00</v>
      </c>
    </row>
    <row r="82">
      <c r="A82" s="3" t="s">
        <v>94</v>
      </c>
      <c r="B82" s="4">
        <f>IFERROR(__xludf.DUMMYFUNCTION("IFERROR(VALUE(REGEXEXTRACT(A82, ""angle:(\d+)"")), -1)"),5.0)</f>
        <v>5</v>
      </c>
      <c r="C82" s="5" t="str">
        <f t="shared" si="1"/>
        <v>005</v>
      </c>
      <c r="D82" s="5" t="str">
        <f>IFERROR(__xludf.DUMMYFUNCTION("IFERROR(REGEXEXTRACT(A82, ""x:([-+]?[0-9]*\.?[0-9]+)""), """")"),"+10.59")</f>
        <v>+10.59</v>
      </c>
      <c r="E82" s="5" t="str">
        <f>IFERROR(__xludf.DUMMYFUNCTION("IFERROR(REGEXEXTRACT(A82, ""y:([-+]?[0-9]*\.?[0-9]+)""), """")"),"-100.00")</f>
        <v>-100.00</v>
      </c>
    </row>
    <row r="83">
      <c r="A83" s="3" t="s">
        <v>95</v>
      </c>
      <c r="B83" s="4">
        <f>IFERROR(__xludf.DUMMYFUNCTION("IFERROR(VALUE(REGEXEXTRACT(A83, ""angle:(\d+)"")), -1)"),4.0)</f>
        <v>4</v>
      </c>
      <c r="C83" s="5" t="str">
        <f t="shared" si="1"/>
        <v>004</v>
      </c>
      <c r="D83" s="5" t="str">
        <f>IFERROR(__xludf.DUMMYFUNCTION("IFERROR(REGEXEXTRACT(A83, ""x:([-+]?[0-9]*\.?[0-9]+)""), """")"),"+8.24")</f>
        <v>+8.24</v>
      </c>
      <c r="E83" s="5" t="str">
        <f>IFERROR(__xludf.DUMMYFUNCTION("IFERROR(REGEXEXTRACT(A83, ""y:([-+]?[0-9]*\.?[0-9]+)""), """")"),"-100.00")</f>
        <v>-100.00</v>
      </c>
    </row>
    <row r="84">
      <c r="A84" s="3" t="s">
        <v>96</v>
      </c>
      <c r="B84" s="4">
        <f>IFERROR(__xludf.DUMMYFUNCTION("IFERROR(VALUE(REGEXEXTRACT(A84, ""angle:(\d+)"")), -1)"),3.0)</f>
        <v>3</v>
      </c>
      <c r="C84" s="5" t="str">
        <f t="shared" si="1"/>
        <v>003</v>
      </c>
      <c r="D84" s="5" t="str">
        <f>IFERROR(__xludf.DUMMYFUNCTION("IFERROR(REGEXEXTRACT(A84, ""x:([-+]?[0-9]*\.?[0-9]+)""), """")"),"+6.67")</f>
        <v>+6.67</v>
      </c>
      <c r="E84" s="5" t="str">
        <f>IFERROR(__xludf.DUMMYFUNCTION("IFERROR(REGEXEXTRACT(A84, ""y:([-+]?[0-9]*\.?[0-9]+)""), """")"),"-100.00")</f>
        <v>-100.00</v>
      </c>
    </row>
    <row r="85">
      <c r="A85" s="3" t="s">
        <v>97</v>
      </c>
      <c r="B85" s="4">
        <f>IFERROR(__xludf.DUMMYFUNCTION("IFERROR(VALUE(REGEXEXTRACT(A85, ""angle:(\d+)"")), -1)"),2.0)</f>
        <v>2</v>
      </c>
      <c r="C85" s="5" t="str">
        <f t="shared" si="1"/>
        <v>002</v>
      </c>
      <c r="D85" s="5" t="str">
        <f>IFERROR(__xludf.DUMMYFUNCTION("IFERROR(REGEXEXTRACT(A85, ""x:([-+]?[0-9]*\.?[0-9]+)""), """")"),"+5.10")</f>
        <v>+5.10</v>
      </c>
      <c r="E85" s="5" t="str">
        <f>IFERROR(__xludf.DUMMYFUNCTION("IFERROR(REGEXEXTRACT(A85, ""y:([-+]?[0-9]*\.?[0-9]+)""), """")"),"-100.00")</f>
        <v>-100.00</v>
      </c>
    </row>
    <row r="86">
      <c r="A86" s="3" t="s">
        <v>98</v>
      </c>
      <c r="B86" s="4">
        <f>IFERROR(__xludf.DUMMYFUNCTION("IFERROR(VALUE(REGEXEXTRACT(A86, ""angle:(\d+)"")), -1)"),1.0)</f>
        <v>1</v>
      </c>
      <c r="C86" s="5" t="str">
        <f t="shared" si="1"/>
        <v>001</v>
      </c>
      <c r="D86" s="5" t="str">
        <f>IFERROR(__xludf.DUMMYFUNCTION("IFERROR(REGEXEXTRACT(A86, ""x:([-+]?[0-9]*\.?[0-9]+)""), """")"),"+2.75")</f>
        <v>+2.75</v>
      </c>
      <c r="E86" s="5" t="str">
        <f>IFERROR(__xludf.DUMMYFUNCTION("IFERROR(REGEXEXTRACT(A86, ""y:([-+]?[0-9]*\.?[0-9]+)""), """")"),"-100.00")</f>
        <v>-100.00</v>
      </c>
    </row>
    <row r="87">
      <c r="A87" s="3" t="s">
        <v>99</v>
      </c>
      <c r="B87" s="4">
        <f>IFERROR(__xludf.DUMMYFUNCTION("IFERROR(VALUE(REGEXEXTRACT(A87, ""angle:(\d+)"")), -1)"),0.0)</f>
        <v>0</v>
      </c>
      <c r="C87" s="5" t="str">
        <f t="shared" si="1"/>
        <v>000</v>
      </c>
      <c r="D87" s="5" t="str">
        <f>IFERROR(__xludf.DUMMYFUNCTION("IFERROR(REGEXEXTRACT(A87, ""x:([-+]?[0-9]*\.?[0-9]+)""), """")"),"+0.39")</f>
        <v>+0.39</v>
      </c>
      <c r="E87" s="5" t="str">
        <f>IFERROR(__xludf.DUMMYFUNCTION("IFERROR(REGEXEXTRACT(A87, ""y:([-+]?[0-9]*\.?[0-9]+)""), """")"),"-100.00")</f>
        <v>-100.00</v>
      </c>
    </row>
    <row r="88">
      <c r="A88" s="3" t="s">
        <v>100</v>
      </c>
      <c r="B88" s="4">
        <f>IFERROR(__xludf.DUMMYFUNCTION("IFERROR(VALUE(REGEXEXTRACT(A88, ""angle:(\d+)"")), -1)"),359.0)</f>
        <v>359</v>
      </c>
      <c r="C88" s="5" t="str">
        <f t="shared" si="1"/>
        <v>359</v>
      </c>
      <c r="D88" s="5" t="str">
        <f>IFERROR(__xludf.DUMMYFUNCTION("IFERROR(REGEXEXTRACT(A88, ""x:([-+]?[0-9]*\.?[0-9]+)""), """")"),"-1.18")</f>
        <v>-1.18</v>
      </c>
      <c r="E88" s="5" t="str">
        <f>IFERROR(__xludf.DUMMYFUNCTION("IFERROR(REGEXEXTRACT(A88, ""y:([-+]?[0-9]*\.?[0-9]+)""), """")"),"-100.00")</f>
        <v>-100.00</v>
      </c>
    </row>
    <row r="89">
      <c r="A89" s="3" t="s">
        <v>101</v>
      </c>
      <c r="B89" s="4">
        <f>IFERROR(__xludf.DUMMYFUNCTION("IFERROR(VALUE(REGEXEXTRACT(A89, ""angle:(\d+)"")), -1)"),358.0)</f>
        <v>358</v>
      </c>
      <c r="C89" s="5" t="str">
        <f t="shared" si="1"/>
        <v>358</v>
      </c>
      <c r="D89" s="5" t="str">
        <f>IFERROR(__xludf.DUMMYFUNCTION("IFERROR(REGEXEXTRACT(A89, ""x:([-+]?[0-9]*\.?[0-9]+)""), """")"),"-4.31")</f>
        <v>-4.31</v>
      </c>
      <c r="E89" s="5" t="str">
        <f>IFERROR(__xludf.DUMMYFUNCTION("IFERROR(REGEXEXTRACT(A89, ""y:([-+]?[0-9]*\.?[0-9]+)""), """")"),"-100.00")</f>
        <v>-100.00</v>
      </c>
    </row>
    <row r="90">
      <c r="A90" s="3" t="s">
        <v>102</v>
      </c>
      <c r="B90" s="4">
        <f>IFERROR(__xludf.DUMMYFUNCTION("IFERROR(VALUE(REGEXEXTRACT(A90, ""angle:(\d+)"")), -1)"),357.0)</f>
        <v>357</v>
      </c>
      <c r="C90" s="5" t="str">
        <f t="shared" si="1"/>
        <v>357</v>
      </c>
      <c r="D90" s="5" t="str">
        <f>IFERROR(__xludf.DUMMYFUNCTION("IFERROR(REGEXEXTRACT(A90, ""x:([-+]?[0-9]*\.?[0-9]+)""), """")"),"-5.88")</f>
        <v>-5.88</v>
      </c>
      <c r="E90" s="5" t="str">
        <f>IFERROR(__xludf.DUMMYFUNCTION("IFERROR(REGEXEXTRACT(A90, ""y:([-+]?[0-9]*\.?[0-9]+)""), """")"),"-100.00")</f>
        <v>-100.00</v>
      </c>
    </row>
    <row r="91">
      <c r="A91" s="3" t="s">
        <v>103</v>
      </c>
      <c r="B91" s="4">
        <f>IFERROR(__xludf.DUMMYFUNCTION("IFERROR(VALUE(REGEXEXTRACT(A91, ""angle:(\d+)"")), -1)"),356.0)</f>
        <v>356</v>
      </c>
      <c r="C91" s="5" t="str">
        <f t="shared" si="1"/>
        <v>356</v>
      </c>
      <c r="D91" s="5" t="str">
        <f>IFERROR(__xludf.DUMMYFUNCTION("IFERROR(REGEXEXTRACT(A91, ""x:([-+]?[0-9]*\.?[0-9]+)""), """")"),"-7.45")</f>
        <v>-7.45</v>
      </c>
      <c r="E91" s="5" t="str">
        <f>IFERROR(__xludf.DUMMYFUNCTION("IFERROR(REGEXEXTRACT(A91, ""y:([-+]?[0-9]*\.?[0-9]+)""), """")"),"-100.00")</f>
        <v>-100.00</v>
      </c>
    </row>
    <row r="92">
      <c r="A92" s="3" t="s">
        <v>104</v>
      </c>
      <c r="B92" s="4">
        <f>IFERROR(__xludf.DUMMYFUNCTION("IFERROR(VALUE(REGEXEXTRACT(A92, ""angle:(\d+)"")), -1)"),355.0)</f>
        <v>355</v>
      </c>
      <c r="C92" s="5" t="str">
        <f t="shared" si="1"/>
        <v>355</v>
      </c>
      <c r="D92" s="5" t="str">
        <f>IFERROR(__xludf.DUMMYFUNCTION("IFERROR(REGEXEXTRACT(A92, ""x:([-+]?[0-9]*\.?[0-9]+)""), """")"),"-9.02")</f>
        <v>-9.02</v>
      </c>
      <c r="E92" s="5" t="str">
        <f>IFERROR(__xludf.DUMMYFUNCTION("IFERROR(REGEXEXTRACT(A92, ""y:([-+]?[0-9]*\.?[0-9]+)""), """")"),"-100.00")</f>
        <v>-100.00</v>
      </c>
    </row>
    <row r="93">
      <c r="A93" s="3" t="s">
        <v>105</v>
      </c>
      <c r="B93" s="4">
        <f>IFERROR(__xludf.DUMMYFUNCTION("IFERROR(VALUE(REGEXEXTRACT(A93, ""angle:(\d+)"")), -1)"),354.0)</f>
        <v>354</v>
      </c>
      <c r="C93" s="5" t="str">
        <f t="shared" si="1"/>
        <v>354</v>
      </c>
      <c r="D93" s="5" t="str">
        <f>IFERROR(__xludf.DUMMYFUNCTION("IFERROR(REGEXEXTRACT(A93, ""x:([-+]?[0-9]*\.?[0-9]+)""), """")"),"-11.37")</f>
        <v>-11.37</v>
      </c>
      <c r="E93" s="5" t="str">
        <f>IFERROR(__xludf.DUMMYFUNCTION("IFERROR(REGEXEXTRACT(A93, ""y:([-+]?[0-9]*\.?[0-9]+)""), """")"),"-100.00")</f>
        <v>-100.00</v>
      </c>
    </row>
    <row r="94">
      <c r="A94" s="3" t="s">
        <v>106</v>
      </c>
      <c r="B94" s="4">
        <f>IFERROR(__xludf.DUMMYFUNCTION("IFERROR(VALUE(REGEXEXTRACT(A94, ""angle:(\d+)"")), -1)"),353.0)</f>
        <v>353</v>
      </c>
      <c r="C94" s="5" t="str">
        <f t="shared" si="1"/>
        <v>353</v>
      </c>
      <c r="D94" s="5" t="str">
        <f>IFERROR(__xludf.DUMMYFUNCTION("IFERROR(REGEXEXTRACT(A94, ""x:([-+]?[0-9]*\.?[0-9]+)""), """")"),"-12.94")</f>
        <v>-12.94</v>
      </c>
      <c r="E94" s="5" t="str">
        <f>IFERROR(__xludf.DUMMYFUNCTION("IFERROR(REGEXEXTRACT(A94, ""y:([-+]?[0-9]*\.?[0-9]+)""), """")"),"-100.00")</f>
        <v>-100.00</v>
      </c>
    </row>
    <row r="95">
      <c r="A95" s="3" t="s">
        <v>107</v>
      </c>
      <c r="B95" s="4">
        <f>IFERROR(__xludf.DUMMYFUNCTION("IFERROR(VALUE(REGEXEXTRACT(A95, ""angle:(\d+)"")), -1)"),352.0)</f>
        <v>352</v>
      </c>
      <c r="C95" s="5" t="str">
        <f t="shared" si="1"/>
        <v>352</v>
      </c>
      <c r="D95" s="5" t="str">
        <f>IFERROR(__xludf.DUMMYFUNCTION("IFERROR(REGEXEXTRACT(A95, ""x:([-+]?[0-9]*\.?[0-9]+)""), """")"),"-14.51")</f>
        <v>-14.51</v>
      </c>
      <c r="E95" s="5" t="str">
        <f>IFERROR(__xludf.DUMMYFUNCTION("IFERROR(REGEXEXTRACT(A95, ""y:([-+]?[0-9]*\.?[0-9]+)""), """")"),"-100.00")</f>
        <v>-100.00</v>
      </c>
    </row>
    <row r="96">
      <c r="A96" s="3" t="s">
        <v>108</v>
      </c>
      <c r="B96" s="4">
        <f>IFERROR(__xludf.DUMMYFUNCTION("IFERROR(VALUE(REGEXEXTRACT(A96, ""angle:(\d+)"")), -1)"),351.0)</f>
        <v>351</v>
      </c>
      <c r="C96" s="5" t="str">
        <f t="shared" si="1"/>
        <v>351</v>
      </c>
      <c r="D96" s="5" t="str">
        <f>IFERROR(__xludf.DUMMYFUNCTION("IFERROR(REGEXEXTRACT(A96, ""x:([-+]?[0-9]*\.?[0-9]+)""), """")"),"-16.08")</f>
        <v>-16.08</v>
      </c>
      <c r="E96" s="5" t="str">
        <f>IFERROR(__xludf.DUMMYFUNCTION("IFERROR(REGEXEXTRACT(A96, ""y:([-+]?[0-9]*\.?[0-9]+)""), """")"),"-100.00")</f>
        <v>-100.00</v>
      </c>
    </row>
    <row r="97">
      <c r="A97" s="3" t="s">
        <v>109</v>
      </c>
      <c r="B97" s="4">
        <f>IFERROR(__xludf.DUMMYFUNCTION("IFERROR(VALUE(REGEXEXTRACT(A97, ""angle:(\d+)"")), -1)"),350.0)</f>
        <v>350</v>
      </c>
      <c r="C97" s="5" t="str">
        <f t="shared" si="1"/>
        <v>350</v>
      </c>
      <c r="D97" s="5" t="str">
        <f>IFERROR(__xludf.DUMMYFUNCTION("IFERROR(REGEXEXTRACT(A97, ""x:([-+]?[0-9]*\.?[0-9]+)""), """")"),"-18.43")</f>
        <v>-18.43</v>
      </c>
      <c r="E97" s="5" t="str">
        <f>IFERROR(__xludf.DUMMYFUNCTION("IFERROR(REGEXEXTRACT(A97, ""y:([-+]?[0-9]*\.?[0-9]+)""), """")"),"-100.00")</f>
        <v>-100.00</v>
      </c>
    </row>
    <row r="98">
      <c r="A98" s="3" t="s">
        <v>110</v>
      </c>
      <c r="B98" s="4">
        <f>IFERROR(__xludf.DUMMYFUNCTION("IFERROR(VALUE(REGEXEXTRACT(A98, ""angle:(\d+)"")), -1)"),349.0)</f>
        <v>349</v>
      </c>
      <c r="C98" s="5" t="str">
        <f t="shared" si="1"/>
        <v>349</v>
      </c>
      <c r="D98" s="5" t="str">
        <f>IFERROR(__xludf.DUMMYFUNCTION("IFERROR(REGEXEXTRACT(A98, ""x:([-+]?[0-9]*\.?[0-9]+)""), """")"),"-20.00")</f>
        <v>-20.00</v>
      </c>
      <c r="E98" s="5" t="str">
        <f>IFERROR(__xludf.DUMMYFUNCTION("IFERROR(REGEXEXTRACT(A98, ""y:([-+]?[0-9]*\.?[0-9]+)""), """")"),"-100.00")</f>
        <v>-100.00</v>
      </c>
    </row>
    <row r="99">
      <c r="A99" s="3" t="s">
        <v>111</v>
      </c>
      <c r="B99" s="4">
        <f>IFERROR(__xludf.DUMMYFUNCTION("IFERROR(VALUE(REGEXEXTRACT(A99, ""angle:(\d+)"")), -1)"),348.0)</f>
        <v>348</v>
      </c>
      <c r="C99" s="5" t="str">
        <f t="shared" si="1"/>
        <v>348</v>
      </c>
      <c r="D99" s="5" t="str">
        <f>IFERROR(__xludf.DUMMYFUNCTION("IFERROR(REGEXEXTRACT(A99, ""x:([-+]?[0-9]*\.?[0-9]+)""), """")"),"-21.57")</f>
        <v>-21.57</v>
      </c>
      <c r="E99" s="5" t="str">
        <f>IFERROR(__xludf.DUMMYFUNCTION("IFERROR(REGEXEXTRACT(A99, ""y:([-+]?[0-9]*\.?[0-9]+)""), """")"),"-100.00")</f>
        <v>-100.00</v>
      </c>
    </row>
    <row r="100">
      <c r="A100" s="3" t="s">
        <v>112</v>
      </c>
      <c r="B100" s="4">
        <f>IFERROR(__xludf.DUMMYFUNCTION("IFERROR(VALUE(REGEXEXTRACT(A100, ""angle:(\d+)"")), -1)"),347.0)</f>
        <v>347</v>
      </c>
      <c r="C100" s="5" t="str">
        <f t="shared" si="1"/>
        <v>347</v>
      </c>
      <c r="D100" s="5" t="str">
        <f>IFERROR(__xludf.DUMMYFUNCTION("IFERROR(REGEXEXTRACT(A100, ""x:([-+]?[0-9]*\.?[0-9]+)""), """")"),"-23.14")</f>
        <v>-23.14</v>
      </c>
      <c r="E100" s="5" t="str">
        <f>IFERROR(__xludf.DUMMYFUNCTION("IFERROR(REGEXEXTRACT(A100, ""y:([-+]?[0-9]*\.?[0-9]+)""), """")"),"-100.00")</f>
        <v>-100.00</v>
      </c>
    </row>
    <row r="101">
      <c r="A101" s="3" t="s">
        <v>113</v>
      </c>
      <c r="B101" s="4">
        <f>IFERROR(__xludf.DUMMYFUNCTION("IFERROR(VALUE(REGEXEXTRACT(A101, ""angle:(\d+)"")), -1)"),346.0)</f>
        <v>346</v>
      </c>
      <c r="C101" s="5" t="str">
        <f t="shared" si="1"/>
        <v>346</v>
      </c>
      <c r="D101" s="5" t="str">
        <f>IFERROR(__xludf.DUMMYFUNCTION("IFERROR(REGEXEXTRACT(A101, ""x:([-+]?[0-9]*\.?[0-9]+)""), """")"),"-24.71")</f>
        <v>-24.71</v>
      </c>
      <c r="E101" s="5" t="str">
        <f>IFERROR(__xludf.DUMMYFUNCTION("IFERROR(REGEXEXTRACT(A101, ""y:([-+]?[0-9]*\.?[0-9]+)""), """")"),"-100.00")</f>
        <v>-100.00</v>
      </c>
    </row>
    <row r="102">
      <c r="A102" s="3" t="s">
        <v>114</v>
      </c>
      <c r="B102" s="4">
        <f>IFERROR(__xludf.DUMMYFUNCTION("IFERROR(VALUE(REGEXEXTRACT(A102, ""angle:(\d+)"")), -1)"),345.0)</f>
        <v>345</v>
      </c>
      <c r="C102" s="5" t="str">
        <f t="shared" si="1"/>
        <v>345</v>
      </c>
      <c r="D102" s="5" t="str">
        <f>IFERROR(__xludf.DUMMYFUNCTION("IFERROR(REGEXEXTRACT(A102, ""x:([-+]?[0-9]*\.?[0-9]+)""), """")"),"-27.06")</f>
        <v>-27.06</v>
      </c>
      <c r="E102" s="5" t="str">
        <f>IFERROR(__xludf.DUMMYFUNCTION("IFERROR(REGEXEXTRACT(A102, ""y:([-+]?[0-9]*\.?[0-9]+)""), """")"),"-100.00")</f>
        <v>-100.00</v>
      </c>
    </row>
    <row r="103">
      <c r="A103" s="3" t="s">
        <v>115</v>
      </c>
      <c r="B103" s="4">
        <f>IFERROR(__xludf.DUMMYFUNCTION("IFERROR(VALUE(REGEXEXTRACT(A103, ""angle:(\d+)"")), -1)"),344.0)</f>
        <v>344</v>
      </c>
      <c r="C103" s="5" t="str">
        <f t="shared" si="1"/>
        <v>344</v>
      </c>
      <c r="D103" s="5" t="str">
        <f>IFERROR(__xludf.DUMMYFUNCTION("IFERROR(REGEXEXTRACT(A103, ""x:([-+]?[0-9]*\.?[0-9]+)""), """")"),"-28.63")</f>
        <v>-28.63</v>
      </c>
      <c r="E103" s="5" t="str">
        <f>IFERROR(__xludf.DUMMYFUNCTION("IFERROR(REGEXEXTRACT(A103, ""y:([-+]?[0-9]*\.?[0-9]+)""), """")"),"-100.00")</f>
        <v>-100.00</v>
      </c>
    </row>
    <row r="104">
      <c r="A104" s="3" t="s">
        <v>116</v>
      </c>
      <c r="B104" s="4">
        <f>IFERROR(__xludf.DUMMYFUNCTION("IFERROR(VALUE(REGEXEXTRACT(A104, ""angle:(\d+)"")), -1)"),343.0)</f>
        <v>343</v>
      </c>
      <c r="C104" s="5" t="str">
        <f t="shared" si="1"/>
        <v>343</v>
      </c>
      <c r="D104" s="5" t="str">
        <f>IFERROR(__xludf.DUMMYFUNCTION("IFERROR(REGEXEXTRACT(A104, ""x:([-+]?[0-9]*\.?[0-9]+)""), """")"),"-30.20")</f>
        <v>-30.20</v>
      </c>
      <c r="E104" s="5" t="str">
        <f>IFERROR(__xludf.DUMMYFUNCTION("IFERROR(REGEXEXTRACT(A104, ""y:([-+]?[0-9]*\.?[0-9]+)""), """")"),"-100.00")</f>
        <v>-100.00</v>
      </c>
    </row>
    <row r="105">
      <c r="A105" s="3" t="s">
        <v>117</v>
      </c>
      <c r="B105" s="4">
        <f>IFERROR(__xludf.DUMMYFUNCTION("IFERROR(VALUE(REGEXEXTRACT(A105, ""angle:(\d+)"")), -1)"),342.0)</f>
        <v>342</v>
      </c>
      <c r="C105" s="5" t="str">
        <f t="shared" si="1"/>
        <v>342</v>
      </c>
      <c r="D105" s="5" t="str">
        <f>IFERROR(__xludf.DUMMYFUNCTION("IFERROR(REGEXEXTRACT(A105, ""x:([-+]?[0-9]*\.?[0-9]+)""), """")"),"-32.55")</f>
        <v>-32.55</v>
      </c>
      <c r="E105" s="5" t="str">
        <f>IFERROR(__xludf.DUMMYFUNCTION("IFERROR(REGEXEXTRACT(A105, ""y:([-+]?[0-9]*\.?[0-9]+)""), """")"),"-100.00")</f>
        <v>-100.00</v>
      </c>
    </row>
    <row r="106">
      <c r="A106" s="3" t="s">
        <v>118</v>
      </c>
      <c r="B106" s="4">
        <f>IFERROR(__xludf.DUMMYFUNCTION("IFERROR(VALUE(REGEXEXTRACT(A106, ""angle:(\d+)"")), -1)"),341.0)</f>
        <v>341</v>
      </c>
      <c r="C106" s="5" t="str">
        <f t="shared" si="1"/>
        <v>341</v>
      </c>
      <c r="D106" s="5" t="str">
        <f>IFERROR(__xludf.DUMMYFUNCTION("IFERROR(REGEXEXTRACT(A106, ""x:([-+]?[0-9]*\.?[0-9]+)""), """")"),"-34.12")</f>
        <v>-34.12</v>
      </c>
      <c r="E106" s="5" t="str">
        <f>IFERROR(__xludf.DUMMYFUNCTION("IFERROR(REGEXEXTRACT(A106, ""y:([-+]?[0-9]*\.?[0-9]+)""), """")"),"-100.00")</f>
        <v>-100.00</v>
      </c>
    </row>
    <row r="107">
      <c r="A107" s="3" t="s">
        <v>119</v>
      </c>
      <c r="B107" s="4">
        <f>IFERROR(__xludf.DUMMYFUNCTION("IFERROR(VALUE(REGEXEXTRACT(A107, ""angle:(\d+)"")), -1)"),340.0)</f>
        <v>340</v>
      </c>
      <c r="C107" s="5" t="str">
        <f t="shared" si="1"/>
        <v>340</v>
      </c>
      <c r="D107" s="5" t="str">
        <f>IFERROR(__xludf.DUMMYFUNCTION("IFERROR(REGEXEXTRACT(A107, ""x:([-+]?[0-9]*\.?[0-9]+)""), """")"),"-35.69")</f>
        <v>-35.69</v>
      </c>
      <c r="E107" s="5" t="str">
        <f>IFERROR(__xludf.DUMMYFUNCTION("IFERROR(REGEXEXTRACT(A107, ""y:([-+]?[0-9]*\.?[0-9]+)""), """")"),"-100.00")</f>
        <v>-100.00</v>
      </c>
    </row>
    <row r="108">
      <c r="A108" s="3" t="s">
        <v>120</v>
      </c>
      <c r="B108" s="4">
        <f>IFERROR(__xludf.DUMMYFUNCTION("IFERROR(VALUE(REGEXEXTRACT(A108, ""angle:(\d+)"")), -1)"),339.0)</f>
        <v>339</v>
      </c>
      <c r="C108" s="5" t="str">
        <f t="shared" si="1"/>
        <v>339</v>
      </c>
      <c r="D108" s="5" t="str">
        <f>IFERROR(__xludf.DUMMYFUNCTION("IFERROR(REGEXEXTRACT(A108, ""x:([-+]?[0-9]*\.?[0-9]+)""), """")"),"-37.25")</f>
        <v>-37.25</v>
      </c>
      <c r="E108" s="5" t="str">
        <f>IFERROR(__xludf.DUMMYFUNCTION("IFERROR(REGEXEXTRACT(A108, ""y:([-+]?[0-9]*\.?[0-9]+)""), """")"),"-99.22")</f>
        <v>-99.22</v>
      </c>
    </row>
    <row r="109">
      <c r="A109" s="3" t="s">
        <v>121</v>
      </c>
      <c r="B109" s="4">
        <f>IFERROR(__xludf.DUMMYFUNCTION("IFERROR(VALUE(REGEXEXTRACT(A109, ""angle:(\d+)"")), -1)"),338.0)</f>
        <v>338</v>
      </c>
      <c r="C109" s="5" t="str">
        <f t="shared" si="1"/>
        <v>338</v>
      </c>
      <c r="D109" s="5" t="str">
        <f>IFERROR(__xludf.DUMMYFUNCTION("IFERROR(REGEXEXTRACT(A109, ""x:([-+]?[0-9]*\.?[0-9]+)""), """")"),"-39.61")</f>
        <v>-39.61</v>
      </c>
      <c r="E109" s="5" t="str">
        <f>IFERROR(__xludf.DUMMYFUNCTION("IFERROR(REGEXEXTRACT(A109, ""y:([-+]?[0-9]*\.?[0-9]+)""), """")"),"-99.22")</f>
        <v>-99.22</v>
      </c>
    </row>
    <row r="110">
      <c r="A110" s="3" t="s">
        <v>122</v>
      </c>
      <c r="B110" s="4">
        <f>IFERROR(__xludf.DUMMYFUNCTION("IFERROR(VALUE(REGEXEXTRACT(A110, ""angle:(\d+)"")), -1)"),337.0)</f>
        <v>337</v>
      </c>
      <c r="C110" s="5" t="str">
        <f t="shared" si="1"/>
        <v>337</v>
      </c>
      <c r="D110" s="5" t="str">
        <f>IFERROR(__xludf.DUMMYFUNCTION("IFERROR(REGEXEXTRACT(A110, ""x:([-+]?[0-9]*\.?[0-9]+)""), """")"),"-41.18")</f>
        <v>-41.18</v>
      </c>
      <c r="E110" s="5" t="str">
        <f>IFERROR(__xludf.DUMMYFUNCTION("IFERROR(REGEXEXTRACT(A110, ""y:([-+]?[0-9]*\.?[0-9]+)""), """")"),"-98.43")</f>
        <v>-98.43</v>
      </c>
    </row>
    <row r="111">
      <c r="A111" s="3" t="s">
        <v>123</v>
      </c>
      <c r="B111" s="4">
        <f>IFERROR(__xludf.DUMMYFUNCTION("IFERROR(VALUE(REGEXEXTRACT(A111, ""angle:(\d+)"")), -1)"),336.0)</f>
        <v>336</v>
      </c>
      <c r="C111" s="5" t="str">
        <f t="shared" si="1"/>
        <v>336</v>
      </c>
      <c r="D111" s="5" t="str">
        <f>IFERROR(__xludf.DUMMYFUNCTION("IFERROR(REGEXEXTRACT(A111, ""x:([-+]?[0-9]*\.?[0-9]+)""), """")"),"-42.74")</f>
        <v>-42.74</v>
      </c>
      <c r="E111" s="5" t="str">
        <f>IFERROR(__xludf.DUMMYFUNCTION("IFERROR(REGEXEXTRACT(A111, ""y:([-+]?[0-9]*\.?[0-9]+)""), """")"),"-98.43")</f>
        <v>-98.43</v>
      </c>
    </row>
    <row r="112">
      <c r="A112" s="3" t="s">
        <v>124</v>
      </c>
      <c r="B112" s="4">
        <f>IFERROR(__xludf.DUMMYFUNCTION("IFERROR(VALUE(REGEXEXTRACT(A112, ""angle:(\d+)"")), -1)"),335.0)</f>
        <v>335</v>
      </c>
      <c r="C112" s="5" t="str">
        <f t="shared" si="1"/>
        <v>335</v>
      </c>
      <c r="D112" s="5" t="str">
        <f>IFERROR(__xludf.DUMMYFUNCTION("IFERROR(REGEXEXTRACT(A112, ""x:([-+]?[0-9]*\.?[0-9]+)""), """")"),"-44.31")</f>
        <v>-44.31</v>
      </c>
      <c r="E112" s="5" t="str">
        <f>IFERROR(__xludf.DUMMYFUNCTION("IFERROR(REGEXEXTRACT(A112, ""y:([-+]?[0-9]*\.?[0-9]+)""), """")"),"-96.86")</f>
        <v>-96.86</v>
      </c>
    </row>
    <row r="113">
      <c r="A113" s="3" t="s">
        <v>125</v>
      </c>
      <c r="B113" s="4">
        <f>IFERROR(__xludf.DUMMYFUNCTION("IFERROR(VALUE(REGEXEXTRACT(A113, ""angle:(\d+)"")), -1)"),334.0)</f>
        <v>334</v>
      </c>
      <c r="C113" s="5" t="str">
        <f t="shared" si="1"/>
        <v>334</v>
      </c>
      <c r="D113" s="5" t="str">
        <f>IFERROR(__xludf.DUMMYFUNCTION("IFERROR(REGEXEXTRACT(A113, ""x:([-+]?[0-9]*\.?[0-9]+)""), """")"),"-46.67")</f>
        <v>-46.67</v>
      </c>
      <c r="E113" s="5" t="str">
        <f>IFERROR(__xludf.DUMMYFUNCTION("IFERROR(REGEXEXTRACT(A113, ""y:([-+]?[0-9]*\.?[0-9]+)""), """")"),"-96.08")</f>
        <v>-96.08</v>
      </c>
    </row>
    <row r="114">
      <c r="A114" s="3" t="s">
        <v>126</v>
      </c>
      <c r="B114" s="4">
        <f>IFERROR(__xludf.DUMMYFUNCTION("IFERROR(VALUE(REGEXEXTRACT(A114, ""angle:(\d+)"")), -1)"),333.0)</f>
        <v>333</v>
      </c>
      <c r="C114" s="5" t="str">
        <f t="shared" si="1"/>
        <v>333</v>
      </c>
      <c r="D114" s="5" t="str">
        <f>IFERROR(__xludf.DUMMYFUNCTION("IFERROR(REGEXEXTRACT(A114, ""x:([-+]?[0-9]*\.?[0-9]+)""), """")"),"-48.24")</f>
        <v>-48.24</v>
      </c>
      <c r="E114" s="5" t="str">
        <f>IFERROR(__xludf.DUMMYFUNCTION("IFERROR(REGEXEXTRACT(A114, ""y:([-+]?[0-9]*\.?[0-9]+)""), """")"),"-95.29")</f>
        <v>-95.29</v>
      </c>
    </row>
    <row r="115">
      <c r="A115" s="3" t="s">
        <v>127</v>
      </c>
      <c r="B115" s="4">
        <f>IFERROR(__xludf.DUMMYFUNCTION("IFERROR(VALUE(REGEXEXTRACT(A115, ""angle:(\d+)"")), -1)"),332.0)</f>
        <v>332</v>
      </c>
      <c r="C115" s="5" t="str">
        <f t="shared" si="1"/>
        <v>332</v>
      </c>
      <c r="D115" s="5" t="str">
        <f>IFERROR(__xludf.DUMMYFUNCTION("IFERROR(REGEXEXTRACT(A115, ""x:([-+]?[0-9]*\.?[0-9]+)""), """")"),"-49.02")</f>
        <v>-49.02</v>
      </c>
      <c r="E115" s="5" t="str">
        <f>IFERROR(__xludf.DUMMYFUNCTION("IFERROR(REGEXEXTRACT(A115, ""y:([-+]?[0-9]*\.?[0-9]+)""), """")"),"-94.51")</f>
        <v>-94.51</v>
      </c>
    </row>
    <row r="116">
      <c r="A116" s="3" t="s">
        <v>128</v>
      </c>
      <c r="B116" s="4">
        <f>IFERROR(__xludf.DUMMYFUNCTION("IFERROR(VALUE(REGEXEXTRACT(A116, ""angle:(\d+)"")), -1)"),331.0)</f>
        <v>331</v>
      </c>
      <c r="C116" s="5" t="str">
        <f t="shared" si="1"/>
        <v>331</v>
      </c>
      <c r="D116" s="5" t="str">
        <f>IFERROR(__xludf.DUMMYFUNCTION("IFERROR(REGEXEXTRACT(A116, ""x:([-+]?[0-9]*\.?[0-9]+)""), """")"),"-50.59")</f>
        <v>-50.59</v>
      </c>
      <c r="E116" s="5" t="str">
        <f>IFERROR(__xludf.DUMMYFUNCTION("IFERROR(REGEXEXTRACT(A116, ""y:([-+]?[0-9]*\.?[0-9]+)""), """")"),"-92.94")</f>
        <v>-92.94</v>
      </c>
    </row>
    <row r="117">
      <c r="A117" s="3" t="s">
        <v>129</v>
      </c>
      <c r="B117" s="4">
        <f>IFERROR(__xludf.DUMMYFUNCTION("IFERROR(VALUE(REGEXEXTRACT(A117, ""angle:(\d+)"")), -1)"),330.0)</f>
        <v>330</v>
      </c>
      <c r="C117" s="5" t="str">
        <f t="shared" si="1"/>
        <v>330</v>
      </c>
      <c r="D117" s="5" t="str">
        <f>IFERROR(__xludf.DUMMYFUNCTION("IFERROR(REGEXEXTRACT(A117, ""x:([-+]?[0-9]*\.?[0-9]+)""), """")"),"-52.94")</f>
        <v>-52.94</v>
      </c>
      <c r="E117" s="5" t="str">
        <f>IFERROR(__xludf.DUMMYFUNCTION("IFERROR(REGEXEXTRACT(A117, ""y:([-+]?[0-9]*\.?[0-9]+)""), """")"),"-92.16")</f>
        <v>-92.16</v>
      </c>
    </row>
    <row r="118">
      <c r="A118" s="3" t="s">
        <v>130</v>
      </c>
      <c r="B118" s="4">
        <f>IFERROR(__xludf.DUMMYFUNCTION("IFERROR(VALUE(REGEXEXTRACT(A118, ""angle:(\d+)"")), -1)"),329.0)</f>
        <v>329</v>
      </c>
      <c r="C118" s="5" t="str">
        <f t="shared" si="1"/>
        <v>329</v>
      </c>
      <c r="D118" s="5" t="str">
        <f>IFERROR(__xludf.DUMMYFUNCTION("IFERROR(REGEXEXTRACT(A118, ""x:([-+]?[0-9]*\.?[0-9]+)""), """")"),"-53.73")</f>
        <v>-53.73</v>
      </c>
      <c r="E118" s="5" t="str">
        <f>IFERROR(__xludf.DUMMYFUNCTION("IFERROR(REGEXEXTRACT(A118, ""y:([-+]?[0-9]*\.?[0-9]+)""), """")"),"-91.37")</f>
        <v>-91.37</v>
      </c>
    </row>
    <row r="119">
      <c r="A119" s="3" t="s">
        <v>131</v>
      </c>
      <c r="B119" s="4">
        <f>IFERROR(__xludf.DUMMYFUNCTION("IFERROR(VALUE(REGEXEXTRACT(A119, ""angle:(\d+)"")), -1)"),328.0)</f>
        <v>328</v>
      </c>
      <c r="C119" s="5" t="str">
        <f t="shared" si="1"/>
        <v>328</v>
      </c>
      <c r="D119" s="5" t="str">
        <f>IFERROR(__xludf.DUMMYFUNCTION("IFERROR(REGEXEXTRACT(A119, ""x:([-+]?[0-9]*\.?[0-9]+)""), """")"),"-56.08")</f>
        <v>-56.08</v>
      </c>
      <c r="E119" s="5" t="str">
        <f>IFERROR(__xludf.DUMMYFUNCTION("IFERROR(REGEXEXTRACT(A119, ""y:([-+]?[0-9]*\.?[0-9]+)""), """")"),"-91.37")</f>
        <v>-91.37</v>
      </c>
    </row>
    <row r="120">
      <c r="A120" s="3" t="s">
        <v>132</v>
      </c>
      <c r="B120" s="4">
        <f>IFERROR(__xludf.DUMMYFUNCTION("IFERROR(VALUE(REGEXEXTRACT(A120, ""angle:(\d+)"")), -1)"),327.0)</f>
        <v>327</v>
      </c>
      <c r="C120" s="5" t="str">
        <f t="shared" si="1"/>
        <v>327</v>
      </c>
      <c r="D120" s="5" t="str">
        <f>IFERROR(__xludf.DUMMYFUNCTION("IFERROR(REGEXEXTRACT(A120, ""x:([-+]?[0-9]*\.?[0-9]+)""), """")"),"-57.65")</f>
        <v>-57.65</v>
      </c>
      <c r="E120" s="5" t="str">
        <f>IFERROR(__xludf.DUMMYFUNCTION("IFERROR(REGEXEXTRACT(A120, ""y:([-+]?[0-9]*\.?[0-9]+)""), """")"),"-89.80")</f>
        <v>-89.80</v>
      </c>
    </row>
    <row r="121">
      <c r="A121" s="3" t="s">
        <v>133</v>
      </c>
      <c r="B121" s="4">
        <f>IFERROR(__xludf.DUMMYFUNCTION("IFERROR(VALUE(REGEXEXTRACT(A121, ""angle:(\d+)"")), -1)"),326.0)</f>
        <v>326</v>
      </c>
      <c r="C121" s="5" t="str">
        <f t="shared" si="1"/>
        <v>326</v>
      </c>
      <c r="D121" s="5" t="str">
        <f>IFERROR(__xludf.DUMMYFUNCTION("IFERROR(REGEXEXTRACT(A121, ""x:([-+]?[0-9]*\.?[0-9]+)""), """")"),"-59.22")</f>
        <v>-59.22</v>
      </c>
      <c r="E121" s="5" t="str">
        <f>IFERROR(__xludf.DUMMYFUNCTION("IFERROR(REGEXEXTRACT(A121, ""y:([-+]?[0-9]*\.?[0-9]+)""), """")"),"-88.24")</f>
        <v>-88.24</v>
      </c>
    </row>
    <row r="122">
      <c r="A122" s="3" t="s">
        <v>134</v>
      </c>
      <c r="B122" s="4">
        <f>IFERROR(__xludf.DUMMYFUNCTION("IFERROR(VALUE(REGEXEXTRACT(A122, ""angle:(\d+)"")), -1)"),325.0)</f>
        <v>325</v>
      </c>
      <c r="C122" s="5" t="str">
        <f t="shared" si="1"/>
        <v>325</v>
      </c>
      <c r="D122" s="5" t="str">
        <f>IFERROR(__xludf.DUMMYFUNCTION("IFERROR(REGEXEXTRACT(A122, ""x:([-+]?[0-9]*\.?[0-9]+)""), """")"),"-60.00")</f>
        <v>-60.00</v>
      </c>
      <c r="E122" s="5" t="str">
        <f>IFERROR(__xludf.DUMMYFUNCTION("IFERROR(REGEXEXTRACT(A122, ""y:([-+]?[0-9]*\.?[0-9]+)""), """")"),"-87.45")</f>
        <v>-87.45</v>
      </c>
    </row>
    <row r="123">
      <c r="A123" s="3" t="s">
        <v>135</v>
      </c>
      <c r="B123" s="4">
        <f>IFERROR(__xludf.DUMMYFUNCTION("IFERROR(VALUE(REGEXEXTRACT(A123, ""angle:(\d+)"")), -1)"),324.0)</f>
        <v>324</v>
      </c>
      <c r="C123" s="5" t="str">
        <f t="shared" si="1"/>
        <v>324</v>
      </c>
      <c r="D123" s="5" t="str">
        <f>IFERROR(__xludf.DUMMYFUNCTION("IFERROR(REGEXEXTRACT(A123, ""x:([-+]?[0-9]*\.?[0-9]+)""), """")"),"-61.57")</f>
        <v>-61.57</v>
      </c>
      <c r="E123" s="5" t="str">
        <f>IFERROR(__xludf.DUMMYFUNCTION("IFERROR(REGEXEXTRACT(A123, ""y:([-+]?[0-9]*\.?[0-9]+)""), """")"),"-85.88")</f>
        <v>-85.88</v>
      </c>
    </row>
    <row r="124">
      <c r="A124" s="3" t="s">
        <v>136</v>
      </c>
      <c r="B124" s="4">
        <f>IFERROR(__xludf.DUMMYFUNCTION("IFERROR(VALUE(REGEXEXTRACT(A124, ""angle:(\d+)"")), -1)"),323.0)</f>
        <v>323</v>
      </c>
      <c r="C124" s="5" t="str">
        <f t="shared" si="1"/>
        <v>323</v>
      </c>
      <c r="D124" s="5" t="str">
        <f>IFERROR(__xludf.DUMMYFUNCTION("IFERROR(REGEXEXTRACT(A124, ""x:([-+]?[0-9]*\.?[0-9]+)""), """")"),"-63.14")</f>
        <v>-63.14</v>
      </c>
      <c r="E124" s="5" t="str">
        <f>IFERROR(__xludf.DUMMYFUNCTION("IFERROR(REGEXEXTRACT(A124, ""y:([-+]?[0-9]*\.?[0-9]+)""), """")"),"-85.10")</f>
        <v>-85.10</v>
      </c>
    </row>
    <row r="125">
      <c r="A125" s="3" t="s">
        <v>137</v>
      </c>
      <c r="B125" s="4">
        <f>IFERROR(__xludf.DUMMYFUNCTION("IFERROR(VALUE(REGEXEXTRACT(A125, ""angle:(\d+)"")), -1)"),322.0)</f>
        <v>322</v>
      </c>
      <c r="C125" s="5" t="str">
        <f t="shared" si="1"/>
        <v>322</v>
      </c>
      <c r="D125" s="5" t="str">
        <f>IFERROR(__xludf.DUMMYFUNCTION("IFERROR(REGEXEXTRACT(A125, ""x:([-+]?[0-9]*\.?[0-9]+)""), """")"),"-64.71")</f>
        <v>-64.71</v>
      </c>
      <c r="E125" s="5" t="str">
        <f>IFERROR(__xludf.DUMMYFUNCTION("IFERROR(REGEXEXTRACT(A125, ""y:([-+]?[0-9]*\.?[0-9]+)""), """")"),"-84.31")</f>
        <v>-84.31</v>
      </c>
    </row>
    <row r="126">
      <c r="A126" s="3" t="s">
        <v>138</v>
      </c>
      <c r="B126" s="4">
        <f>IFERROR(__xludf.DUMMYFUNCTION("IFERROR(VALUE(REGEXEXTRACT(A126, ""angle:(\d+)"")), -1)"),321.0)</f>
        <v>321</v>
      </c>
      <c r="C126" s="5" t="str">
        <f t="shared" si="1"/>
        <v>321</v>
      </c>
      <c r="D126" s="5" t="str">
        <f>IFERROR(__xludf.DUMMYFUNCTION("IFERROR(REGEXEXTRACT(A126, ""x:([-+]?[0-9]*\.?[0-9]+)""), """")"),"-66.27")</f>
        <v>-66.27</v>
      </c>
      <c r="E126" s="5" t="str">
        <f>IFERROR(__xludf.DUMMYFUNCTION("IFERROR(REGEXEXTRACT(A126, ""y:([-+]?[0-9]*\.?[0-9]+)""), """")"),"-83.53")</f>
        <v>-83.53</v>
      </c>
    </row>
    <row r="127">
      <c r="A127" s="3" t="s">
        <v>139</v>
      </c>
      <c r="B127" s="4">
        <f>IFERROR(__xludf.DUMMYFUNCTION("IFERROR(VALUE(REGEXEXTRACT(A127, ""angle:(\d+)"")), -1)"),320.0)</f>
        <v>320</v>
      </c>
      <c r="C127" s="5" t="str">
        <f t="shared" si="1"/>
        <v>320</v>
      </c>
      <c r="D127" s="5" t="str">
        <f>IFERROR(__xludf.DUMMYFUNCTION("IFERROR(REGEXEXTRACT(A127, ""x:([-+]?[0-9]*\.?[0-9]+)""), """")"),"-68.63")</f>
        <v>-68.63</v>
      </c>
      <c r="E127" s="5" t="str">
        <f>IFERROR(__xludf.DUMMYFUNCTION("IFERROR(REGEXEXTRACT(A127, ""y:([-+]?[0-9]*\.?[0-9]+)""), """")"),"-82.75")</f>
        <v>-82.75</v>
      </c>
    </row>
    <row r="128">
      <c r="A128" s="3" t="s">
        <v>140</v>
      </c>
      <c r="B128" s="4">
        <f>IFERROR(__xludf.DUMMYFUNCTION("IFERROR(VALUE(REGEXEXTRACT(A128, ""angle:(\d+)"")), -1)"),319.0)</f>
        <v>319</v>
      </c>
      <c r="C128" s="5" t="str">
        <f t="shared" si="1"/>
        <v>319</v>
      </c>
      <c r="D128" s="5" t="str">
        <f>IFERROR(__xludf.DUMMYFUNCTION("IFERROR(REGEXEXTRACT(A128, ""x:([-+]?[0-9]*\.?[0-9]+)""), """")"),"-69.41")</f>
        <v>-69.41</v>
      </c>
      <c r="E128" s="5" t="str">
        <f>IFERROR(__xludf.DUMMYFUNCTION("IFERROR(REGEXEXTRACT(A128, ""y:([-+]?[0-9]*\.?[0-9]+)""), """")"),"-81.18")</f>
        <v>-81.18</v>
      </c>
    </row>
    <row r="129">
      <c r="A129" s="3" t="s">
        <v>141</v>
      </c>
      <c r="B129" s="4">
        <f>IFERROR(__xludf.DUMMYFUNCTION("IFERROR(VALUE(REGEXEXTRACT(A129, ""angle:(\d+)"")), -1)"),318.0)</f>
        <v>318</v>
      </c>
      <c r="C129" s="5" t="str">
        <f t="shared" si="1"/>
        <v>318</v>
      </c>
      <c r="D129" s="5" t="str">
        <f>IFERROR(__xludf.DUMMYFUNCTION("IFERROR(REGEXEXTRACT(A129, ""x:([-+]?[0-9]*\.?[0-9]+)""), """")"),"-70.20")</f>
        <v>-70.20</v>
      </c>
      <c r="E129" s="5" t="str">
        <f>IFERROR(__xludf.DUMMYFUNCTION("IFERROR(REGEXEXTRACT(A129, ""y:([-+]?[0-9]*\.?[0-9]+)""), """")"),"-78.82")</f>
        <v>-78.82</v>
      </c>
    </row>
    <row r="130">
      <c r="A130" s="3" t="s">
        <v>142</v>
      </c>
      <c r="B130" s="4">
        <f>IFERROR(__xludf.DUMMYFUNCTION("IFERROR(VALUE(REGEXEXTRACT(A130, ""angle:(\d+)"")), -1)"),317.0)</f>
        <v>317</v>
      </c>
      <c r="C130" s="5" t="str">
        <f t="shared" si="1"/>
        <v>317</v>
      </c>
      <c r="D130" s="5" t="str">
        <f>IFERROR(__xludf.DUMMYFUNCTION("IFERROR(REGEXEXTRACT(A130, ""x:([-+]?[0-9]*\.?[0-9]+)""), """")"),"-71.76")</f>
        <v>-71.76</v>
      </c>
      <c r="E130" s="5" t="str">
        <f>IFERROR(__xludf.DUMMYFUNCTION("IFERROR(REGEXEXTRACT(A130, ""y:([-+]?[0-9]*\.?[0-9]+)""), """")"),"-78.04")</f>
        <v>-78.04</v>
      </c>
    </row>
    <row r="131">
      <c r="A131" s="3" t="s">
        <v>143</v>
      </c>
      <c r="B131" s="4">
        <f>IFERROR(__xludf.DUMMYFUNCTION("IFERROR(VALUE(REGEXEXTRACT(A131, ""angle:(\d+)"")), -1)"),316.0)</f>
        <v>316</v>
      </c>
      <c r="C131" s="5" t="str">
        <f t="shared" si="1"/>
        <v>316</v>
      </c>
      <c r="D131" s="5" t="str">
        <f>IFERROR(__xludf.DUMMYFUNCTION("IFERROR(REGEXEXTRACT(A131, ""x:([-+]?[0-9]*\.?[0-9]+)""), """")"),"-72.55")</f>
        <v>-72.55</v>
      </c>
      <c r="E131" s="5" t="str">
        <f>IFERROR(__xludf.DUMMYFUNCTION("IFERROR(REGEXEXTRACT(A131, ""y:([-+]?[0-9]*\.?[0-9]+)""), """")"),"-76.47")</f>
        <v>-76.47</v>
      </c>
    </row>
    <row r="132">
      <c r="A132" s="3" t="s">
        <v>144</v>
      </c>
      <c r="B132" s="4">
        <f>IFERROR(__xludf.DUMMYFUNCTION("IFERROR(VALUE(REGEXEXTRACT(A132, ""angle:(\d+)"")), -1)"),315.0)</f>
        <v>315</v>
      </c>
      <c r="C132" s="5" t="str">
        <f t="shared" si="1"/>
        <v>315</v>
      </c>
      <c r="D132" s="5" t="str">
        <f>IFERROR(__xludf.DUMMYFUNCTION("IFERROR(REGEXEXTRACT(A132, ""x:([-+]?[0-9]*\.?[0-9]+)""), """")"),"-74.90")</f>
        <v>-74.90</v>
      </c>
      <c r="E132" s="5" t="str">
        <f>IFERROR(__xludf.DUMMYFUNCTION("IFERROR(REGEXEXTRACT(A132, ""y:([-+]?[0-9]*\.?[0-9]+)""), """")"),"-74.90")</f>
        <v>-74.90</v>
      </c>
    </row>
    <row r="133">
      <c r="A133" s="3" t="s">
        <v>145</v>
      </c>
      <c r="B133" s="4">
        <f>IFERROR(__xludf.DUMMYFUNCTION("IFERROR(VALUE(REGEXEXTRACT(A133, ""angle:(\d+)"")), -1)"),314.0)</f>
        <v>314</v>
      </c>
      <c r="C133" s="5" t="str">
        <f t="shared" si="1"/>
        <v>314</v>
      </c>
      <c r="D133" s="5" t="str">
        <f>IFERROR(__xludf.DUMMYFUNCTION("IFERROR(REGEXEXTRACT(A133, ""x:([-+]?[0-9]*\.?[0-9]+)""), """")"),"-76.47")</f>
        <v>-76.47</v>
      </c>
      <c r="E133" s="5" t="str">
        <f>IFERROR(__xludf.DUMMYFUNCTION("IFERROR(REGEXEXTRACT(A133, ""y:([-+]?[0-9]*\.?[0-9]+)""), """")"),"-74.12")</f>
        <v>-74.12</v>
      </c>
    </row>
    <row r="134">
      <c r="A134" s="3" t="s">
        <v>146</v>
      </c>
      <c r="B134" s="4">
        <f>IFERROR(__xludf.DUMMYFUNCTION("IFERROR(VALUE(REGEXEXTRACT(A134, ""angle:(\d+)"")), -1)"),313.0)</f>
        <v>313</v>
      </c>
      <c r="C134" s="5" t="str">
        <f t="shared" si="1"/>
        <v>313</v>
      </c>
      <c r="D134" s="5" t="str">
        <f>IFERROR(__xludf.DUMMYFUNCTION("IFERROR(REGEXEXTRACT(A134, ""x:([-+]?[0-9]*\.?[0-9]+)""), """")"),"-78.04")</f>
        <v>-78.04</v>
      </c>
      <c r="E134" s="5" t="str">
        <f>IFERROR(__xludf.DUMMYFUNCTION("IFERROR(REGEXEXTRACT(A134, ""y:([-+]?[0-9]*\.?[0-9]+)""), """")"),"-72.55")</f>
        <v>-72.55</v>
      </c>
    </row>
    <row r="135">
      <c r="A135" s="3" t="s">
        <v>147</v>
      </c>
      <c r="B135" s="4">
        <f>IFERROR(__xludf.DUMMYFUNCTION("IFERROR(VALUE(REGEXEXTRACT(A135, ""angle:(\d+)"")), -1)"),312.0)</f>
        <v>312</v>
      </c>
      <c r="C135" s="5" t="str">
        <f t="shared" si="1"/>
        <v>312</v>
      </c>
      <c r="D135" s="5" t="str">
        <f>IFERROR(__xludf.DUMMYFUNCTION("IFERROR(REGEXEXTRACT(A135, ""x:([-+]?[0-9]*\.?[0-9]+)""), """")"),"-78.82")</f>
        <v>-78.82</v>
      </c>
      <c r="E135" s="5" t="str">
        <f>IFERROR(__xludf.DUMMYFUNCTION("IFERROR(REGEXEXTRACT(A135, ""y:([-+]?[0-9]*\.?[0-9]+)""), """")"),"-71.76")</f>
        <v>-71.76</v>
      </c>
    </row>
    <row r="136">
      <c r="A136" s="3" t="s">
        <v>148</v>
      </c>
      <c r="B136" s="4">
        <f>IFERROR(__xludf.DUMMYFUNCTION("IFERROR(VALUE(REGEXEXTRACT(A136, ""angle:(\d+)"")), -1)"),311.0)</f>
        <v>311</v>
      </c>
      <c r="C136" s="5" t="str">
        <f t="shared" si="1"/>
        <v>311</v>
      </c>
      <c r="D136" s="5" t="str">
        <f>IFERROR(__xludf.DUMMYFUNCTION("IFERROR(REGEXEXTRACT(A136, ""x:([-+]?[0-9]*\.?[0-9]+)""), """")"),"-79.61")</f>
        <v>-79.61</v>
      </c>
      <c r="E136" s="5" t="str">
        <f>IFERROR(__xludf.DUMMYFUNCTION("IFERROR(REGEXEXTRACT(A136, ""y:([-+]?[0-9]*\.?[0-9]+)""), """")"),"-70.20")</f>
        <v>-70.20</v>
      </c>
    </row>
    <row r="137">
      <c r="A137" s="3" t="s">
        <v>149</v>
      </c>
      <c r="B137" s="4">
        <f>IFERROR(__xludf.DUMMYFUNCTION("IFERROR(VALUE(REGEXEXTRACT(A137, ""angle:(\d+)"")), -1)"),310.0)</f>
        <v>310</v>
      </c>
      <c r="C137" s="5" t="str">
        <f t="shared" si="1"/>
        <v>310</v>
      </c>
      <c r="D137" s="5" t="str">
        <f>IFERROR(__xludf.DUMMYFUNCTION("IFERROR(REGEXEXTRACT(A137, ""x:([-+]?[0-9]*\.?[0-9]+)""), """")"),"-81.18")</f>
        <v>-81.18</v>
      </c>
      <c r="E137" s="5" t="str">
        <f>IFERROR(__xludf.DUMMYFUNCTION("IFERROR(REGEXEXTRACT(A137, ""y:([-+]?[0-9]*\.?[0-9]+)""), """")"),"-68.63")</f>
        <v>-68.63</v>
      </c>
    </row>
    <row r="138">
      <c r="A138" s="3" t="s">
        <v>150</v>
      </c>
      <c r="B138" s="4">
        <f>IFERROR(__xludf.DUMMYFUNCTION("IFERROR(VALUE(REGEXEXTRACT(A138, ""angle:(\d+)"")), -1)"),309.0)</f>
        <v>309</v>
      </c>
      <c r="C138" s="5" t="str">
        <f t="shared" si="1"/>
        <v>309</v>
      </c>
      <c r="D138" s="5" t="str">
        <f>IFERROR(__xludf.DUMMYFUNCTION("IFERROR(REGEXEXTRACT(A138, ""x:([-+]?[0-9]*\.?[0-9]+)""), """")"),"-83.53")</f>
        <v>-83.53</v>
      </c>
      <c r="E138" s="5" t="str">
        <f>IFERROR(__xludf.DUMMYFUNCTION("IFERROR(REGEXEXTRACT(A138, ""y:([-+]?[0-9]*\.?[0-9]+)""), """")"),"-67.84")</f>
        <v>-67.84</v>
      </c>
    </row>
    <row r="139">
      <c r="A139" s="3" t="s">
        <v>151</v>
      </c>
      <c r="B139" s="4">
        <f>IFERROR(__xludf.DUMMYFUNCTION("IFERROR(VALUE(REGEXEXTRACT(A139, ""angle:(\d+)"")), -1)"),308.0)</f>
        <v>308</v>
      </c>
      <c r="C139" s="5" t="str">
        <f t="shared" si="1"/>
        <v>308</v>
      </c>
      <c r="D139" s="5" t="str">
        <f>IFERROR(__xludf.DUMMYFUNCTION("IFERROR(REGEXEXTRACT(A139, ""x:([-+]?[0-9]*\.?[0-9]+)""), """")"),"-84.31")</f>
        <v>-84.31</v>
      </c>
      <c r="E139" s="5" t="str">
        <f>IFERROR(__xludf.DUMMYFUNCTION("IFERROR(REGEXEXTRACT(A139, ""y:([-+]?[0-9]*\.?[0-9]+)""), """")"),"-66.27")</f>
        <v>-66.27</v>
      </c>
    </row>
    <row r="140">
      <c r="A140" s="3" t="s">
        <v>152</v>
      </c>
      <c r="B140" s="4">
        <f>IFERROR(__xludf.DUMMYFUNCTION("IFERROR(VALUE(REGEXEXTRACT(A140, ""angle:(\d+)"")), -1)"),307.0)</f>
        <v>307</v>
      </c>
      <c r="C140" s="5" t="str">
        <f t="shared" si="1"/>
        <v>307</v>
      </c>
      <c r="D140" s="5" t="str">
        <f>IFERROR(__xludf.DUMMYFUNCTION("IFERROR(REGEXEXTRACT(A140, ""x:([-+]?[0-9]*\.?[0-9]+)""), """")"),"-85.88")</f>
        <v>-85.88</v>
      </c>
      <c r="E140" s="5" t="str">
        <f>IFERROR(__xludf.DUMMYFUNCTION("IFERROR(REGEXEXTRACT(A140, ""y:([-+]?[0-9]*\.?[0-9]+)""), """")"),"-65.49")</f>
        <v>-65.49</v>
      </c>
    </row>
    <row r="141">
      <c r="A141" s="3" t="s">
        <v>153</v>
      </c>
      <c r="B141" s="4">
        <f>IFERROR(__xludf.DUMMYFUNCTION("IFERROR(VALUE(REGEXEXTRACT(A141, ""angle:(\d+)"")), -1)"),306.0)</f>
        <v>306</v>
      </c>
      <c r="C141" s="5" t="str">
        <f t="shared" si="1"/>
        <v>306</v>
      </c>
      <c r="D141" s="5" t="str">
        <f>IFERROR(__xludf.DUMMYFUNCTION("IFERROR(REGEXEXTRACT(A141, ""x:([-+]?[0-9]*\.?[0-9]+)""), """")"),"-87.45")</f>
        <v>-87.45</v>
      </c>
      <c r="E141" s="5" t="str">
        <f>IFERROR(__xludf.DUMMYFUNCTION("IFERROR(REGEXEXTRACT(A141, ""y:([-+]?[0-9]*\.?[0-9]+)""), """")"),"-63.92")</f>
        <v>-63.92</v>
      </c>
    </row>
    <row r="142">
      <c r="A142" s="3" t="s">
        <v>154</v>
      </c>
      <c r="B142" s="4">
        <f>IFERROR(__xludf.DUMMYFUNCTION("IFERROR(VALUE(REGEXEXTRACT(A142, ""angle:(\d+)"")), -1)"),305.0)</f>
        <v>305</v>
      </c>
      <c r="C142" s="5" t="str">
        <f t="shared" si="1"/>
        <v>305</v>
      </c>
      <c r="D142" s="5" t="str">
        <f>IFERROR(__xludf.DUMMYFUNCTION("IFERROR(REGEXEXTRACT(A142, ""x:([-+]?[0-9]*\.?[0-9]+)""), """")"),"-88.24")</f>
        <v>-88.24</v>
      </c>
      <c r="E142" s="5" t="str">
        <f>IFERROR(__xludf.DUMMYFUNCTION("IFERROR(REGEXEXTRACT(A142, ""y:([-+]?[0-9]*\.?[0-9]+)""), """")"),"-62.35")</f>
        <v>-62.35</v>
      </c>
    </row>
    <row r="143">
      <c r="A143" s="3" t="s">
        <v>155</v>
      </c>
      <c r="B143" s="4">
        <f>IFERROR(__xludf.DUMMYFUNCTION("IFERROR(VALUE(REGEXEXTRACT(A143, ""angle:(\d+)"")), -1)"),304.0)</f>
        <v>304</v>
      </c>
      <c r="C143" s="5" t="str">
        <f t="shared" si="1"/>
        <v>304</v>
      </c>
      <c r="D143" s="5" t="str">
        <f>IFERROR(__xludf.DUMMYFUNCTION("IFERROR(REGEXEXTRACT(A143, ""x:([-+]?[0-9]*\.?[0-9]+)""), """")"),"-89.80")</f>
        <v>-89.80</v>
      </c>
      <c r="E143" s="5" t="str">
        <f>IFERROR(__xludf.DUMMYFUNCTION("IFERROR(REGEXEXTRACT(A143, ""y:([-+]?[0-9]*\.?[0-9]+)""), """")"),"-60.78")</f>
        <v>-60.78</v>
      </c>
    </row>
    <row r="144">
      <c r="A144" s="3" t="s">
        <v>156</v>
      </c>
      <c r="B144" s="4">
        <f>IFERROR(__xludf.DUMMYFUNCTION("IFERROR(VALUE(REGEXEXTRACT(A144, ""angle:(\d+)"")), -1)"),303.0)</f>
        <v>303</v>
      </c>
      <c r="C144" s="5" t="str">
        <f t="shared" si="1"/>
        <v>303</v>
      </c>
      <c r="D144" s="5" t="str">
        <f>IFERROR(__xludf.DUMMYFUNCTION("IFERROR(REGEXEXTRACT(A144, ""x:([-+]?[0-9]*\.?[0-9]+)""), """")"),"-90.59")</f>
        <v>-90.59</v>
      </c>
      <c r="E144" s="5" t="str">
        <f>IFERROR(__xludf.DUMMYFUNCTION("IFERROR(REGEXEXTRACT(A144, ""y:([-+]?[0-9]*\.?[0-9]+)""), """")"),"-59.22")</f>
        <v>-59.22</v>
      </c>
    </row>
    <row r="145">
      <c r="A145" s="3" t="s">
        <v>157</v>
      </c>
      <c r="B145" s="4">
        <f>IFERROR(__xludf.DUMMYFUNCTION("IFERROR(VALUE(REGEXEXTRACT(A145, ""angle:(\d+)"")), -1)"),302.0)</f>
        <v>302</v>
      </c>
      <c r="C145" s="5" t="str">
        <f t="shared" si="1"/>
        <v>302</v>
      </c>
      <c r="D145" s="5" t="str">
        <f>IFERROR(__xludf.DUMMYFUNCTION("IFERROR(REGEXEXTRACT(A145, ""x:([-+]?[0-9]*\.?[0-9]+)""), """")"),"-91.37")</f>
        <v>-91.37</v>
      </c>
      <c r="E145" s="5" t="str">
        <f>IFERROR(__xludf.DUMMYFUNCTION("IFERROR(REGEXEXTRACT(A145, ""y:([-+]?[0-9]*\.?[0-9]+)""), """")"),"-56.86")</f>
        <v>-56.86</v>
      </c>
    </row>
    <row r="146">
      <c r="A146" s="3" t="s">
        <v>158</v>
      </c>
      <c r="B146" s="4">
        <f>IFERROR(__xludf.DUMMYFUNCTION("IFERROR(VALUE(REGEXEXTRACT(A146, ""angle:(\d+)"")), -1)"),301.0)</f>
        <v>301</v>
      </c>
      <c r="C146" s="5" t="str">
        <f t="shared" si="1"/>
        <v>301</v>
      </c>
      <c r="D146" s="5" t="str">
        <f>IFERROR(__xludf.DUMMYFUNCTION("IFERROR(REGEXEXTRACT(A146, ""x:([-+]?[0-9]*\.?[0-9]+)""), """")"),"-91.37")</f>
        <v>-91.37</v>
      </c>
      <c r="E146" s="5" t="str">
        <f>IFERROR(__xludf.DUMMYFUNCTION("IFERROR(REGEXEXTRACT(A146, ""y:([-+]?[0-9]*\.?[0-9]+)""), """")"),"-55.29")</f>
        <v>-55.29</v>
      </c>
    </row>
    <row r="147">
      <c r="A147" s="3" t="s">
        <v>159</v>
      </c>
      <c r="B147" s="4">
        <f>IFERROR(__xludf.DUMMYFUNCTION("IFERROR(VALUE(REGEXEXTRACT(A147, ""angle:(\d+)"")), -1)"),300.0)</f>
        <v>300</v>
      </c>
      <c r="C147" s="5" t="str">
        <f t="shared" si="1"/>
        <v>300</v>
      </c>
      <c r="D147" s="5" t="str">
        <f>IFERROR(__xludf.DUMMYFUNCTION("IFERROR(REGEXEXTRACT(A147, ""x:([-+]?[0-9]*\.?[0-9]+)""), """")"),"-92.94")</f>
        <v>-92.94</v>
      </c>
      <c r="E147" s="5" t="str">
        <f>IFERROR(__xludf.DUMMYFUNCTION("IFERROR(REGEXEXTRACT(A147, ""y:([-+]?[0-9]*\.?[0-9]+)""), """")"),"-53.73")</f>
        <v>-53.73</v>
      </c>
    </row>
    <row r="148">
      <c r="A148" s="3" t="s">
        <v>160</v>
      </c>
      <c r="B148" s="4">
        <f>IFERROR(__xludf.DUMMYFUNCTION("IFERROR(VALUE(REGEXEXTRACT(A148, ""angle:(\d+)"")), -1)"),299.0)</f>
        <v>299</v>
      </c>
      <c r="C148" s="5" t="str">
        <f t="shared" si="1"/>
        <v>299</v>
      </c>
      <c r="D148" s="5" t="str">
        <f>IFERROR(__xludf.DUMMYFUNCTION("IFERROR(REGEXEXTRACT(A148, ""x:([-+]?[0-9]*\.?[0-9]+)""), """")"),"-94.51")</f>
        <v>-94.51</v>
      </c>
      <c r="E148" s="5" t="str">
        <f>IFERROR(__xludf.DUMMYFUNCTION("IFERROR(REGEXEXTRACT(A148, ""y:([-+]?[0-9]*\.?[0-9]+)""), """")"),"-52.16")</f>
        <v>-52.16</v>
      </c>
    </row>
    <row r="149">
      <c r="A149" s="3" t="s">
        <v>161</v>
      </c>
      <c r="B149" s="4">
        <f>IFERROR(__xludf.DUMMYFUNCTION("IFERROR(VALUE(REGEXEXTRACT(A149, ""angle:(\d+)"")), -1)"),298.0)</f>
        <v>298</v>
      </c>
      <c r="C149" s="5" t="str">
        <f t="shared" si="1"/>
        <v>298</v>
      </c>
      <c r="D149" s="5" t="str">
        <f>IFERROR(__xludf.DUMMYFUNCTION("IFERROR(REGEXEXTRACT(A149, ""x:([-+]?[0-9]*\.?[0-9]+)""), """")"),"-95.29")</f>
        <v>-95.29</v>
      </c>
      <c r="E149" s="5" t="str">
        <f>IFERROR(__xludf.DUMMYFUNCTION("IFERROR(REGEXEXTRACT(A149, ""y:([-+]?[0-9]*\.?[0-9]+)""), """")"),"-50.59")</f>
        <v>-50.59</v>
      </c>
    </row>
    <row r="150">
      <c r="A150" s="3" t="s">
        <v>162</v>
      </c>
      <c r="B150" s="4">
        <f>IFERROR(__xludf.DUMMYFUNCTION("IFERROR(VALUE(REGEXEXTRACT(A150, ""angle:(\d+)"")), -1)"),297.0)</f>
        <v>297</v>
      </c>
      <c r="C150" s="5" t="str">
        <f t="shared" si="1"/>
        <v>297</v>
      </c>
      <c r="D150" s="5" t="str">
        <f>IFERROR(__xludf.DUMMYFUNCTION("IFERROR(REGEXEXTRACT(A150, ""x:([-+]?[0-9]*\.?[0-9]+)""), """")"),"-96.86")</f>
        <v>-96.86</v>
      </c>
      <c r="E150" s="5" t="str">
        <f>IFERROR(__xludf.DUMMYFUNCTION("IFERROR(REGEXEXTRACT(A150, ""y:([-+]?[0-9]*\.?[0-9]+)""), """")"),"-49.02")</f>
        <v>-49.02</v>
      </c>
    </row>
    <row r="151">
      <c r="A151" s="3" t="s">
        <v>163</v>
      </c>
      <c r="B151" s="4">
        <f>IFERROR(__xludf.DUMMYFUNCTION("IFERROR(VALUE(REGEXEXTRACT(A151, ""angle:(\d+)"")), -1)"),296.0)</f>
        <v>296</v>
      </c>
      <c r="C151" s="5" t="str">
        <f t="shared" si="1"/>
        <v>296</v>
      </c>
      <c r="D151" s="5" t="str">
        <f>IFERROR(__xludf.DUMMYFUNCTION("IFERROR(REGEXEXTRACT(A151, ""x:([-+]?[0-9]*\.?[0-9]+)""), """")"),"-97.65")</f>
        <v>-97.65</v>
      </c>
      <c r="E151" s="5" t="str">
        <f>IFERROR(__xludf.DUMMYFUNCTION("IFERROR(REGEXEXTRACT(A151, ""y:([-+]?[0-9]*\.?[0-9]+)""), """")"),"-46.67")</f>
        <v>-46.67</v>
      </c>
    </row>
    <row r="152">
      <c r="A152" s="3" t="s">
        <v>164</v>
      </c>
      <c r="B152" s="4">
        <f>IFERROR(__xludf.DUMMYFUNCTION("IFERROR(VALUE(REGEXEXTRACT(A152, ""angle:(\d+)"")), -1)"),295.0)</f>
        <v>295</v>
      </c>
      <c r="C152" s="5" t="str">
        <f t="shared" si="1"/>
        <v>295</v>
      </c>
      <c r="D152" s="5" t="str">
        <f>IFERROR(__xludf.DUMMYFUNCTION("IFERROR(REGEXEXTRACT(A152, ""x:([-+]?[0-9]*\.?[0-9]+)""), """")"),"-98.43")</f>
        <v>-98.43</v>
      </c>
      <c r="E152" s="5" t="str">
        <f>IFERROR(__xludf.DUMMYFUNCTION("IFERROR(REGEXEXTRACT(A152, ""y:([-+]?[0-9]*\.?[0-9]+)""), """")"),"-45.88")</f>
        <v>-45.88</v>
      </c>
    </row>
    <row r="153">
      <c r="A153" s="3" t="s">
        <v>165</v>
      </c>
      <c r="B153" s="4">
        <f>IFERROR(__xludf.DUMMYFUNCTION("IFERROR(VALUE(REGEXEXTRACT(A153, ""angle:(\d+)"")), -1)"),294.0)</f>
        <v>294</v>
      </c>
      <c r="C153" s="5" t="str">
        <f t="shared" si="1"/>
        <v>294</v>
      </c>
      <c r="D153" s="5" t="str">
        <f>IFERROR(__xludf.DUMMYFUNCTION("IFERROR(REGEXEXTRACT(A153, ""x:([-+]?[0-9]*\.?[0-9]+)""), """")"),"-98.43")</f>
        <v>-98.43</v>
      </c>
      <c r="E153" s="5" t="str">
        <f>IFERROR(__xludf.DUMMYFUNCTION("IFERROR(REGEXEXTRACT(A153, ""y:([-+]?[0-9]*\.?[0-9]+)""), """")"),"-43.53")</f>
        <v>-43.53</v>
      </c>
    </row>
    <row r="154">
      <c r="A154" s="3" t="s">
        <v>166</v>
      </c>
      <c r="B154" s="4">
        <f>IFERROR(__xludf.DUMMYFUNCTION("IFERROR(VALUE(REGEXEXTRACT(A154, ""angle:(\d+)"")), -1)"),293.0)</f>
        <v>293</v>
      </c>
      <c r="C154" s="5" t="str">
        <f t="shared" si="1"/>
        <v>293</v>
      </c>
      <c r="D154" s="5" t="str">
        <f>IFERROR(__xludf.DUMMYFUNCTION("IFERROR(REGEXEXTRACT(A154, ""x:([-+]?[0-9]*\.?[0-9]+)""), """")"),"-99.22")</f>
        <v>-99.22</v>
      </c>
      <c r="E154" s="5" t="str">
        <f>IFERROR(__xludf.DUMMYFUNCTION("IFERROR(REGEXEXTRACT(A154, ""y:([-+]?[0-9]*\.?[0-9]+)""), """")"),"-41.96")</f>
        <v>-41.96</v>
      </c>
    </row>
    <row r="155">
      <c r="A155" s="3" t="s">
        <v>167</v>
      </c>
      <c r="B155" s="4">
        <f>IFERROR(__xludf.DUMMYFUNCTION("IFERROR(VALUE(REGEXEXTRACT(A155, ""angle:(\d+)"")), -1)"),292.0)</f>
        <v>292</v>
      </c>
      <c r="C155" s="5" t="str">
        <f t="shared" si="1"/>
        <v>292</v>
      </c>
      <c r="D155" s="5" t="str">
        <f>IFERROR(__xludf.DUMMYFUNCTION("IFERROR(REGEXEXTRACT(A155, ""x:([-+]?[0-9]*\.?[0-9]+)""), """")"),"-99.22")</f>
        <v>-99.22</v>
      </c>
      <c r="E155" s="5" t="str">
        <f>IFERROR(__xludf.DUMMYFUNCTION("IFERROR(REGEXEXTRACT(A155, ""y:([-+]?[0-9]*\.?[0-9]+)""), """")"),"-40.39")</f>
        <v>-40.39</v>
      </c>
    </row>
    <row r="156">
      <c r="A156" s="3" t="s">
        <v>168</v>
      </c>
      <c r="B156" s="4">
        <f>IFERROR(__xludf.DUMMYFUNCTION("IFERROR(VALUE(REGEXEXTRACT(A156, ""angle:(\d+)"")), -1)"),291.0)</f>
        <v>291</v>
      </c>
      <c r="C156" s="5" t="str">
        <f t="shared" si="1"/>
        <v>291</v>
      </c>
      <c r="D156" s="5" t="str">
        <f>IFERROR(__xludf.DUMMYFUNCTION("IFERROR(REGEXEXTRACT(A156, ""x:([-+]?[0-9]*\.?[0-9]+)""), """")"),"-100.00")</f>
        <v>-100.00</v>
      </c>
      <c r="E156" s="5" t="str">
        <f>IFERROR(__xludf.DUMMYFUNCTION("IFERROR(REGEXEXTRACT(A156, ""y:([-+]?[0-9]*\.?[0-9]+)""), """")"),"-38.82")</f>
        <v>-38.82</v>
      </c>
    </row>
    <row r="157">
      <c r="A157" s="3" t="s">
        <v>169</v>
      </c>
      <c r="B157" s="4">
        <f>IFERROR(__xludf.DUMMYFUNCTION("IFERROR(VALUE(REGEXEXTRACT(A157, ""angle:(\d+)"")), -1)"),290.0)</f>
        <v>290</v>
      </c>
      <c r="C157" s="5" t="str">
        <f t="shared" si="1"/>
        <v>290</v>
      </c>
      <c r="D157" s="5" t="str">
        <f>IFERROR(__xludf.DUMMYFUNCTION("IFERROR(REGEXEXTRACT(A157, ""x:([-+]?[0-9]*\.?[0-9]+)""), """")"),"-100.00")</f>
        <v>-100.00</v>
      </c>
      <c r="E157" s="5" t="str">
        <f>IFERROR(__xludf.DUMMYFUNCTION("IFERROR(REGEXEXTRACT(A157, ""y:([-+]?[0-9]*\.?[0-9]+)""), """")"),"-36.47")</f>
        <v>-36.47</v>
      </c>
    </row>
    <row r="158">
      <c r="A158" s="3" t="s">
        <v>170</v>
      </c>
      <c r="B158" s="4">
        <f>IFERROR(__xludf.DUMMYFUNCTION("IFERROR(VALUE(REGEXEXTRACT(A158, ""angle:(\d+)"")), -1)"),289.0)</f>
        <v>289</v>
      </c>
      <c r="C158" s="5" t="str">
        <f t="shared" si="1"/>
        <v>289</v>
      </c>
      <c r="D158" s="5" t="str">
        <f>IFERROR(__xludf.DUMMYFUNCTION("IFERROR(REGEXEXTRACT(A158, ""x:([-+]?[0-9]*\.?[0-9]+)""), """")"),"-100.00")</f>
        <v>-100.00</v>
      </c>
      <c r="E158" s="5" t="str">
        <f>IFERROR(__xludf.DUMMYFUNCTION("IFERROR(REGEXEXTRACT(A158, ""y:([-+]?[0-9]*\.?[0-9]+)""), """")"),"-34.90")</f>
        <v>-34.90</v>
      </c>
    </row>
    <row r="159">
      <c r="A159" s="3" t="s">
        <v>171</v>
      </c>
      <c r="B159" s="4">
        <f>IFERROR(__xludf.DUMMYFUNCTION("IFERROR(VALUE(REGEXEXTRACT(A159, ""angle:(\d+)"")), -1)"),288.0)</f>
        <v>288</v>
      </c>
      <c r="C159" s="5" t="str">
        <f t="shared" si="1"/>
        <v>288</v>
      </c>
      <c r="D159" s="5" t="str">
        <f>IFERROR(__xludf.DUMMYFUNCTION("IFERROR(REGEXEXTRACT(A159, ""x:([-+]?[0-9]*\.?[0-9]+)""), """")"),"-100.00")</f>
        <v>-100.00</v>
      </c>
      <c r="E159" s="5" t="str">
        <f>IFERROR(__xludf.DUMMYFUNCTION("IFERROR(REGEXEXTRACT(A159, ""y:([-+]?[0-9]*\.?[0-9]+)""), """")"),"-33.33")</f>
        <v>-33.33</v>
      </c>
    </row>
    <row r="160">
      <c r="A160" s="3" t="s">
        <v>172</v>
      </c>
      <c r="B160" s="4">
        <f>IFERROR(__xludf.DUMMYFUNCTION("IFERROR(VALUE(REGEXEXTRACT(A160, ""angle:(\d+)"")), -1)"),286.0)</f>
        <v>286</v>
      </c>
      <c r="C160" s="5" t="str">
        <f t="shared" si="1"/>
        <v>286</v>
      </c>
      <c r="D160" s="5" t="str">
        <f>IFERROR(__xludf.DUMMYFUNCTION("IFERROR(REGEXEXTRACT(A160, ""x:([-+]?[0-9]*\.?[0-9]+)""), """")"),"-100.00")</f>
        <v>-100.00</v>
      </c>
      <c r="E160" s="5" t="str">
        <f>IFERROR(__xludf.DUMMYFUNCTION("IFERROR(REGEXEXTRACT(A160, ""y:([-+]?[0-9]*\.?[0-9]+)""), """")"),"-29.41")</f>
        <v>-29.41</v>
      </c>
    </row>
    <row r="161">
      <c r="A161" s="3" t="s">
        <v>173</v>
      </c>
      <c r="B161" s="4">
        <f>IFERROR(__xludf.DUMMYFUNCTION("IFERROR(VALUE(REGEXEXTRACT(A161, ""angle:(\d+)"")), -1)"),285.0)</f>
        <v>285</v>
      </c>
      <c r="C161" s="5" t="str">
        <f t="shared" si="1"/>
        <v>285</v>
      </c>
      <c r="D161" s="5" t="str">
        <f>IFERROR(__xludf.DUMMYFUNCTION("IFERROR(REGEXEXTRACT(A161, ""x:([-+]?[0-9]*\.?[0-9]+)""), """")"),"-100.00")</f>
        <v>-100.00</v>
      </c>
      <c r="E161" s="5" t="str">
        <f>IFERROR(__xludf.DUMMYFUNCTION("IFERROR(REGEXEXTRACT(A161, ""y:([-+]?[0-9]*\.?[0-9]+)""), """")"),"-27.06")</f>
        <v>-27.06</v>
      </c>
    </row>
    <row r="162">
      <c r="A162" s="3" t="s">
        <v>174</v>
      </c>
      <c r="B162" s="4">
        <f>IFERROR(__xludf.DUMMYFUNCTION("IFERROR(VALUE(REGEXEXTRACT(A162, ""angle:(\d+)"")), -1)"),284.0)</f>
        <v>284</v>
      </c>
      <c r="C162" s="5" t="str">
        <f t="shared" si="1"/>
        <v>284</v>
      </c>
      <c r="D162" s="5" t="str">
        <f>IFERROR(__xludf.DUMMYFUNCTION("IFERROR(REGEXEXTRACT(A162, ""x:([-+]?[0-9]*\.?[0-9]+)""), """")"),"-100.00")</f>
        <v>-100.00</v>
      </c>
      <c r="E162" s="5" t="str">
        <f>IFERROR(__xludf.DUMMYFUNCTION("IFERROR(REGEXEXTRACT(A162, ""y:([-+]?[0-9]*\.?[0-9]+)""), """")"),"-26.27")</f>
        <v>-26.27</v>
      </c>
    </row>
    <row r="163">
      <c r="A163" s="3" t="s">
        <v>175</v>
      </c>
      <c r="B163" s="4">
        <f>IFERROR(__xludf.DUMMYFUNCTION("IFERROR(VALUE(REGEXEXTRACT(A163, ""angle:(\d+)"")), -1)"),283.0)</f>
        <v>283</v>
      </c>
      <c r="C163" s="5" t="str">
        <f t="shared" si="1"/>
        <v>283</v>
      </c>
      <c r="D163" s="5" t="str">
        <f>IFERROR(__xludf.DUMMYFUNCTION("IFERROR(REGEXEXTRACT(A163, ""x:([-+]?[0-9]*\.?[0-9]+)""), """")"),"-100.00")</f>
        <v>-100.00</v>
      </c>
      <c r="E163" s="5" t="str">
        <f>IFERROR(__xludf.DUMMYFUNCTION("IFERROR(REGEXEXTRACT(A163, ""y:([-+]?[0-9]*\.?[0-9]+)""), """")"),"-23.14")</f>
        <v>-23.14</v>
      </c>
    </row>
    <row r="164">
      <c r="A164" s="3" t="s">
        <v>176</v>
      </c>
      <c r="B164" s="4">
        <f>IFERROR(__xludf.DUMMYFUNCTION("IFERROR(VALUE(REGEXEXTRACT(A164, ""angle:(\d+)"")), -1)"),282.0)</f>
        <v>282</v>
      </c>
      <c r="C164" s="5" t="str">
        <f t="shared" si="1"/>
        <v>282</v>
      </c>
      <c r="D164" s="5" t="str">
        <f>IFERROR(__xludf.DUMMYFUNCTION("IFERROR(REGEXEXTRACT(A164, ""x:([-+]?[0-9]*\.?[0-9]+)""), """")"),"-100.00")</f>
        <v>-100.00</v>
      </c>
      <c r="E164" s="5" t="str">
        <f>IFERROR(__xludf.DUMMYFUNCTION("IFERROR(REGEXEXTRACT(A164, ""y:([-+]?[0-9]*\.?[0-9]+)""), """")"),"-22.35")</f>
        <v>-22.35</v>
      </c>
    </row>
    <row r="165">
      <c r="A165" s="3" t="s">
        <v>177</v>
      </c>
      <c r="B165" s="4">
        <f>IFERROR(__xludf.DUMMYFUNCTION("IFERROR(VALUE(REGEXEXTRACT(A165, ""angle:(\d+)"")), -1)"),281.0)</f>
        <v>281</v>
      </c>
      <c r="C165" s="5" t="str">
        <f t="shared" si="1"/>
        <v>281</v>
      </c>
      <c r="D165" s="5" t="str">
        <f>IFERROR(__xludf.DUMMYFUNCTION("IFERROR(REGEXEXTRACT(A165, ""x:([-+]?[0-9]*\.?[0-9]+)""), """")"),"-100.00")</f>
        <v>-100.00</v>
      </c>
      <c r="E165" s="5" t="str">
        <f>IFERROR(__xludf.DUMMYFUNCTION("IFERROR(REGEXEXTRACT(A165, ""y:([-+]?[0-9]*\.?[0-9]+)""), """")"),"-20.78")</f>
        <v>-20.78</v>
      </c>
    </row>
    <row r="166">
      <c r="A166" s="3" t="s">
        <v>178</v>
      </c>
      <c r="B166" s="4">
        <f>IFERROR(__xludf.DUMMYFUNCTION("IFERROR(VALUE(REGEXEXTRACT(A166, ""angle:(\d+)"")), -1)"),279.0)</f>
        <v>279</v>
      </c>
      <c r="C166" s="5" t="str">
        <f t="shared" si="1"/>
        <v>279</v>
      </c>
      <c r="D166" s="5" t="str">
        <f>IFERROR(__xludf.DUMMYFUNCTION("IFERROR(REGEXEXTRACT(A166, ""x:([-+]?[0-9]*\.?[0-9]+)""), """")"),"-100.00")</f>
        <v>-100.00</v>
      </c>
      <c r="E166" s="5" t="str">
        <f>IFERROR(__xludf.DUMMYFUNCTION("IFERROR(REGEXEXTRACT(A166, ""y:([-+]?[0-9]*\.?[0-9]+)""), """")"),"-17.65")</f>
        <v>-17.65</v>
      </c>
    </row>
    <row r="167">
      <c r="A167" s="3" t="s">
        <v>179</v>
      </c>
      <c r="B167" s="4">
        <f>IFERROR(__xludf.DUMMYFUNCTION("IFERROR(VALUE(REGEXEXTRACT(A167, ""angle:(\d+)"")), -1)"),278.0)</f>
        <v>278</v>
      </c>
      <c r="C167" s="5" t="str">
        <f t="shared" si="1"/>
        <v>278</v>
      </c>
      <c r="D167" s="5" t="str">
        <f>IFERROR(__xludf.DUMMYFUNCTION("IFERROR(REGEXEXTRACT(A167, ""x:([-+]?[0-9]*\.?[0-9]+)""), """")"),"-100.00")</f>
        <v>-100.00</v>
      </c>
      <c r="E167" s="5" t="str">
        <f>IFERROR(__xludf.DUMMYFUNCTION("IFERROR(REGEXEXTRACT(A167, ""y:([-+]?[0-9]*\.?[0-9]+)""), """")"),"-14.51")</f>
        <v>-14.51</v>
      </c>
    </row>
    <row r="168">
      <c r="A168" s="3" t="s">
        <v>180</v>
      </c>
      <c r="B168" s="4">
        <f>IFERROR(__xludf.DUMMYFUNCTION("IFERROR(VALUE(REGEXEXTRACT(A168, ""angle:(\d+)"")), -1)"),277.0)</f>
        <v>277</v>
      </c>
      <c r="C168" s="5" t="str">
        <f t="shared" si="1"/>
        <v>277</v>
      </c>
      <c r="D168" s="5" t="str">
        <f>IFERROR(__xludf.DUMMYFUNCTION("IFERROR(REGEXEXTRACT(A168, ""x:([-+]?[0-9]*\.?[0-9]+)""), """")"),"-100.00")</f>
        <v>-100.00</v>
      </c>
      <c r="E168" s="5" t="str">
        <f>IFERROR(__xludf.DUMMYFUNCTION("IFERROR(REGEXEXTRACT(A168, ""y:([-+]?[0-9]*\.?[0-9]+)""), """")"),"-13.73")</f>
        <v>-13.73</v>
      </c>
    </row>
    <row r="169">
      <c r="A169" s="3" t="s">
        <v>181</v>
      </c>
      <c r="B169" s="4">
        <f>IFERROR(__xludf.DUMMYFUNCTION("IFERROR(VALUE(REGEXEXTRACT(A169, ""angle:(\d+)"")), -1)"),275.0)</f>
        <v>275</v>
      </c>
      <c r="C169" s="5" t="str">
        <f t="shared" si="1"/>
        <v>275</v>
      </c>
      <c r="D169" s="5" t="str">
        <f>IFERROR(__xludf.DUMMYFUNCTION("IFERROR(REGEXEXTRACT(A169, ""x:([-+]?[0-9]*\.?[0-9]+)""), """")"),"-100.00")</f>
        <v>-100.00</v>
      </c>
      <c r="E169" s="5" t="str">
        <f>IFERROR(__xludf.DUMMYFUNCTION("IFERROR(REGEXEXTRACT(A169, ""y:([-+]?[0-9]*\.?[0-9]+)""), """")"),"-10.59")</f>
        <v>-10.59</v>
      </c>
    </row>
    <row r="170">
      <c r="A170" s="3" t="s">
        <v>182</v>
      </c>
      <c r="B170" s="4">
        <f>IFERROR(__xludf.DUMMYFUNCTION("IFERROR(VALUE(REGEXEXTRACT(A170, ""angle:(\d+)"")), -1)"),276.0)</f>
        <v>276</v>
      </c>
      <c r="C170" s="5" t="str">
        <f t="shared" si="1"/>
        <v>276</v>
      </c>
      <c r="D170" s="5" t="str">
        <f>IFERROR(__xludf.DUMMYFUNCTION("IFERROR(REGEXEXTRACT(A170, ""x:([-+]?[0-9]*\.?[0-9]+)""), """")"),"-100.00")</f>
        <v>-100.00</v>
      </c>
      <c r="E170" s="5" t="str">
        <f>IFERROR(__xludf.DUMMYFUNCTION("IFERROR(REGEXEXTRACT(A170, ""y:([-+]?[0-9]*\.?[0-9]+)""), """")"),"-11.37")</f>
        <v>-11.37</v>
      </c>
    </row>
    <row r="171">
      <c r="A171" s="3" t="s">
        <v>183</v>
      </c>
      <c r="B171" s="4">
        <f>IFERROR(__xludf.DUMMYFUNCTION("IFERROR(VALUE(REGEXEXTRACT(A171, ""angle:(\d+)"")), -1)"),274.0)</f>
        <v>274</v>
      </c>
      <c r="C171" s="5" t="str">
        <f t="shared" si="1"/>
        <v>274</v>
      </c>
      <c r="D171" s="5" t="str">
        <f>IFERROR(__xludf.DUMMYFUNCTION("IFERROR(REGEXEXTRACT(A171, ""x:([-+]?[0-9]*\.?[0-9]+)""), """")"),"-100.00")</f>
        <v>-100.00</v>
      </c>
      <c r="E171" s="5" t="str">
        <f>IFERROR(__xludf.DUMMYFUNCTION("IFERROR(REGEXEXTRACT(A171, ""y:([-+]?[0-9]*\.?[0-9]+)""), """")"),"-8.23")</f>
        <v>-8.23</v>
      </c>
    </row>
    <row r="172">
      <c r="A172" s="3" t="s">
        <v>184</v>
      </c>
      <c r="B172" s="4">
        <f>IFERROR(__xludf.DUMMYFUNCTION("IFERROR(VALUE(REGEXEXTRACT(A172, ""angle:(\d+)"")), -1)"),273.0)</f>
        <v>273</v>
      </c>
      <c r="C172" s="5" t="str">
        <f t="shared" si="1"/>
        <v>273</v>
      </c>
      <c r="D172" s="5" t="str">
        <f>IFERROR(__xludf.DUMMYFUNCTION("IFERROR(REGEXEXTRACT(A172, ""x:([-+]?[0-9]*\.?[0-9]+)""), """")"),"-100.00")</f>
        <v>-100.00</v>
      </c>
      <c r="E172" s="5" t="str">
        <f>IFERROR(__xludf.DUMMYFUNCTION("IFERROR(REGEXEXTRACT(A172, ""y:([-+]?[0-9]*\.?[0-9]+)""), """")"),"-6.67")</f>
        <v>-6.67</v>
      </c>
    </row>
    <row r="173">
      <c r="A173" s="3" t="s">
        <v>185</v>
      </c>
      <c r="B173" s="4">
        <f>IFERROR(__xludf.DUMMYFUNCTION("IFERROR(VALUE(REGEXEXTRACT(A173, ""angle:(\d+)"")), -1)"),272.0)</f>
        <v>272</v>
      </c>
      <c r="C173" s="5" t="str">
        <f t="shared" si="1"/>
        <v>272</v>
      </c>
      <c r="D173" s="5" t="str">
        <f>IFERROR(__xludf.DUMMYFUNCTION("IFERROR(REGEXEXTRACT(A173, ""x:([-+]?[0-9]*\.?[0-9]+)""), """")"),"-100.00")</f>
        <v>-100.00</v>
      </c>
      <c r="E173" s="5" t="str">
        <f>IFERROR(__xludf.DUMMYFUNCTION("IFERROR(REGEXEXTRACT(A173, ""y:([-+]?[0-9]*\.?[0-9]+)""), """")"),"-4.31")</f>
        <v>-4.31</v>
      </c>
    </row>
    <row r="174">
      <c r="A174" s="3" t="s">
        <v>186</v>
      </c>
      <c r="B174" s="4">
        <f>IFERROR(__xludf.DUMMYFUNCTION("IFERROR(VALUE(REGEXEXTRACT(A174, ""angle:(\d+)"")), -1)"),271.0)</f>
        <v>271</v>
      </c>
      <c r="C174" s="5" t="str">
        <f t="shared" si="1"/>
        <v>271</v>
      </c>
      <c r="D174" s="5" t="str">
        <f>IFERROR(__xludf.DUMMYFUNCTION("IFERROR(REGEXEXTRACT(A174, ""x:([-+]?[0-9]*\.?[0-9]+)""), """")"),"-100.00")</f>
        <v>-100.00</v>
      </c>
      <c r="E174" s="5" t="str">
        <f>IFERROR(__xludf.DUMMYFUNCTION("IFERROR(REGEXEXTRACT(A174, ""y:([-+]?[0-9]*\.?[0-9]+)""), """")"),"-1.96")</f>
        <v>-1.96</v>
      </c>
    </row>
    <row r="175">
      <c r="A175" s="3" t="s">
        <v>187</v>
      </c>
      <c r="B175" s="4">
        <f>IFERROR(__xludf.DUMMYFUNCTION("IFERROR(VALUE(REGEXEXTRACT(A175, ""angle:(\d+)"")), -1)"),270.0)</f>
        <v>270</v>
      </c>
      <c r="C175" s="5" t="str">
        <f t="shared" si="1"/>
        <v>270</v>
      </c>
      <c r="D175" s="5" t="str">
        <f>IFERROR(__xludf.DUMMYFUNCTION("IFERROR(REGEXEXTRACT(A175, ""x:([-+]?[0-9]*\.?[0-9]+)""), """")"),"-100.00")</f>
        <v>-100.00</v>
      </c>
      <c r="E175" s="5" t="str">
        <f>IFERROR(__xludf.DUMMYFUNCTION("IFERROR(REGEXEXTRACT(A175, ""y:([-+]?[0-9]*\.?[0-9]+)""), """")"),"-0.39")</f>
        <v>-0.39</v>
      </c>
    </row>
    <row r="176">
      <c r="A176" s="3" t="s">
        <v>188</v>
      </c>
      <c r="B176" s="4">
        <f>IFERROR(__xludf.DUMMYFUNCTION("IFERROR(VALUE(REGEXEXTRACT(A176, ""angle:(\d+)"")), -1)"),269.0)</f>
        <v>269</v>
      </c>
      <c r="C176" s="5" t="str">
        <f t="shared" si="1"/>
        <v>269</v>
      </c>
      <c r="D176" s="5" t="str">
        <f>IFERROR(__xludf.DUMMYFUNCTION("IFERROR(REGEXEXTRACT(A176, ""x:([-+]?[0-9]*\.?[0-9]+)""), """")"),"-100.00")</f>
        <v>-100.00</v>
      </c>
      <c r="E176" s="5" t="str">
        <f>IFERROR(__xludf.DUMMYFUNCTION("IFERROR(REGEXEXTRACT(A176, ""y:([-+]?[0-9]*\.?[0-9]+)""), """")"),"+1.96")</f>
        <v>+1.96</v>
      </c>
    </row>
    <row r="177">
      <c r="A177" s="3" t="s">
        <v>189</v>
      </c>
      <c r="B177" s="4">
        <f>IFERROR(__xludf.DUMMYFUNCTION("IFERROR(VALUE(REGEXEXTRACT(A177, ""angle:(\d+)"")), -1)"),268.0)</f>
        <v>268</v>
      </c>
      <c r="C177" s="5" t="str">
        <f t="shared" si="1"/>
        <v>268</v>
      </c>
      <c r="D177" s="5" t="str">
        <f>IFERROR(__xludf.DUMMYFUNCTION("IFERROR(REGEXEXTRACT(A177, ""x:([-+]?[0-9]*\.?[0-9]+)""), """")"),"-100.00")</f>
        <v>-100.00</v>
      </c>
      <c r="E177" s="5" t="str">
        <f>IFERROR(__xludf.DUMMYFUNCTION("IFERROR(REGEXEXTRACT(A177, ""y:([-+]?[0-9]*\.?[0-9]+)""), """")"),"+4.31")</f>
        <v>+4.31</v>
      </c>
    </row>
    <row r="178">
      <c r="A178" s="3" t="s">
        <v>190</v>
      </c>
      <c r="B178" s="4">
        <f>IFERROR(__xludf.DUMMYFUNCTION("IFERROR(VALUE(REGEXEXTRACT(A178, ""angle:(\d+)"")), -1)"),267.0)</f>
        <v>267</v>
      </c>
      <c r="C178" s="5" t="str">
        <f t="shared" si="1"/>
        <v>267</v>
      </c>
      <c r="D178" s="5" t="str">
        <f>IFERROR(__xludf.DUMMYFUNCTION("IFERROR(REGEXEXTRACT(A178, ""x:([-+]?[0-9]*\.?[0-9]+)""), """")"),"-100.00")</f>
        <v>-100.00</v>
      </c>
      <c r="E178" s="5" t="str">
        <f>IFERROR(__xludf.DUMMYFUNCTION("IFERROR(REGEXEXTRACT(A178, ""y:([-+]?[0-9]*\.?[0-9]+)""), """")"),"+5.88")</f>
        <v>+5.88</v>
      </c>
    </row>
    <row r="179">
      <c r="A179" s="3" t="s">
        <v>191</v>
      </c>
      <c r="B179" s="4">
        <f>IFERROR(__xludf.DUMMYFUNCTION("IFERROR(VALUE(REGEXEXTRACT(A179, ""angle:(\d+)"")), -1)"),266.0)</f>
        <v>266</v>
      </c>
      <c r="C179" s="5" t="str">
        <f t="shared" si="1"/>
        <v>266</v>
      </c>
      <c r="D179" s="5" t="str">
        <f>IFERROR(__xludf.DUMMYFUNCTION("IFERROR(REGEXEXTRACT(A179, ""x:([-+]?[0-9]*\.?[0-9]+)""), """")"),"-100.00")</f>
        <v>-100.00</v>
      </c>
      <c r="E179" s="5" t="str">
        <f>IFERROR(__xludf.DUMMYFUNCTION("IFERROR(REGEXEXTRACT(A179, ""y:([-+]?[0-9]*\.?[0-9]+)""), """")"),"+8.24")</f>
        <v>+8.24</v>
      </c>
    </row>
    <row r="180">
      <c r="A180" s="3" t="s">
        <v>192</v>
      </c>
      <c r="B180" s="4">
        <f>IFERROR(__xludf.DUMMYFUNCTION("IFERROR(VALUE(REGEXEXTRACT(A180, ""angle:(\d+)"")), -1)"),265.0)</f>
        <v>265</v>
      </c>
      <c r="C180" s="5" t="str">
        <f t="shared" si="1"/>
        <v>265</v>
      </c>
      <c r="D180" s="5" t="str">
        <f>IFERROR(__xludf.DUMMYFUNCTION("IFERROR(REGEXEXTRACT(A180, ""x:([-+]?[0-9]*\.?[0-9]+)""), """")"),"-100.00")</f>
        <v>-100.00</v>
      </c>
      <c r="E180" s="5" t="str">
        <f>IFERROR(__xludf.DUMMYFUNCTION("IFERROR(REGEXEXTRACT(A180, ""y:([-+]?[0-9]*\.?[0-9]+)""), """")"),"+9.02")</f>
        <v>+9.02</v>
      </c>
    </row>
    <row r="181">
      <c r="A181" s="3" t="s">
        <v>193</v>
      </c>
      <c r="B181" s="4">
        <f>IFERROR(__xludf.DUMMYFUNCTION("IFERROR(VALUE(REGEXEXTRACT(A181, ""angle:(\d+)"")), -1)"),264.0)</f>
        <v>264</v>
      </c>
      <c r="C181" s="5" t="str">
        <f t="shared" si="1"/>
        <v>264</v>
      </c>
      <c r="D181" s="5" t="str">
        <f>IFERROR(__xludf.DUMMYFUNCTION("IFERROR(REGEXEXTRACT(A181, ""x:([-+]?[0-9]*\.?[0-9]+)""), """")"),"-100.00")</f>
        <v>-100.00</v>
      </c>
      <c r="E181" s="5" t="str">
        <f>IFERROR(__xludf.DUMMYFUNCTION("IFERROR(REGEXEXTRACT(A181, ""y:([-+]?[0-9]*\.?[0-9]+)""), """")"),"+11.37")</f>
        <v>+11.37</v>
      </c>
    </row>
    <row r="182">
      <c r="A182" s="3" t="s">
        <v>194</v>
      </c>
      <c r="B182" s="4">
        <f>IFERROR(__xludf.DUMMYFUNCTION("IFERROR(VALUE(REGEXEXTRACT(A182, ""angle:(\d+)"")), -1)"),263.0)</f>
        <v>263</v>
      </c>
      <c r="C182" s="5" t="str">
        <f t="shared" si="1"/>
        <v>263</v>
      </c>
      <c r="D182" s="5" t="str">
        <f>IFERROR(__xludf.DUMMYFUNCTION("IFERROR(REGEXEXTRACT(A182, ""x:([-+]?[0-9]*\.?[0-9]+)""), """")"),"-100.00")</f>
        <v>-100.00</v>
      </c>
      <c r="E182" s="5" t="str">
        <f>IFERROR(__xludf.DUMMYFUNCTION("IFERROR(REGEXEXTRACT(A182, ""y:([-+]?[0-9]*\.?[0-9]+)""), """")"),"+12.94")</f>
        <v>+12.94</v>
      </c>
    </row>
    <row r="183">
      <c r="A183" s="3" t="s">
        <v>195</v>
      </c>
      <c r="B183" s="4">
        <f>IFERROR(__xludf.DUMMYFUNCTION("IFERROR(VALUE(REGEXEXTRACT(A183, ""angle:(\d+)"")), -1)"),262.0)</f>
        <v>262</v>
      </c>
      <c r="C183" s="5" t="str">
        <f t="shared" si="1"/>
        <v>262</v>
      </c>
      <c r="D183" s="5" t="str">
        <f>IFERROR(__xludf.DUMMYFUNCTION("IFERROR(REGEXEXTRACT(A183, ""x:([-+]?[0-9]*\.?[0-9]+)""), """")"),"-100.00")</f>
        <v>-100.00</v>
      </c>
      <c r="E183" s="5" t="str">
        <f>IFERROR(__xludf.DUMMYFUNCTION("IFERROR(REGEXEXTRACT(A183, ""y:([-+]?[0-9]*\.?[0-9]+)""), """")"),"+14.51")</f>
        <v>+14.51</v>
      </c>
    </row>
    <row r="184">
      <c r="A184" s="3" t="s">
        <v>196</v>
      </c>
      <c r="B184" s="4">
        <f>IFERROR(__xludf.DUMMYFUNCTION("IFERROR(VALUE(REGEXEXTRACT(A184, ""angle:(\d+)"")), -1)"),261.0)</f>
        <v>261</v>
      </c>
      <c r="C184" s="5" t="str">
        <f t="shared" si="1"/>
        <v>261</v>
      </c>
      <c r="D184" s="5" t="str">
        <f>IFERROR(__xludf.DUMMYFUNCTION("IFERROR(REGEXEXTRACT(A184, ""x:([-+]?[0-9]*\.?[0-9]+)""), """")"),"-100.00")</f>
        <v>-100.00</v>
      </c>
      <c r="E184" s="5" t="str">
        <f>IFERROR(__xludf.DUMMYFUNCTION("IFERROR(REGEXEXTRACT(A184, ""y:([-+]?[0-9]*\.?[0-9]+)""), """")"),"+16.08")</f>
        <v>+16.08</v>
      </c>
    </row>
    <row r="185">
      <c r="A185" s="3" t="s">
        <v>197</v>
      </c>
      <c r="B185" s="4">
        <f>IFERROR(__xludf.DUMMYFUNCTION("IFERROR(VALUE(REGEXEXTRACT(A185, ""angle:(\d+)"")), -1)"),260.0)</f>
        <v>260</v>
      </c>
      <c r="C185" s="5" t="str">
        <f t="shared" si="1"/>
        <v>260</v>
      </c>
      <c r="D185" s="5" t="str">
        <f>IFERROR(__xludf.DUMMYFUNCTION("IFERROR(REGEXEXTRACT(A185, ""x:([-+]?[0-9]*\.?[0-9]+)""), """")"),"-100.00")</f>
        <v>-100.00</v>
      </c>
      <c r="E185" s="5" t="str">
        <f>IFERROR(__xludf.DUMMYFUNCTION("IFERROR(REGEXEXTRACT(A185, ""y:([-+]?[0-9]*\.?[0-9]+)""), """")"),"+18.43")</f>
        <v>+18.43</v>
      </c>
    </row>
    <row r="186">
      <c r="A186" s="3" t="s">
        <v>198</v>
      </c>
      <c r="B186" s="4">
        <f>IFERROR(__xludf.DUMMYFUNCTION("IFERROR(VALUE(REGEXEXTRACT(A186, ""angle:(\d+)"")), -1)"),259.0)</f>
        <v>259</v>
      </c>
      <c r="C186" s="5" t="str">
        <f t="shared" si="1"/>
        <v>259</v>
      </c>
      <c r="D186" s="5" t="str">
        <f>IFERROR(__xludf.DUMMYFUNCTION("IFERROR(REGEXEXTRACT(A186, ""x:([-+]?[0-9]*\.?[0-9]+)""), """")"),"-100.00")</f>
        <v>-100.00</v>
      </c>
      <c r="E186" s="5" t="str">
        <f>IFERROR(__xludf.DUMMYFUNCTION("IFERROR(REGEXEXTRACT(A186, ""y:([-+]?[0-9]*\.?[0-9]+)""), """")"),"+20.00")</f>
        <v>+20.00</v>
      </c>
    </row>
    <row r="187">
      <c r="A187" s="3" t="s">
        <v>199</v>
      </c>
      <c r="B187" s="4">
        <f>IFERROR(__xludf.DUMMYFUNCTION("IFERROR(VALUE(REGEXEXTRACT(A187, ""angle:(\d+)"")), -1)"),258.0)</f>
        <v>258</v>
      </c>
      <c r="C187" s="5" t="str">
        <f t="shared" si="1"/>
        <v>258</v>
      </c>
      <c r="D187" s="5" t="str">
        <f>IFERROR(__xludf.DUMMYFUNCTION("IFERROR(REGEXEXTRACT(A187, ""x:([-+]?[0-9]*\.?[0-9]+)""), """")"),"-100.00")</f>
        <v>-100.00</v>
      </c>
      <c r="E187" s="5" t="str">
        <f>IFERROR(__xludf.DUMMYFUNCTION("IFERROR(REGEXEXTRACT(A187, ""y:([-+]?[0-9]*\.?[0-9]+)""), """")"),"+21.57")</f>
        <v>+21.57</v>
      </c>
    </row>
    <row r="188">
      <c r="A188" s="3" t="s">
        <v>200</v>
      </c>
      <c r="B188" s="4">
        <f>IFERROR(__xludf.DUMMYFUNCTION("IFERROR(VALUE(REGEXEXTRACT(A188, ""angle:(\d+)"")), -1)"),257.0)</f>
        <v>257</v>
      </c>
      <c r="C188" s="5" t="str">
        <f t="shared" si="1"/>
        <v>257</v>
      </c>
      <c r="D188" s="5" t="str">
        <f>IFERROR(__xludf.DUMMYFUNCTION("IFERROR(REGEXEXTRACT(A188, ""x:([-+]?[0-9]*\.?[0-9]+)""), """")"),"-100.00")</f>
        <v>-100.00</v>
      </c>
      <c r="E188" s="5" t="str">
        <f>IFERROR(__xludf.DUMMYFUNCTION("IFERROR(REGEXEXTRACT(A188, ""y:([-+]?[0-9]*\.?[0-9]+)""), """")"),"+23.14")</f>
        <v>+23.14</v>
      </c>
    </row>
    <row r="189">
      <c r="A189" s="3" t="s">
        <v>201</v>
      </c>
      <c r="B189" s="4">
        <f>IFERROR(__xludf.DUMMYFUNCTION("IFERROR(VALUE(REGEXEXTRACT(A189, ""angle:(\d+)"")), -1)"),256.0)</f>
        <v>256</v>
      </c>
      <c r="C189" s="5" t="str">
        <f t="shared" si="1"/>
        <v>256</v>
      </c>
      <c r="D189" s="5" t="str">
        <f>IFERROR(__xludf.DUMMYFUNCTION("IFERROR(REGEXEXTRACT(A189, ""x:([-+]?[0-9]*\.?[0-9]+)""), """")"),"-100.00")</f>
        <v>-100.00</v>
      </c>
      <c r="E189" s="5" t="str">
        <f>IFERROR(__xludf.DUMMYFUNCTION("IFERROR(REGEXEXTRACT(A189, ""y:([-+]?[0-9]*\.?[0-9]+)""), """")"),"+24.71")</f>
        <v>+24.71</v>
      </c>
    </row>
    <row r="190">
      <c r="A190" s="3" t="s">
        <v>202</v>
      </c>
      <c r="B190" s="4">
        <f>IFERROR(__xludf.DUMMYFUNCTION("IFERROR(VALUE(REGEXEXTRACT(A190, ""angle:(\d+)"")), -1)"),255.0)</f>
        <v>255</v>
      </c>
      <c r="C190" s="5" t="str">
        <f t="shared" si="1"/>
        <v>255</v>
      </c>
      <c r="D190" s="5" t="str">
        <f>IFERROR(__xludf.DUMMYFUNCTION("IFERROR(REGEXEXTRACT(A190, ""x:([-+]?[0-9]*\.?[0-9]+)""), """")"),"-100.00")</f>
        <v>-100.00</v>
      </c>
      <c r="E190" s="5" t="str">
        <f>IFERROR(__xludf.DUMMYFUNCTION("IFERROR(REGEXEXTRACT(A190, ""y:([-+]?[0-9]*\.?[0-9]+)""), """")"),"+27.06")</f>
        <v>+27.06</v>
      </c>
    </row>
    <row r="191">
      <c r="A191" s="3" t="s">
        <v>203</v>
      </c>
      <c r="B191" s="4">
        <f>IFERROR(__xludf.DUMMYFUNCTION("IFERROR(VALUE(REGEXEXTRACT(A191, ""angle:(\d+)"")), -1)"),254.0)</f>
        <v>254</v>
      </c>
      <c r="C191" s="5" t="str">
        <f t="shared" si="1"/>
        <v>254</v>
      </c>
      <c r="D191" s="5" t="str">
        <f>IFERROR(__xludf.DUMMYFUNCTION("IFERROR(REGEXEXTRACT(A191, ""x:([-+]?[0-9]*\.?[0-9]+)""), """")"),"-100.00")</f>
        <v>-100.00</v>
      </c>
      <c r="E191" s="5" t="str">
        <f>IFERROR(__xludf.DUMMYFUNCTION("IFERROR(REGEXEXTRACT(A191, ""y:([-+]?[0-9]*\.?[0-9]+)""), """")"),"+28.63")</f>
        <v>+28.63</v>
      </c>
    </row>
    <row r="192">
      <c r="A192" s="3" t="s">
        <v>204</v>
      </c>
      <c r="B192" s="4">
        <f>IFERROR(__xludf.DUMMYFUNCTION("IFERROR(VALUE(REGEXEXTRACT(A192, ""angle:(\d+)"")), -1)"),253.0)</f>
        <v>253</v>
      </c>
      <c r="C192" s="5" t="str">
        <f t="shared" si="1"/>
        <v>253</v>
      </c>
      <c r="D192" s="5" t="str">
        <f>IFERROR(__xludf.DUMMYFUNCTION("IFERROR(REGEXEXTRACT(A192, ""x:([-+]?[0-9]*\.?[0-9]+)""), """")"),"-100.00")</f>
        <v>-100.00</v>
      </c>
      <c r="E192" s="5" t="str">
        <f>IFERROR(__xludf.DUMMYFUNCTION("IFERROR(REGEXEXTRACT(A192, ""y:([-+]?[0-9]*\.?[0-9]+)""), """")"),"+30.20")</f>
        <v>+30.20</v>
      </c>
    </row>
    <row r="193">
      <c r="A193" s="3" t="s">
        <v>205</v>
      </c>
      <c r="B193" s="4">
        <f>IFERROR(__xludf.DUMMYFUNCTION("IFERROR(VALUE(REGEXEXTRACT(A193, ""angle:(\d+)"")), -1)"),252.0)</f>
        <v>252</v>
      </c>
      <c r="C193" s="5" t="str">
        <f t="shared" si="1"/>
        <v>252</v>
      </c>
      <c r="D193" s="5" t="str">
        <f>IFERROR(__xludf.DUMMYFUNCTION("IFERROR(REGEXEXTRACT(A193, ""x:([-+]?[0-9]*\.?[0-9]+)""), """")"),"-100.00")</f>
        <v>-100.00</v>
      </c>
      <c r="E193" s="5" t="str">
        <f>IFERROR(__xludf.DUMMYFUNCTION("IFERROR(REGEXEXTRACT(A193, ""y:([-+]?[0-9]*\.?[0-9]+)""), """")"),"+32.55")</f>
        <v>+32.55</v>
      </c>
    </row>
    <row r="194">
      <c r="A194" s="3" t="s">
        <v>206</v>
      </c>
      <c r="B194" s="4">
        <f>IFERROR(__xludf.DUMMYFUNCTION("IFERROR(VALUE(REGEXEXTRACT(A194, ""angle:(\d+)"")), -1)"),251.0)</f>
        <v>251</v>
      </c>
      <c r="C194" s="5" t="str">
        <f t="shared" si="1"/>
        <v>251</v>
      </c>
      <c r="D194" s="5" t="str">
        <f>IFERROR(__xludf.DUMMYFUNCTION("IFERROR(REGEXEXTRACT(A194, ""x:([-+]?[0-9]*\.?[0-9]+)""), """")"),"-100.00")</f>
        <v>-100.00</v>
      </c>
      <c r="E194" s="5" t="str">
        <f>IFERROR(__xludf.DUMMYFUNCTION("IFERROR(REGEXEXTRACT(A194, ""y:([-+]?[0-9]*\.?[0-9]+)""), """")"),"+34.12")</f>
        <v>+34.12</v>
      </c>
    </row>
    <row r="195">
      <c r="A195" s="3" t="s">
        <v>207</v>
      </c>
      <c r="B195" s="4">
        <f>IFERROR(__xludf.DUMMYFUNCTION("IFERROR(VALUE(REGEXEXTRACT(A195, ""angle:(\d+)"")), -1)"),250.0)</f>
        <v>250</v>
      </c>
      <c r="C195" s="5" t="str">
        <f t="shared" si="1"/>
        <v>250</v>
      </c>
      <c r="D195" s="5" t="str">
        <f>IFERROR(__xludf.DUMMYFUNCTION("IFERROR(REGEXEXTRACT(A195, ""x:([-+]?[0-9]*\.?[0-9]+)""), """")"),"-100.00")</f>
        <v>-100.00</v>
      </c>
      <c r="E195" s="5" t="str">
        <f>IFERROR(__xludf.DUMMYFUNCTION("IFERROR(REGEXEXTRACT(A195, ""y:([-+]?[0-9]*\.?[0-9]+)""), """")"),"+35.69")</f>
        <v>+35.69</v>
      </c>
    </row>
    <row r="196">
      <c r="A196" s="3" t="s">
        <v>208</v>
      </c>
      <c r="B196" s="4">
        <f>IFERROR(__xludf.DUMMYFUNCTION("IFERROR(VALUE(REGEXEXTRACT(A196, ""angle:(\d+)"")), -1)"),249.0)</f>
        <v>249</v>
      </c>
      <c r="C196" s="5" t="str">
        <f t="shared" si="1"/>
        <v>249</v>
      </c>
      <c r="D196" s="5" t="str">
        <f>IFERROR(__xludf.DUMMYFUNCTION("IFERROR(REGEXEXTRACT(A196, ""x:([-+]?[0-9]*\.?[0-9]+)""), """")"),"-100.00")</f>
        <v>-100.00</v>
      </c>
      <c r="E196" s="5" t="str">
        <f>IFERROR(__xludf.DUMMYFUNCTION("IFERROR(REGEXEXTRACT(A196, ""y:([-+]?[0-9]*\.?[0-9]+)""), """")"),"+38.04")</f>
        <v>+38.04</v>
      </c>
    </row>
    <row r="197">
      <c r="A197" s="3" t="s">
        <v>209</v>
      </c>
      <c r="B197" s="4">
        <f>IFERROR(__xludf.DUMMYFUNCTION("IFERROR(VALUE(REGEXEXTRACT(A197, ""angle:(\d+)"")), -1)"),248.0)</f>
        <v>248</v>
      </c>
      <c r="C197" s="5" t="str">
        <f t="shared" si="1"/>
        <v>248</v>
      </c>
      <c r="D197" s="5" t="str">
        <f>IFERROR(__xludf.DUMMYFUNCTION("IFERROR(REGEXEXTRACT(A197, ""x:([-+]?[0-9]*\.?[0-9]+)""), """")"),"-100.00")</f>
        <v>-100.00</v>
      </c>
      <c r="E197" s="5" t="str">
        <f>IFERROR(__xludf.DUMMYFUNCTION("IFERROR(REGEXEXTRACT(A197, ""y:([-+]?[0-9]*\.?[0-9]+)""), """")"),"+39.61")</f>
        <v>+39.61</v>
      </c>
    </row>
    <row r="198">
      <c r="A198" s="3" t="s">
        <v>210</v>
      </c>
      <c r="B198" s="4">
        <f>IFERROR(__xludf.DUMMYFUNCTION("IFERROR(VALUE(REGEXEXTRACT(A198, ""angle:(\d+)"")), -1)"),247.0)</f>
        <v>247</v>
      </c>
      <c r="C198" s="5" t="str">
        <f t="shared" si="1"/>
        <v>247</v>
      </c>
      <c r="D198" s="5" t="str">
        <f>IFERROR(__xludf.DUMMYFUNCTION("IFERROR(REGEXEXTRACT(A198, ""x:([-+]?[0-9]*\.?[0-9]+)""), """")"),"-100.00")</f>
        <v>-100.00</v>
      </c>
      <c r="E198" s="5" t="str">
        <f>IFERROR(__xludf.DUMMYFUNCTION("IFERROR(REGEXEXTRACT(A198, ""y:([-+]?[0-9]*\.?[0-9]+)""), """")"),"+41.96")</f>
        <v>+41.96</v>
      </c>
    </row>
    <row r="199">
      <c r="A199" s="3" t="s">
        <v>211</v>
      </c>
      <c r="B199" s="4">
        <f>IFERROR(__xludf.DUMMYFUNCTION("IFERROR(VALUE(REGEXEXTRACT(A199, ""angle:(\d+)"")), -1)"),246.0)</f>
        <v>246</v>
      </c>
      <c r="C199" s="5" t="str">
        <f t="shared" si="1"/>
        <v>246</v>
      </c>
      <c r="D199" s="5" t="str">
        <f>IFERROR(__xludf.DUMMYFUNCTION("IFERROR(REGEXEXTRACT(A199, ""x:([-+]?[0-9]*\.?[0-9]+)""), """")"),"-100.00")</f>
        <v>-100.00</v>
      </c>
      <c r="E199" s="5" t="str">
        <f>IFERROR(__xludf.DUMMYFUNCTION("IFERROR(REGEXEXTRACT(A199, ""y:([-+]?[0-9]*\.?[0-9]+)""), """")"),"+43.53")</f>
        <v>+43.53</v>
      </c>
    </row>
    <row r="200">
      <c r="A200" s="3" t="s">
        <v>212</v>
      </c>
      <c r="B200" s="4">
        <f>IFERROR(__xludf.DUMMYFUNCTION("IFERROR(VALUE(REGEXEXTRACT(A200, ""angle:(\d+)"")), -1)"),245.0)</f>
        <v>245</v>
      </c>
      <c r="C200" s="5" t="str">
        <f t="shared" si="1"/>
        <v>245</v>
      </c>
      <c r="D200" s="5" t="str">
        <f>IFERROR(__xludf.DUMMYFUNCTION("IFERROR(REGEXEXTRACT(A200, ""x:([-+]?[0-9]*\.?[0-9]+)""), """")"),"-99.22")</f>
        <v>-99.22</v>
      </c>
      <c r="E200" s="5" t="str">
        <f>IFERROR(__xludf.DUMMYFUNCTION("IFERROR(REGEXEXTRACT(A200, ""y:([-+]?[0-9]*\.?[0-9]+)""), """")"),"+45.10")</f>
        <v>+45.10</v>
      </c>
    </row>
    <row r="201">
      <c r="A201" s="3" t="s">
        <v>213</v>
      </c>
      <c r="B201" s="4">
        <f>IFERROR(__xludf.DUMMYFUNCTION("IFERROR(VALUE(REGEXEXTRACT(A201, ""angle:(\d+)"")), -1)"),244.0)</f>
        <v>244</v>
      </c>
      <c r="C201" s="5" t="str">
        <f t="shared" si="1"/>
        <v>244</v>
      </c>
      <c r="D201" s="5" t="str">
        <f>IFERROR(__xludf.DUMMYFUNCTION("IFERROR(REGEXEXTRACT(A201, ""x:([-+]?[0-9]*\.?[0-9]+)""), """")"),"-98.43")</f>
        <v>-98.43</v>
      </c>
      <c r="E201" s="5" t="str">
        <f>IFERROR(__xludf.DUMMYFUNCTION("IFERROR(REGEXEXTRACT(A201, ""y:([-+]?[0-9]*\.?[0-9]+)""), """")"),"+47.45")</f>
        <v>+47.45</v>
      </c>
    </row>
    <row r="202">
      <c r="A202" s="3" t="s">
        <v>214</v>
      </c>
      <c r="B202" s="4">
        <f>IFERROR(__xludf.DUMMYFUNCTION("IFERROR(VALUE(REGEXEXTRACT(A202, ""angle:(\d+)"")), -1)"),243.0)</f>
        <v>243</v>
      </c>
      <c r="C202" s="5" t="str">
        <f t="shared" si="1"/>
        <v>243</v>
      </c>
      <c r="D202" s="5" t="str">
        <f>IFERROR(__xludf.DUMMYFUNCTION("IFERROR(REGEXEXTRACT(A202, ""x:([-+]?[0-9]*\.?[0-9]+)""), """")"),"-97.65")</f>
        <v>-97.65</v>
      </c>
      <c r="E202" s="5" t="str">
        <f>IFERROR(__xludf.DUMMYFUNCTION("IFERROR(REGEXEXTRACT(A202, ""y:([-+]?[0-9]*\.?[0-9]+)""), """")"),"+49.02")</f>
        <v>+49.02</v>
      </c>
    </row>
    <row r="203">
      <c r="A203" s="3" t="s">
        <v>215</v>
      </c>
      <c r="B203" s="4">
        <f>IFERROR(__xludf.DUMMYFUNCTION("IFERROR(VALUE(REGEXEXTRACT(A203, ""angle:(\d+)"")), -1)"),242.0)</f>
        <v>242</v>
      </c>
      <c r="C203" s="5" t="str">
        <f t="shared" si="1"/>
        <v>242</v>
      </c>
      <c r="D203" s="5" t="str">
        <f>IFERROR(__xludf.DUMMYFUNCTION("IFERROR(REGEXEXTRACT(A203, ""x:([-+]?[0-9]*\.?[0-9]+)""), """")"),"-96.86")</f>
        <v>-96.86</v>
      </c>
      <c r="E203" s="5" t="str">
        <f>IFERROR(__xludf.DUMMYFUNCTION("IFERROR(REGEXEXTRACT(A203, ""y:([-+]?[0-9]*\.?[0-9]+)""), """")"),"+50.59")</f>
        <v>+50.59</v>
      </c>
    </row>
    <row r="204">
      <c r="A204" s="3" t="s">
        <v>216</v>
      </c>
      <c r="B204" s="4">
        <f>IFERROR(__xludf.DUMMYFUNCTION("IFERROR(VALUE(REGEXEXTRACT(A204, ""angle:(\d+)"")), -1)"),241.0)</f>
        <v>241</v>
      </c>
      <c r="C204" s="5" t="str">
        <f t="shared" si="1"/>
        <v>241</v>
      </c>
      <c r="D204" s="5" t="str">
        <f>IFERROR(__xludf.DUMMYFUNCTION("IFERROR(REGEXEXTRACT(A204, ""x:([-+]?[0-9]*\.?[0-9]+)""), """")"),"-95.29")</f>
        <v>-95.29</v>
      </c>
      <c r="E204" s="5" t="str">
        <f>IFERROR(__xludf.DUMMYFUNCTION("IFERROR(REGEXEXTRACT(A204, ""y:([-+]?[0-9]*\.?[0-9]+)""), """")"),"+52.16")</f>
        <v>+52.16</v>
      </c>
    </row>
    <row r="205">
      <c r="A205" s="3" t="s">
        <v>217</v>
      </c>
      <c r="B205" s="4">
        <f>IFERROR(__xludf.DUMMYFUNCTION("IFERROR(VALUE(REGEXEXTRACT(A205, ""angle:(\d+)"")), -1)"),240.0)</f>
        <v>240</v>
      </c>
      <c r="C205" s="5" t="str">
        <f t="shared" si="1"/>
        <v>240</v>
      </c>
      <c r="D205" s="5" t="str">
        <f>IFERROR(__xludf.DUMMYFUNCTION("IFERROR(REGEXEXTRACT(A205, ""x:([-+]?[0-9]*\.?[0-9]+)""), """")"),"-94.51")</f>
        <v>-94.51</v>
      </c>
      <c r="E205" s="5" t="str">
        <f>IFERROR(__xludf.DUMMYFUNCTION("IFERROR(REGEXEXTRACT(A205, ""y:([-+]?[0-9]*\.?[0-9]+)""), """")"),"+53.73")</f>
        <v>+53.73</v>
      </c>
    </row>
    <row r="206">
      <c r="A206" s="3" t="s">
        <v>218</v>
      </c>
      <c r="B206" s="4">
        <f>IFERROR(__xludf.DUMMYFUNCTION("IFERROR(VALUE(REGEXEXTRACT(A206, ""angle:(\d+)"")), -1)"),239.0)</f>
        <v>239</v>
      </c>
      <c r="C206" s="5" t="str">
        <f t="shared" si="1"/>
        <v>239</v>
      </c>
      <c r="D206" s="5" t="str">
        <f>IFERROR(__xludf.DUMMYFUNCTION("IFERROR(REGEXEXTRACT(A206, ""x:([-+]?[0-9]*\.?[0-9]+)""), """")"),"-93.73")</f>
        <v>-93.73</v>
      </c>
      <c r="E206" s="5" t="str">
        <f>IFERROR(__xludf.DUMMYFUNCTION("IFERROR(REGEXEXTRACT(A206, ""y:([-+]?[0-9]*\.?[0-9]+)""), """")"),"+56.08")</f>
        <v>+56.08</v>
      </c>
    </row>
    <row r="207">
      <c r="A207" s="3" t="s">
        <v>219</v>
      </c>
      <c r="B207" s="4">
        <f>IFERROR(__xludf.DUMMYFUNCTION("IFERROR(VALUE(REGEXEXTRACT(A207, ""angle:(\d+)"")), -1)"),238.0)</f>
        <v>238</v>
      </c>
      <c r="C207" s="5" t="str">
        <f t="shared" si="1"/>
        <v>238</v>
      </c>
      <c r="D207" s="5" t="str">
        <f>IFERROR(__xludf.DUMMYFUNCTION("IFERROR(REGEXEXTRACT(A207, ""x:([-+]?[0-9]*\.?[0-9]+)""), """")"),"-92.94")</f>
        <v>-92.94</v>
      </c>
      <c r="E207" s="5" t="str">
        <f>IFERROR(__xludf.DUMMYFUNCTION("IFERROR(REGEXEXTRACT(A207, ""y:([-+]?[0-9]*\.?[0-9]+)""), """")"),"+56.86")</f>
        <v>+56.86</v>
      </c>
    </row>
    <row r="208">
      <c r="A208" s="3" t="s">
        <v>220</v>
      </c>
      <c r="B208" s="4">
        <f>IFERROR(__xludf.DUMMYFUNCTION("IFERROR(VALUE(REGEXEXTRACT(A208, ""angle:(\d+)"")), -1)"),237.0)</f>
        <v>237</v>
      </c>
      <c r="C208" s="5" t="str">
        <f t="shared" si="1"/>
        <v>237</v>
      </c>
      <c r="D208" s="5" t="str">
        <f>IFERROR(__xludf.DUMMYFUNCTION("IFERROR(REGEXEXTRACT(A208, ""x:([-+]?[0-9]*\.?[0-9]+)""), """")"),"-90.59")</f>
        <v>-90.59</v>
      </c>
      <c r="E208" s="5" t="str">
        <f>IFERROR(__xludf.DUMMYFUNCTION("IFERROR(REGEXEXTRACT(A208, ""y:([-+]?[0-9]*\.?[0-9]+)""), """")"),"+57.65")</f>
        <v>+57.65</v>
      </c>
    </row>
    <row r="209">
      <c r="A209" s="3" t="s">
        <v>221</v>
      </c>
      <c r="B209" s="4">
        <f>IFERROR(__xludf.DUMMYFUNCTION("IFERROR(VALUE(REGEXEXTRACT(A209, ""angle:(\d+)"")), -1)"),236.0)</f>
        <v>236</v>
      </c>
      <c r="C209" s="5" t="str">
        <f t="shared" si="1"/>
        <v>236</v>
      </c>
      <c r="D209" s="5" t="str">
        <f>IFERROR(__xludf.DUMMYFUNCTION("IFERROR(REGEXEXTRACT(A209, ""x:([-+]?[0-9]*\.?[0-9]+)""), """")"),"-89.80")</f>
        <v>-89.80</v>
      </c>
      <c r="E209" s="5" t="str">
        <f>IFERROR(__xludf.DUMMYFUNCTION("IFERROR(REGEXEXTRACT(A209, ""y:([-+]?[0-9]*\.?[0-9]+)""), """")"),"+59.22")</f>
        <v>+59.22</v>
      </c>
    </row>
    <row r="210">
      <c r="A210" s="3" t="s">
        <v>222</v>
      </c>
      <c r="B210" s="4">
        <f>IFERROR(__xludf.DUMMYFUNCTION("IFERROR(VALUE(REGEXEXTRACT(A210, ""angle:(\d+)"")), -1)"),235.0)</f>
        <v>235</v>
      </c>
      <c r="C210" s="5" t="str">
        <f t="shared" si="1"/>
        <v>235</v>
      </c>
      <c r="D210" s="5" t="str">
        <f>IFERROR(__xludf.DUMMYFUNCTION("IFERROR(REGEXEXTRACT(A210, ""x:([-+]?[0-9]*\.?[0-9]+)""), """")"),"-89.02")</f>
        <v>-89.02</v>
      </c>
      <c r="E210" s="5" t="str">
        <f>IFERROR(__xludf.DUMMYFUNCTION("IFERROR(REGEXEXTRACT(A210, ""y:([-+]?[0-9]*\.?[0-9]+)""), """")"),"+61.57")</f>
        <v>+61.57</v>
      </c>
    </row>
    <row r="211">
      <c r="A211" s="3" t="s">
        <v>223</v>
      </c>
      <c r="B211" s="4">
        <f>IFERROR(__xludf.DUMMYFUNCTION("IFERROR(VALUE(REGEXEXTRACT(A211, ""angle:(\d+)"")), -1)"),234.0)</f>
        <v>234</v>
      </c>
      <c r="C211" s="5" t="str">
        <f t="shared" si="1"/>
        <v>234</v>
      </c>
      <c r="D211" s="5" t="str">
        <f>IFERROR(__xludf.DUMMYFUNCTION("IFERROR(REGEXEXTRACT(A211, ""x:([-+]?[0-9]*\.?[0-9]+)""), """")"),"-88.24")</f>
        <v>-88.24</v>
      </c>
      <c r="E211" s="5" t="str">
        <f>IFERROR(__xludf.DUMMYFUNCTION("IFERROR(REGEXEXTRACT(A211, ""y:([-+]?[0-9]*\.?[0-9]+)""), """")"),"+63.14")</f>
        <v>+63.14</v>
      </c>
    </row>
    <row r="212">
      <c r="A212" s="3" t="s">
        <v>224</v>
      </c>
      <c r="B212" s="4">
        <f>IFERROR(__xludf.DUMMYFUNCTION("IFERROR(VALUE(REGEXEXTRACT(A212, ""angle:(\d+)"")), -1)"),233.0)</f>
        <v>233</v>
      </c>
      <c r="C212" s="5" t="str">
        <f t="shared" si="1"/>
        <v>233</v>
      </c>
      <c r="D212" s="5" t="str">
        <f>IFERROR(__xludf.DUMMYFUNCTION("IFERROR(REGEXEXTRACT(A212, ""x:([-+]?[0-9]*\.?[0-9]+)""), """")"),"-88.24")</f>
        <v>-88.24</v>
      </c>
      <c r="E212" s="5" t="str">
        <f>IFERROR(__xludf.DUMMYFUNCTION("IFERROR(REGEXEXTRACT(A212, ""y:([-+]?[0-9]*\.?[0-9]+)""), """")"),"+65.49")</f>
        <v>+65.49</v>
      </c>
    </row>
    <row r="213">
      <c r="A213" s="3" t="s">
        <v>225</v>
      </c>
      <c r="B213" s="4">
        <f>IFERROR(__xludf.DUMMYFUNCTION("IFERROR(VALUE(REGEXEXTRACT(A213, ""angle:(\d+)"")), -1)"),232.0)</f>
        <v>232</v>
      </c>
      <c r="C213" s="5" t="str">
        <f t="shared" si="1"/>
        <v>232</v>
      </c>
      <c r="D213" s="5" t="str">
        <f>IFERROR(__xludf.DUMMYFUNCTION("IFERROR(REGEXEXTRACT(A213, ""x:([-+]?[0-9]*\.?[0-9]+)""), """")"),"-86.67")</f>
        <v>-86.67</v>
      </c>
      <c r="E213" s="5" t="str">
        <f>IFERROR(__xludf.DUMMYFUNCTION("IFERROR(REGEXEXTRACT(A213, ""y:([-+]?[0-9]*\.?[0-9]+)""), """")"),"+66.28")</f>
        <v>+66.28</v>
      </c>
    </row>
    <row r="214">
      <c r="A214" s="3" t="s">
        <v>226</v>
      </c>
      <c r="B214" s="4">
        <f>IFERROR(__xludf.DUMMYFUNCTION("IFERROR(VALUE(REGEXEXTRACT(A214, ""angle:(\d+)"")), -1)"),231.0)</f>
        <v>231</v>
      </c>
      <c r="C214" s="5" t="str">
        <f t="shared" si="1"/>
        <v>231</v>
      </c>
      <c r="D214" s="5" t="str">
        <f>IFERROR(__xludf.DUMMYFUNCTION("IFERROR(REGEXEXTRACT(A214, ""x:([-+]?[0-9]*\.?[0-9]+)""), """")"),"-84.31")</f>
        <v>-84.31</v>
      </c>
      <c r="E214" s="5" t="str">
        <f>IFERROR(__xludf.DUMMYFUNCTION("IFERROR(REGEXEXTRACT(A214, ""y:([-+]?[0-9]*\.?[0-9]+)""), """")"),"+67.84")</f>
        <v>+67.84</v>
      </c>
    </row>
    <row r="215">
      <c r="A215" s="3" t="s">
        <v>227</v>
      </c>
      <c r="B215" s="4">
        <f>IFERROR(__xludf.DUMMYFUNCTION("IFERROR(VALUE(REGEXEXTRACT(A215, ""angle:(\d+)"")), -1)"),230.0)</f>
        <v>230</v>
      </c>
      <c r="C215" s="5" t="str">
        <f t="shared" si="1"/>
        <v>230</v>
      </c>
      <c r="D215" s="5" t="str">
        <f>IFERROR(__xludf.DUMMYFUNCTION("IFERROR(REGEXEXTRACT(A215, ""x:([-+]?[0-9]*\.?[0-9]+)""), """")"),"-83.53")</f>
        <v>-83.53</v>
      </c>
      <c r="E215" s="5" t="str">
        <f>IFERROR(__xludf.DUMMYFUNCTION("IFERROR(REGEXEXTRACT(A215, ""y:([-+]?[0-9]*\.?[0-9]+)""), """")"),"+68.63")</f>
        <v>+68.63</v>
      </c>
    </row>
    <row r="216">
      <c r="A216" s="3" t="s">
        <v>228</v>
      </c>
      <c r="B216" s="4">
        <f>IFERROR(__xludf.DUMMYFUNCTION("IFERROR(VALUE(REGEXEXTRACT(A216, ""angle:(\d+)"")), -1)"),229.0)</f>
        <v>229</v>
      </c>
      <c r="C216" s="5" t="str">
        <f t="shared" si="1"/>
        <v>229</v>
      </c>
      <c r="D216" s="5" t="str">
        <f>IFERROR(__xludf.DUMMYFUNCTION("IFERROR(REGEXEXTRACT(A216, ""x:([-+]?[0-9]*\.?[0-9]+)""), """")"),"-81.18")</f>
        <v>-81.18</v>
      </c>
      <c r="E216" s="5" t="str">
        <f>IFERROR(__xludf.DUMMYFUNCTION("IFERROR(REGEXEXTRACT(A216, ""y:([-+]?[0-9]*\.?[0-9]+)""), """")"),"+70.20")</f>
        <v>+70.20</v>
      </c>
    </row>
    <row r="217">
      <c r="A217" s="3" t="s">
        <v>229</v>
      </c>
      <c r="B217" s="4">
        <f>IFERROR(__xludf.DUMMYFUNCTION("IFERROR(VALUE(REGEXEXTRACT(A217, ""angle:(\d+)"")), -1)"),228.0)</f>
        <v>228</v>
      </c>
      <c r="C217" s="5" t="str">
        <f t="shared" si="1"/>
        <v>228</v>
      </c>
      <c r="D217" s="5" t="str">
        <f>IFERROR(__xludf.DUMMYFUNCTION("IFERROR(REGEXEXTRACT(A217, ""x:([-+]?[0-9]*\.?[0-9]+)""), """")"),"-80.39")</f>
        <v>-80.39</v>
      </c>
      <c r="E217" s="5" t="str">
        <f>IFERROR(__xludf.DUMMYFUNCTION("IFERROR(REGEXEXTRACT(A217, ""y:([-+]?[0-9]*\.?[0-9]+)""), """")"),"+71.77")</f>
        <v>+71.77</v>
      </c>
    </row>
    <row r="218">
      <c r="A218" s="3" t="s">
        <v>230</v>
      </c>
      <c r="B218" s="4">
        <f>IFERROR(__xludf.DUMMYFUNCTION("IFERROR(VALUE(REGEXEXTRACT(A218, ""angle:(\d+)"")), -1)"),227.0)</f>
        <v>227</v>
      </c>
      <c r="C218" s="5" t="str">
        <f t="shared" si="1"/>
        <v>227</v>
      </c>
      <c r="D218" s="5" t="str">
        <f>IFERROR(__xludf.DUMMYFUNCTION("IFERROR(REGEXEXTRACT(A218, ""x:([-+]?[0-9]*\.?[0-9]+)""), """")"),"-79.61")</f>
        <v>-79.61</v>
      </c>
      <c r="E218" s="5" t="str">
        <f>IFERROR(__xludf.DUMMYFUNCTION("IFERROR(REGEXEXTRACT(A218, ""y:([-+]?[0-9]*\.?[0-9]+)""), """")"),"+73.33")</f>
        <v>+73.33</v>
      </c>
    </row>
    <row r="219">
      <c r="A219" s="3" t="s">
        <v>231</v>
      </c>
      <c r="B219" s="4">
        <f>IFERROR(__xludf.DUMMYFUNCTION("IFERROR(VALUE(REGEXEXTRACT(A219, ""angle:(\d+)"")), -1)"),226.0)</f>
        <v>226</v>
      </c>
      <c r="C219" s="5" t="str">
        <f t="shared" si="1"/>
        <v>226</v>
      </c>
      <c r="D219" s="5" t="str">
        <f>IFERROR(__xludf.DUMMYFUNCTION("IFERROR(REGEXEXTRACT(A219, ""x:([-+]?[0-9]*\.?[0-9]+)""), """")"),"-78.82")</f>
        <v>-78.82</v>
      </c>
      <c r="E219" s="5" t="str">
        <f>IFERROR(__xludf.DUMMYFUNCTION("IFERROR(REGEXEXTRACT(A219, ""y:([-+]?[0-9]*\.?[0-9]+)""), """")"),"+74.90")</f>
        <v>+74.90</v>
      </c>
    </row>
    <row r="220">
      <c r="A220" s="3" t="s">
        <v>232</v>
      </c>
      <c r="B220" s="4">
        <f>IFERROR(__xludf.DUMMYFUNCTION("IFERROR(VALUE(REGEXEXTRACT(A220, ""angle:(\d+)"")), -1)"),225.0)</f>
        <v>225</v>
      </c>
      <c r="C220" s="5" t="str">
        <f t="shared" si="1"/>
        <v>225</v>
      </c>
      <c r="D220" s="5" t="str">
        <f>IFERROR(__xludf.DUMMYFUNCTION("IFERROR(REGEXEXTRACT(A220, ""x:([-+]?[0-9]*\.?[0-9]+)""), """")"),"-76.47")</f>
        <v>-76.47</v>
      </c>
      <c r="E220" s="5" t="str">
        <f>IFERROR(__xludf.DUMMYFUNCTION("IFERROR(REGEXEXTRACT(A220, ""y:([-+]?[0-9]*\.?[0-9]+)""), """")"),"+75.69")</f>
        <v>+75.69</v>
      </c>
    </row>
    <row r="221">
      <c r="A221" s="3" t="s">
        <v>233</v>
      </c>
      <c r="B221" s="4">
        <f>IFERROR(__xludf.DUMMYFUNCTION("IFERROR(VALUE(REGEXEXTRACT(A221, ""angle:(\d+)"")), -1)"),224.0)</f>
        <v>224</v>
      </c>
      <c r="C221" s="5" t="str">
        <f t="shared" si="1"/>
        <v>224</v>
      </c>
      <c r="D221" s="5" t="str">
        <f>IFERROR(__xludf.DUMMYFUNCTION("IFERROR(REGEXEXTRACT(A221, ""x:([-+]?[0-9]*\.?[0-9]+)""), """")"),"-75.69")</f>
        <v>-75.69</v>
      </c>
      <c r="E221" s="5" t="str">
        <f>IFERROR(__xludf.DUMMYFUNCTION("IFERROR(REGEXEXTRACT(A221, ""y:([-+]?[0-9]*\.?[0-9]+)""), """")"),"+77.26")</f>
        <v>+77.26</v>
      </c>
    </row>
    <row r="222">
      <c r="A222" s="3" t="s">
        <v>234</v>
      </c>
      <c r="B222" s="4">
        <f>IFERROR(__xludf.DUMMYFUNCTION("IFERROR(VALUE(REGEXEXTRACT(A222, ""angle:(\d+)"")), -1)"),223.0)</f>
        <v>223</v>
      </c>
      <c r="C222" s="5" t="str">
        <f t="shared" si="1"/>
        <v>223</v>
      </c>
      <c r="D222" s="5" t="str">
        <f>IFERROR(__xludf.DUMMYFUNCTION("IFERROR(REGEXEXTRACT(A222, ""x:([-+]?[0-9]*\.?[0-9]+)""), """")"),"-74.12")</f>
        <v>-74.12</v>
      </c>
      <c r="E222" s="5" t="str">
        <f>IFERROR(__xludf.DUMMYFUNCTION("IFERROR(REGEXEXTRACT(A222, ""y:([-+]?[0-9]*\.?[0-9]+)""), """")"),"+78.82")</f>
        <v>+78.82</v>
      </c>
    </row>
    <row r="223">
      <c r="A223" s="3" t="s">
        <v>235</v>
      </c>
      <c r="B223" s="4">
        <f>IFERROR(__xludf.DUMMYFUNCTION("IFERROR(VALUE(REGEXEXTRACT(A223, ""angle:(\d+)"")), -1)"),222.0)</f>
        <v>222</v>
      </c>
      <c r="C223" s="5" t="str">
        <f t="shared" si="1"/>
        <v>222</v>
      </c>
      <c r="D223" s="5" t="str">
        <f>IFERROR(__xludf.DUMMYFUNCTION("IFERROR(REGEXEXTRACT(A223, ""x:([-+]?[0-9]*\.?[0-9]+)""), """")"),"-71.76")</f>
        <v>-71.76</v>
      </c>
      <c r="E223" s="5" t="str">
        <f>IFERROR(__xludf.DUMMYFUNCTION("IFERROR(REGEXEXTRACT(A223, ""y:([-+]?[0-9]*\.?[0-9]+)""), """")"),"+79.61")</f>
        <v>+79.61</v>
      </c>
    </row>
    <row r="224">
      <c r="A224" s="3" t="s">
        <v>236</v>
      </c>
      <c r="B224" s="4">
        <f>IFERROR(__xludf.DUMMYFUNCTION("IFERROR(VALUE(REGEXEXTRACT(A224, ""angle:(\d+)"")), -1)"),221.0)</f>
        <v>221</v>
      </c>
      <c r="C224" s="5" t="str">
        <f t="shared" si="1"/>
        <v>221</v>
      </c>
      <c r="D224" s="5" t="str">
        <f>IFERROR(__xludf.DUMMYFUNCTION("IFERROR(REGEXEXTRACT(A224, ""x:([-+]?[0-9]*\.?[0-9]+)""), """")"),"-70.20")</f>
        <v>-70.20</v>
      </c>
      <c r="E224" s="5" t="str">
        <f>IFERROR(__xludf.DUMMYFUNCTION("IFERROR(REGEXEXTRACT(A224, ""y:([-+]?[0-9]*\.?[0-9]+)""), """")"),"+79.61")</f>
        <v>+79.61</v>
      </c>
    </row>
    <row r="225">
      <c r="A225" s="3" t="s">
        <v>237</v>
      </c>
      <c r="B225" s="4">
        <f>IFERROR(__xludf.DUMMYFUNCTION("IFERROR(VALUE(REGEXEXTRACT(A225, ""angle:(\d+)"")), -1)"),220.0)</f>
        <v>220</v>
      </c>
      <c r="C225" s="5" t="str">
        <f t="shared" si="1"/>
        <v>220</v>
      </c>
      <c r="D225" s="5" t="str">
        <f>IFERROR(__xludf.DUMMYFUNCTION("IFERROR(REGEXEXTRACT(A225, ""x:([-+]?[0-9]*\.?[0-9]+)""), """")"),"-69.41")</f>
        <v>-69.41</v>
      </c>
      <c r="E225" s="5" t="str">
        <f>IFERROR(__xludf.DUMMYFUNCTION("IFERROR(REGEXEXTRACT(A225, ""y:([-+]?[0-9]*\.?[0-9]+)""), """")"),"+81.96")</f>
        <v>+81.96</v>
      </c>
    </row>
    <row r="226">
      <c r="A226" s="3" t="s">
        <v>238</v>
      </c>
      <c r="B226" s="4">
        <f>IFERROR(__xludf.DUMMYFUNCTION("IFERROR(VALUE(REGEXEXTRACT(A226, ""angle:(\d+)"")), -1)"),219.0)</f>
        <v>219</v>
      </c>
      <c r="C226" s="5" t="str">
        <f t="shared" si="1"/>
        <v>219</v>
      </c>
      <c r="D226" s="5" t="str">
        <f>IFERROR(__xludf.DUMMYFUNCTION("IFERROR(REGEXEXTRACT(A226, ""x:([-+]?[0-9]*\.?[0-9]+)""), """")"),"-67.84")</f>
        <v>-67.84</v>
      </c>
      <c r="E226" s="5" t="str">
        <f>IFERROR(__xludf.DUMMYFUNCTION("IFERROR(REGEXEXTRACT(A226, ""y:([-+]?[0-9]*\.?[0-9]+)""), """")"),"+82.75")</f>
        <v>+82.75</v>
      </c>
    </row>
    <row r="227">
      <c r="A227" s="3" t="s">
        <v>239</v>
      </c>
      <c r="B227" s="4">
        <f>IFERROR(__xludf.DUMMYFUNCTION("IFERROR(VALUE(REGEXEXTRACT(A227, ""angle:(\d+)"")), -1)"),218.0)</f>
        <v>218</v>
      </c>
      <c r="C227" s="5" t="str">
        <f t="shared" si="1"/>
        <v>218</v>
      </c>
      <c r="D227" s="5" t="str">
        <f>IFERROR(__xludf.DUMMYFUNCTION("IFERROR(REGEXEXTRACT(A227, ""x:([-+]?[0-9]*\.?[0-9]+)""), """")"),"-66.27")</f>
        <v>-66.27</v>
      </c>
      <c r="E227" s="5" t="str">
        <f>IFERROR(__xludf.DUMMYFUNCTION("IFERROR(REGEXEXTRACT(A227, ""y:([-+]?[0-9]*\.?[0-9]+)""), """")"),"+84.31")</f>
        <v>+84.31</v>
      </c>
    </row>
    <row r="228">
      <c r="A228" s="3" t="s">
        <v>240</v>
      </c>
      <c r="B228" s="4">
        <f>IFERROR(__xludf.DUMMYFUNCTION("IFERROR(VALUE(REGEXEXTRACT(A228, ""angle:(\d+)"")), -1)"),217.0)</f>
        <v>217</v>
      </c>
      <c r="C228" s="5" t="str">
        <f t="shared" si="1"/>
        <v>217</v>
      </c>
      <c r="D228" s="5" t="str">
        <f>IFERROR(__xludf.DUMMYFUNCTION("IFERROR(REGEXEXTRACT(A228, ""x:([-+]?[0-9]*\.?[0-9]+)""), """")"),"-64.71")</f>
        <v>-64.71</v>
      </c>
      <c r="E228" s="5" t="str">
        <f>IFERROR(__xludf.DUMMYFUNCTION("IFERROR(REGEXEXTRACT(A228, ""y:([-+]?[0-9]*\.?[0-9]+)""), """")"),"+85.10")</f>
        <v>+85.10</v>
      </c>
    </row>
    <row r="229">
      <c r="A229" s="3" t="s">
        <v>241</v>
      </c>
      <c r="B229" s="4">
        <f>IFERROR(__xludf.DUMMYFUNCTION("IFERROR(VALUE(REGEXEXTRACT(A229, ""angle:(\d+)"")), -1)"),216.0)</f>
        <v>216</v>
      </c>
      <c r="C229" s="5" t="str">
        <f t="shared" si="1"/>
        <v>216</v>
      </c>
      <c r="D229" s="5" t="str">
        <f>IFERROR(__xludf.DUMMYFUNCTION("IFERROR(REGEXEXTRACT(A229, ""x:([-+]?[0-9]*\.?[0-9]+)""), """")"),"-63.14")</f>
        <v>-63.14</v>
      </c>
      <c r="E229" s="5" t="str">
        <f>IFERROR(__xludf.DUMMYFUNCTION("IFERROR(REGEXEXTRACT(A229, ""y:([-+]?[0-9]*\.?[0-9]+)""), """")"),"+85.88")</f>
        <v>+85.88</v>
      </c>
    </row>
    <row r="230">
      <c r="A230" s="3" t="s">
        <v>242</v>
      </c>
      <c r="B230" s="4">
        <f>IFERROR(__xludf.DUMMYFUNCTION("IFERROR(VALUE(REGEXEXTRACT(A230, ""angle:(\d+)"")), -1)"),215.0)</f>
        <v>215</v>
      </c>
      <c r="C230" s="5" t="str">
        <f t="shared" si="1"/>
        <v>215</v>
      </c>
      <c r="D230" s="5" t="str">
        <f>IFERROR(__xludf.DUMMYFUNCTION("IFERROR(REGEXEXTRACT(A230, ""x:([-+]?[0-9]*\.?[0-9]+)""), """")"),"-60.78")</f>
        <v>-60.78</v>
      </c>
      <c r="E230" s="5" t="str">
        <f>IFERROR(__xludf.DUMMYFUNCTION("IFERROR(REGEXEXTRACT(A230, ""y:([-+]?[0-9]*\.?[0-9]+)""), """")"),"+86.67")</f>
        <v>+86.67</v>
      </c>
    </row>
    <row r="231">
      <c r="A231" s="3" t="s">
        <v>243</v>
      </c>
      <c r="B231" s="4">
        <f>IFERROR(__xludf.DUMMYFUNCTION("IFERROR(VALUE(REGEXEXTRACT(A231, ""angle:(\d+)"")), -1)"),214.0)</f>
        <v>214</v>
      </c>
      <c r="C231" s="5" t="str">
        <f t="shared" si="1"/>
        <v>214</v>
      </c>
      <c r="D231" s="5" t="str">
        <f>IFERROR(__xludf.DUMMYFUNCTION("IFERROR(REGEXEXTRACT(A231, ""x:([-+]?[0-9]*\.?[0-9]+)""), """")"),"-59.22")</f>
        <v>-59.22</v>
      </c>
      <c r="E231" s="5" t="str">
        <f>IFERROR(__xludf.DUMMYFUNCTION("IFERROR(REGEXEXTRACT(A231, ""y:([-+]?[0-9]*\.?[0-9]+)""), """")"),"+87.45")</f>
        <v>+87.45</v>
      </c>
    </row>
    <row r="232">
      <c r="A232" s="3" t="s">
        <v>244</v>
      </c>
      <c r="B232" s="4">
        <f>IFERROR(__xludf.DUMMYFUNCTION("IFERROR(VALUE(REGEXEXTRACT(A232, ""angle:(\d+)"")), -1)"),213.0)</f>
        <v>213</v>
      </c>
      <c r="C232" s="5" t="str">
        <f t="shared" si="1"/>
        <v>213</v>
      </c>
      <c r="D232" s="5" t="str">
        <f>IFERROR(__xludf.DUMMYFUNCTION("IFERROR(REGEXEXTRACT(A232, ""x:([-+]?[0-9]*\.?[0-9]+)""), """")"),"-58.43")</f>
        <v>-58.43</v>
      </c>
      <c r="E232" s="5" t="str">
        <f>IFERROR(__xludf.DUMMYFUNCTION("IFERROR(REGEXEXTRACT(A232, ""y:([-+]?[0-9]*\.?[0-9]+)""), """")"),"+89.02")</f>
        <v>+89.02</v>
      </c>
    </row>
    <row r="233">
      <c r="A233" s="3" t="s">
        <v>245</v>
      </c>
      <c r="B233" s="4">
        <f>IFERROR(__xludf.DUMMYFUNCTION("IFERROR(VALUE(REGEXEXTRACT(A233, ""angle:(\d+)"")), -1)"),212.0)</f>
        <v>212</v>
      </c>
      <c r="C233" s="5" t="str">
        <f t="shared" si="1"/>
        <v>212</v>
      </c>
      <c r="D233" s="5" t="str">
        <f>IFERROR(__xludf.DUMMYFUNCTION("IFERROR(REGEXEXTRACT(A233, ""x:([-+]?[0-9]*\.?[0-9]+)""), """")"),"-56.86")</f>
        <v>-56.86</v>
      </c>
      <c r="E233" s="5" t="str">
        <f>IFERROR(__xludf.DUMMYFUNCTION("IFERROR(REGEXEXTRACT(A233, ""y:([-+]?[0-9]*\.?[0-9]+)""), """")"),"+89.80")</f>
        <v>+89.80</v>
      </c>
    </row>
    <row r="234">
      <c r="A234" s="3" t="s">
        <v>246</v>
      </c>
      <c r="B234" s="4">
        <f>IFERROR(__xludf.DUMMYFUNCTION("IFERROR(VALUE(REGEXEXTRACT(A234, ""angle:(\d+)"")), -1)"),211.0)</f>
        <v>211</v>
      </c>
      <c r="C234" s="5" t="str">
        <f t="shared" si="1"/>
        <v>211</v>
      </c>
      <c r="D234" s="5" t="str">
        <f>IFERROR(__xludf.DUMMYFUNCTION("IFERROR(REGEXEXTRACT(A234, ""x:([-+]?[0-9]*\.?[0-9]+)""), """")"),"-53.73")</f>
        <v>-53.73</v>
      </c>
      <c r="E234" s="5" t="str">
        <f>IFERROR(__xludf.DUMMYFUNCTION("IFERROR(REGEXEXTRACT(A234, ""y:([-+]?[0-9]*\.?[0-9]+)""), """")"),"+91.37")</f>
        <v>+91.37</v>
      </c>
    </row>
    <row r="235">
      <c r="A235" s="3" t="s">
        <v>247</v>
      </c>
      <c r="B235" s="4">
        <f>IFERROR(__xludf.DUMMYFUNCTION("IFERROR(VALUE(REGEXEXTRACT(A235, ""angle:(\d+)"")), -1)"),210.0)</f>
        <v>210</v>
      </c>
      <c r="C235" s="5" t="str">
        <f t="shared" si="1"/>
        <v>210</v>
      </c>
      <c r="D235" s="5" t="str">
        <f>IFERROR(__xludf.DUMMYFUNCTION("IFERROR(REGEXEXTRACT(A235, ""x:([-+]?[0-9]*\.?[0-9]+)""), """")"),"-52.94")</f>
        <v>-52.94</v>
      </c>
      <c r="E235" s="5" t="str">
        <f>IFERROR(__xludf.DUMMYFUNCTION("IFERROR(REGEXEXTRACT(A235, ""y:([-+]?[0-9]*\.?[0-9]+)""), """")"),"+91.37")</f>
        <v>+91.37</v>
      </c>
    </row>
    <row r="236">
      <c r="A236" s="3" t="s">
        <v>248</v>
      </c>
      <c r="B236" s="4">
        <f>IFERROR(__xludf.DUMMYFUNCTION("IFERROR(VALUE(REGEXEXTRACT(A236, ""angle:(\d+)"")), -1)"),209.0)</f>
        <v>209</v>
      </c>
      <c r="C236" s="5" t="str">
        <f t="shared" si="1"/>
        <v>209</v>
      </c>
      <c r="D236" s="5" t="str">
        <f>IFERROR(__xludf.DUMMYFUNCTION("IFERROR(REGEXEXTRACT(A236, ""x:([-+]?[0-9]*\.?[0-9]+)""), """")"),"-51.37")</f>
        <v>-51.37</v>
      </c>
      <c r="E236" s="5" t="str">
        <f>IFERROR(__xludf.DUMMYFUNCTION("IFERROR(REGEXEXTRACT(A236, ""y:([-+]?[0-9]*\.?[0-9]+)""), """")"),"+92.16")</f>
        <v>+92.16</v>
      </c>
    </row>
    <row r="237">
      <c r="A237" s="3" t="s">
        <v>249</v>
      </c>
      <c r="B237" s="4">
        <f>IFERROR(__xludf.DUMMYFUNCTION("IFERROR(VALUE(REGEXEXTRACT(A237, ""angle:(\d+)"")), -1)"),208.0)</f>
        <v>208</v>
      </c>
      <c r="C237" s="5" t="str">
        <f t="shared" si="1"/>
        <v>208</v>
      </c>
      <c r="D237" s="5" t="str">
        <f>IFERROR(__xludf.DUMMYFUNCTION("IFERROR(REGEXEXTRACT(A237, ""x:([-+]?[0-9]*\.?[0-9]+)""), """")"),"-49.80")</f>
        <v>-49.80</v>
      </c>
      <c r="E237" s="5" t="str">
        <f>IFERROR(__xludf.DUMMYFUNCTION("IFERROR(REGEXEXTRACT(A237, ""y:([-+]?[0-9]*\.?[0-9]+)""), """")"),"+92.94")</f>
        <v>+92.94</v>
      </c>
    </row>
    <row r="238">
      <c r="A238" s="3" t="s">
        <v>250</v>
      </c>
      <c r="B238" s="4">
        <f>IFERROR(__xludf.DUMMYFUNCTION("IFERROR(VALUE(REGEXEXTRACT(A238, ""angle:(\d+)"")), -1)"),207.0)</f>
        <v>207</v>
      </c>
      <c r="C238" s="5" t="str">
        <f t="shared" si="1"/>
        <v>207</v>
      </c>
      <c r="D238" s="5" t="str">
        <f>IFERROR(__xludf.DUMMYFUNCTION("IFERROR(REGEXEXTRACT(A238, ""x:([-+]?[0-9]*\.?[0-9]+)""), """")"),"-48.24")</f>
        <v>-48.24</v>
      </c>
      <c r="E238" s="5" t="str">
        <f>IFERROR(__xludf.DUMMYFUNCTION("IFERROR(REGEXEXTRACT(A238, ""y:([-+]?[0-9]*\.?[0-9]+)""), """")"),"+94.51")</f>
        <v>+94.51</v>
      </c>
    </row>
    <row r="239">
      <c r="A239" s="3" t="s">
        <v>251</v>
      </c>
      <c r="B239" s="4">
        <f>IFERROR(__xludf.DUMMYFUNCTION("IFERROR(VALUE(REGEXEXTRACT(A239, ""angle:(\d+)"")), -1)"),206.0)</f>
        <v>206</v>
      </c>
      <c r="C239" s="5" t="str">
        <f t="shared" si="1"/>
        <v>206</v>
      </c>
      <c r="D239" s="5" t="str">
        <f>IFERROR(__xludf.DUMMYFUNCTION("IFERROR(REGEXEXTRACT(A239, ""x:([-+]?[0-9]*\.?[0-9]+)""), """")"),"-46.67")</f>
        <v>-46.67</v>
      </c>
      <c r="E239" s="5" t="str">
        <f>IFERROR(__xludf.DUMMYFUNCTION("IFERROR(REGEXEXTRACT(A239, ""y:([-+]?[0-9]*\.?[0-9]+)""), """")"),"+94.51")</f>
        <v>+94.51</v>
      </c>
    </row>
    <row r="240">
      <c r="A240" s="3" t="s">
        <v>252</v>
      </c>
      <c r="B240" s="4">
        <f>IFERROR(__xludf.DUMMYFUNCTION("IFERROR(VALUE(REGEXEXTRACT(A240, ""angle:(\d+)"")), -1)"),205.0)</f>
        <v>205</v>
      </c>
      <c r="C240" s="5" t="str">
        <f t="shared" si="1"/>
        <v>205</v>
      </c>
      <c r="D240" s="5" t="str">
        <f>IFERROR(__xludf.DUMMYFUNCTION("IFERROR(REGEXEXTRACT(A240, ""x:([-+]?[0-9]*\.?[0-9]+)""), """")"),"-45.10")</f>
        <v>-45.10</v>
      </c>
      <c r="E240" s="5" t="str">
        <f>IFERROR(__xludf.DUMMYFUNCTION("IFERROR(REGEXEXTRACT(A240, ""y:([-+]?[0-9]*\.?[0-9]+)""), """")"),"+95.30")</f>
        <v>+95.30</v>
      </c>
    </row>
    <row r="241">
      <c r="A241" s="3" t="s">
        <v>253</v>
      </c>
      <c r="B241" s="4">
        <f>IFERROR(__xludf.DUMMYFUNCTION("IFERROR(VALUE(REGEXEXTRACT(A241, ""angle:(\d+)"")), -1)"),204.0)</f>
        <v>204</v>
      </c>
      <c r="C241" s="5" t="str">
        <f t="shared" si="1"/>
        <v>204</v>
      </c>
      <c r="D241" s="5" t="str">
        <f>IFERROR(__xludf.DUMMYFUNCTION("IFERROR(REGEXEXTRACT(A241, ""x:([-+]?[0-9]*\.?[0-9]+)""), """")"),"-42.74")</f>
        <v>-42.74</v>
      </c>
      <c r="E241" s="5" t="str">
        <f>IFERROR(__xludf.DUMMYFUNCTION("IFERROR(REGEXEXTRACT(A241, ""y:([-+]?[0-9]*\.?[0-9]+)""), """")"),"+96.08")</f>
        <v>+96.08</v>
      </c>
    </row>
    <row r="242">
      <c r="A242" s="3" t="s">
        <v>254</v>
      </c>
      <c r="B242" s="4">
        <f>IFERROR(__xludf.DUMMYFUNCTION("IFERROR(VALUE(REGEXEXTRACT(A242, ""angle:(\d+)"")), -1)"),203.0)</f>
        <v>203</v>
      </c>
      <c r="C242" s="5" t="str">
        <f t="shared" si="1"/>
        <v>203</v>
      </c>
      <c r="D242" s="5" t="str">
        <f>IFERROR(__xludf.DUMMYFUNCTION("IFERROR(REGEXEXTRACT(A242, ""x:([-+]?[0-9]*\.?[0-9]+)""), """")"),"-41.96")</f>
        <v>-41.96</v>
      </c>
      <c r="E242" s="5" t="str">
        <f>IFERROR(__xludf.DUMMYFUNCTION("IFERROR(REGEXEXTRACT(A242, ""y:([-+]?[0-9]*\.?[0-9]+)""), """")"),"+96.86")</f>
        <v>+96.86</v>
      </c>
    </row>
    <row r="243">
      <c r="A243" s="3" t="s">
        <v>255</v>
      </c>
      <c r="B243" s="4">
        <f>IFERROR(__xludf.DUMMYFUNCTION("IFERROR(VALUE(REGEXEXTRACT(A243, ""angle:(\d+)"")), -1)"),202.0)</f>
        <v>202</v>
      </c>
      <c r="C243" s="5" t="str">
        <f t="shared" si="1"/>
        <v>202</v>
      </c>
      <c r="D243" s="5" t="str">
        <f>IFERROR(__xludf.DUMMYFUNCTION("IFERROR(REGEXEXTRACT(A243, ""x:([-+]?[0-9]*\.?[0-9]+)""), """")"),"-39.61")</f>
        <v>-39.61</v>
      </c>
      <c r="E243" s="5" t="str">
        <f>IFERROR(__xludf.DUMMYFUNCTION("IFERROR(REGEXEXTRACT(A243, ""y:([-+]?[0-9]*\.?[0-9]+)""), """")"),"+97.65")</f>
        <v>+97.65</v>
      </c>
    </row>
    <row r="244">
      <c r="A244" s="3" t="s">
        <v>256</v>
      </c>
      <c r="B244" s="4">
        <f>IFERROR(__xludf.DUMMYFUNCTION("IFERROR(VALUE(REGEXEXTRACT(A244, ""angle:(\d+)"")), -1)"),201.0)</f>
        <v>201</v>
      </c>
      <c r="C244" s="5" t="str">
        <f t="shared" si="1"/>
        <v>201</v>
      </c>
      <c r="D244" s="5" t="str">
        <f>IFERROR(__xludf.DUMMYFUNCTION("IFERROR(REGEXEXTRACT(A244, ""x:([-+]?[0-9]*\.?[0-9]+)""), """")"),"-38.04")</f>
        <v>-38.04</v>
      </c>
      <c r="E244" s="5" t="str">
        <f>IFERROR(__xludf.DUMMYFUNCTION("IFERROR(REGEXEXTRACT(A244, ""y:([-+]?[0-9]*\.?[0-9]+)""), """")"),"+97.65")</f>
        <v>+97.65</v>
      </c>
    </row>
    <row r="245">
      <c r="A245" s="3" t="s">
        <v>257</v>
      </c>
      <c r="B245" s="4">
        <f>IFERROR(__xludf.DUMMYFUNCTION("IFERROR(VALUE(REGEXEXTRACT(A245, ""angle:(\d+)"")), -1)"),200.0)</f>
        <v>200</v>
      </c>
      <c r="C245" s="5" t="str">
        <f t="shared" si="1"/>
        <v>200</v>
      </c>
      <c r="D245" s="5" t="str">
        <f>IFERROR(__xludf.DUMMYFUNCTION("IFERROR(REGEXEXTRACT(A245, ""x:([-+]?[0-9]*\.?[0-9]+)""), """")"),"-36.47")</f>
        <v>-36.47</v>
      </c>
      <c r="E245" s="5" t="str">
        <f>IFERROR(__xludf.DUMMYFUNCTION("IFERROR(REGEXEXTRACT(A245, ""y:([-+]?[0-9]*\.?[0-9]+)""), """")"),"+98.43")</f>
        <v>+98.43</v>
      </c>
    </row>
    <row r="246">
      <c r="A246" s="3" t="s">
        <v>258</v>
      </c>
      <c r="B246" s="4">
        <f>IFERROR(__xludf.DUMMYFUNCTION("IFERROR(VALUE(REGEXEXTRACT(A246, ""angle:(\d+)"")), -1)"),199.0)</f>
        <v>199</v>
      </c>
      <c r="C246" s="5" t="str">
        <f t="shared" si="1"/>
        <v>199</v>
      </c>
      <c r="D246" s="5" t="str">
        <f>IFERROR(__xludf.DUMMYFUNCTION("IFERROR(REGEXEXTRACT(A246, ""x:([-+]?[0-9]*\.?[0-9]+)""), """")"),"-34.90")</f>
        <v>-34.90</v>
      </c>
      <c r="E246" s="5" t="str">
        <f>IFERROR(__xludf.DUMMYFUNCTION("IFERROR(REGEXEXTRACT(A246, ""y:([-+]?[0-9]*\.?[0-9]+)""), """")"),"+100.00")</f>
        <v>+100.00</v>
      </c>
    </row>
    <row r="247">
      <c r="A247" s="3" t="s">
        <v>259</v>
      </c>
      <c r="B247" s="4">
        <f>IFERROR(__xludf.DUMMYFUNCTION("IFERROR(VALUE(REGEXEXTRACT(A247, ""angle:(\d+)"")), -1)"),198.0)</f>
        <v>198</v>
      </c>
      <c r="C247" s="5" t="str">
        <f t="shared" si="1"/>
        <v>198</v>
      </c>
      <c r="D247" s="5" t="str">
        <f>IFERROR(__xludf.DUMMYFUNCTION("IFERROR(REGEXEXTRACT(A247, ""x:([-+]?[0-9]*\.?[0-9]+)""), """")"),"-33.33")</f>
        <v>-33.33</v>
      </c>
      <c r="E247" s="5" t="str">
        <f>IFERROR(__xludf.DUMMYFUNCTION("IFERROR(REGEXEXTRACT(A247, ""y:([-+]?[0-9]*\.?[0-9]+)""), """")"),"+100.00")</f>
        <v>+100.00</v>
      </c>
    </row>
    <row r="248">
      <c r="A248" s="3" t="s">
        <v>260</v>
      </c>
      <c r="B248" s="4">
        <f>IFERROR(__xludf.DUMMYFUNCTION("IFERROR(VALUE(REGEXEXTRACT(A248, ""angle:(\d+)"")), -1)"),197.0)</f>
        <v>197</v>
      </c>
      <c r="C248" s="5" t="str">
        <f t="shared" si="1"/>
        <v>197</v>
      </c>
      <c r="D248" s="5" t="str">
        <f>IFERROR(__xludf.DUMMYFUNCTION("IFERROR(REGEXEXTRACT(A248, ""x:([-+]?[0-9]*\.?[0-9]+)""), """")"),"-31.76")</f>
        <v>-31.76</v>
      </c>
      <c r="E248" s="5" t="str">
        <f>IFERROR(__xludf.DUMMYFUNCTION("IFERROR(REGEXEXTRACT(A248, ""y:([-+]?[0-9]*\.?[0-9]+)""), """")"),"+100.00")</f>
        <v>+100.00</v>
      </c>
    </row>
    <row r="249">
      <c r="A249" s="3" t="s">
        <v>261</v>
      </c>
      <c r="B249" s="4">
        <f>IFERROR(__xludf.DUMMYFUNCTION("IFERROR(VALUE(REGEXEXTRACT(A249, ""angle:(\d+)"")), -1)"),196.0)</f>
        <v>196</v>
      </c>
      <c r="C249" s="5" t="str">
        <f t="shared" si="1"/>
        <v>196</v>
      </c>
      <c r="D249" s="5" t="str">
        <f>IFERROR(__xludf.DUMMYFUNCTION("IFERROR(REGEXEXTRACT(A249, ""x:([-+]?[0-9]*\.?[0-9]+)""), """")"),"-29.41")</f>
        <v>-29.41</v>
      </c>
      <c r="E249" s="5" t="str">
        <f>IFERROR(__xludf.DUMMYFUNCTION("IFERROR(REGEXEXTRACT(A249, ""y:([-+]?[0-9]*\.?[0-9]+)""), """")"),"+100.00")</f>
        <v>+100.00</v>
      </c>
    </row>
    <row r="250">
      <c r="A250" s="3" t="s">
        <v>262</v>
      </c>
      <c r="B250" s="4">
        <f>IFERROR(__xludf.DUMMYFUNCTION("IFERROR(VALUE(REGEXEXTRACT(A250, ""angle:(\d+)"")), -1)"),195.0)</f>
        <v>195</v>
      </c>
      <c r="C250" s="5" t="str">
        <f t="shared" si="1"/>
        <v>195</v>
      </c>
      <c r="D250" s="5" t="str">
        <f>IFERROR(__xludf.DUMMYFUNCTION("IFERROR(REGEXEXTRACT(A250, ""x:([-+]?[0-9]*\.?[0-9]+)""), """")"),"-27.84")</f>
        <v>-27.84</v>
      </c>
      <c r="E250" s="5" t="str">
        <f>IFERROR(__xludf.DUMMYFUNCTION("IFERROR(REGEXEXTRACT(A250, ""y:([-+]?[0-9]*\.?[0-9]+)""), """")"),"+100.00")</f>
        <v>+100.00</v>
      </c>
    </row>
    <row r="251">
      <c r="A251" s="3" t="s">
        <v>263</v>
      </c>
      <c r="B251" s="4">
        <f>IFERROR(__xludf.DUMMYFUNCTION("IFERROR(VALUE(REGEXEXTRACT(A251, ""angle:(\d+)"")), -1)"),194.0)</f>
        <v>194</v>
      </c>
      <c r="C251" s="5" t="str">
        <f t="shared" si="1"/>
        <v>194</v>
      </c>
      <c r="D251" s="5" t="str">
        <f>IFERROR(__xludf.DUMMYFUNCTION("IFERROR(REGEXEXTRACT(A251, ""x:([-+]?[0-9]*\.?[0-9]+)""), """")"),"-26.27")</f>
        <v>-26.27</v>
      </c>
      <c r="E251" s="5" t="str">
        <f>IFERROR(__xludf.DUMMYFUNCTION("IFERROR(REGEXEXTRACT(A251, ""y:([-+]?[0-9]*\.?[0-9]+)""), """")"),"+100.00")</f>
        <v>+100.00</v>
      </c>
    </row>
    <row r="252">
      <c r="A252" s="3" t="s">
        <v>264</v>
      </c>
      <c r="B252" s="4">
        <f>IFERROR(__xludf.DUMMYFUNCTION("IFERROR(VALUE(REGEXEXTRACT(A252, ""angle:(\d+)"")), -1)"),193.0)</f>
        <v>193</v>
      </c>
      <c r="C252" s="5" t="str">
        <f t="shared" si="1"/>
        <v>193</v>
      </c>
      <c r="D252" s="5" t="str">
        <f>IFERROR(__xludf.DUMMYFUNCTION("IFERROR(REGEXEXTRACT(A252, ""x:([-+]?[0-9]*\.?[0-9]+)""), """")"),"-23.92")</f>
        <v>-23.92</v>
      </c>
      <c r="E252" s="5" t="str">
        <f>IFERROR(__xludf.DUMMYFUNCTION("IFERROR(REGEXEXTRACT(A252, ""y:([-+]?[0-9]*\.?[0-9]+)""), """")"),"+100.00")</f>
        <v>+100.00</v>
      </c>
    </row>
    <row r="253">
      <c r="A253" s="3" t="s">
        <v>265</v>
      </c>
      <c r="B253" s="4">
        <f>IFERROR(__xludf.DUMMYFUNCTION("IFERROR(VALUE(REGEXEXTRACT(A253, ""angle:(\d+)"")), -1)"),192.0)</f>
        <v>192</v>
      </c>
      <c r="C253" s="5" t="str">
        <f t="shared" si="1"/>
        <v>192</v>
      </c>
      <c r="D253" s="5" t="str">
        <f>IFERROR(__xludf.DUMMYFUNCTION("IFERROR(REGEXEXTRACT(A253, ""x:([-+]?[0-9]*\.?[0-9]+)""), """")"),"-21.57")</f>
        <v>-21.57</v>
      </c>
      <c r="E253" s="5" t="str">
        <f>IFERROR(__xludf.DUMMYFUNCTION("IFERROR(REGEXEXTRACT(A253, ""y:([-+]?[0-9]*\.?[0-9]+)""), """")"),"+100.00")</f>
        <v>+100.00</v>
      </c>
    </row>
    <row r="254">
      <c r="A254" s="3" t="s">
        <v>266</v>
      </c>
      <c r="B254" s="4">
        <f>IFERROR(__xludf.DUMMYFUNCTION("IFERROR(VALUE(REGEXEXTRACT(A254, ""angle:(\d+)"")), -1)"),191.0)</f>
        <v>191</v>
      </c>
      <c r="C254" s="5" t="str">
        <f t="shared" si="1"/>
        <v>191</v>
      </c>
      <c r="D254" s="5" t="str">
        <f>IFERROR(__xludf.DUMMYFUNCTION("IFERROR(REGEXEXTRACT(A254, ""x:([-+]?[0-9]*\.?[0-9]+)""), """")"),"-20.78")</f>
        <v>-20.78</v>
      </c>
      <c r="E254" s="5" t="str">
        <f>IFERROR(__xludf.DUMMYFUNCTION("IFERROR(REGEXEXTRACT(A254, ""y:([-+]?[0-9]*\.?[0-9]+)""), """")"),"+100.00")</f>
        <v>+100.00</v>
      </c>
    </row>
    <row r="255">
      <c r="A255" s="3" t="s">
        <v>267</v>
      </c>
      <c r="B255" s="4">
        <f>IFERROR(__xludf.DUMMYFUNCTION("IFERROR(VALUE(REGEXEXTRACT(A255, ""angle:(\d+)"")), -1)"),190.0)</f>
        <v>190</v>
      </c>
      <c r="C255" s="5" t="str">
        <f t="shared" si="1"/>
        <v>190</v>
      </c>
      <c r="D255" s="5" t="str">
        <f>IFERROR(__xludf.DUMMYFUNCTION("IFERROR(REGEXEXTRACT(A255, ""x:([-+]?[0-9]*\.?[0-9]+)""), """")"),"-19.22")</f>
        <v>-19.22</v>
      </c>
      <c r="E255" s="5" t="str">
        <f>IFERROR(__xludf.DUMMYFUNCTION("IFERROR(REGEXEXTRACT(A255, ""y:([-+]?[0-9]*\.?[0-9]+)""), """")"),"+100.00")</f>
        <v>+100.00</v>
      </c>
    </row>
    <row r="256">
      <c r="A256" s="3" t="s">
        <v>268</v>
      </c>
      <c r="B256" s="4">
        <f>IFERROR(__xludf.DUMMYFUNCTION("IFERROR(VALUE(REGEXEXTRACT(A256, ""angle:(\d+)"")), -1)"),-1.0)</f>
        <v>-1</v>
      </c>
      <c r="C256" s="5" t="str">
        <f t="shared" si="1"/>
        <v>-001</v>
      </c>
      <c r="D256" s="5" t="str">
        <f>IFERROR(__xludf.DUMMYFUNCTION("IFERROR(REGEXEXTRACT(A256, ""x:([-+]?[0-9]*\.?[0-9]+)""), """")"),"")</f>
        <v/>
      </c>
      <c r="E256" s="5" t="str">
        <f>IFERROR(__xludf.DUMMYFUNCTION("IFERROR(REGEXEXTRACT(A256, ""y:([-+]?[0-9]*\.?[0-9]+)""), """")"),"")</f>
        <v/>
      </c>
    </row>
    <row r="257">
      <c r="A257" s="3" t="s">
        <v>269</v>
      </c>
      <c r="B257" s="4">
        <f>IFERROR(__xludf.DUMMYFUNCTION("IFERROR(VALUE(REGEXEXTRACT(A257, ""angle:(\d+)"")), -1)"),180.0)</f>
        <v>180</v>
      </c>
      <c r="C257" s="5" t="str">
        <f t="shared" si="1"/>
        <v>180</v>
      </c>
      <c r="D257" s="5" t="str">
        <f>IFERROR(__xludf.DUMMYFUNCTION("IFERROR(REGEXEXTRACT(A257, ""x:([-+]?[0-9]*\.?[0-9]+)""), """")"),"-0.39")</f>
        <v>-0.39</v>
      </c>
      <c r="E257" s="5" t="str">
        <f>IFERROR(__xludf.DUMMYFUNCTION("IFERROR(REGEXEXTRACT(A257, ""y:([-+]?[0-9]*\.?[0-9]+)""), """")"),"+100.00")</f>
        <v>+100.00</v>
      </c>
    </row>
    <row r="258">
      <c r="A258" s="3" t="s">
        <v>270</v>
      </c>
      <c r="B258" s="4">
        <f>IFERROR(__xludf.DUMMYFUNCTION("IFERROR(VALUE(REGEXEXTRACT(A258, ""angle:(\d+)"")), -1)"),179.0)</f>
        <v>179</v>
      </c>
      <c r="C258" s="5" t="str">
        <f t="shared" si="1"/>
        <v>179</v>
      </c>
      <c r="D258" s="5" t="str">
        <f>IFERROR(__xludf.DUMMYFUNCTION("IFERROR(REGEXEXTRACT(A258, ""x:([-+]?[0-9]*\.?[0-9]+)""), """")"),"+1.18")</f>
        <v>+1.18</v>
      </c>
      <c r="E258" s="5" t="str">
        <f>IFERROR(__xludf.DUMMYFUNCTION("IFERROR(REGEXEXTRACT(A258, ""y:([-+]?[0-9]*\.?[0-9]+)""), """")"),"+100.00")</f>
        <v>+100.00</v>
      </c>
    </row>
    <row r="259">
      <c r="A259" s="3" t="s">
        <v>271</v>
      </c>
      <c r="B259" s="4">
        <f>IFERROR(__xludf.DUMMYFUNCTION("IFERROR(VALUE(REGEXEXTRACT(A259, ""angle:(\d+)"")), -1)"),178.0)</f>
        <v>178</v>
      </c>
      <c r="C259" s="5" t="str">
        <f t="shared" si="1"/>
        <v>178</v>
      </c>
      <c r="D259" s="5" t="str">
        <f>IFERROR(__xludf.DUMMYFUNCTION("IFERROR(REGEXEXTRACT(A259, ""x:([-+]?[0-9]*\.?[0-9]+)""), """")"),"+3.53")</f>
        <v>+3.53</v>
      </c>
      <c r="E259" s="5" t="str">
        <f>IFERROR(__xludf.DUMMYFUNCTION("IFERROR(REGEXEXTRACT(A259, ""y:([-+]?[0-9]*\.?[0-9]+)""), """")"),"+100.00")</f>
        <v>+100.00</v>
      </c>
    </row>
    <row r="260">
      <c r="A260" s="3" t="s">
        <v>272</v>
      </c>
      <c r="B260" s="4">
        <f>IFERROR(__xludf.DUMMYFUNCTION("IFERROR(VALUE(REGEXEXTRACT(A260, ""angle:(\d+)"")), -1)"),177.0)</f>
        <v>177</v>
      </c>
      <c r="C260" s="5" t="str">
        <f t="shared" si="1"/>
        <v>177</v>
      </c>
      <c r="D260" s="5" t="str">
        <f>IFERROR(__xludf.DUMMYFUNCTION("IFERROR(REGEXEXTRACT(A260, ""x:([-+]?[0-9]*\.?[0-9]+)""), """")"),"+5.88")</f>
        <v>+5.88</v>
      </c>
      <c r="E260" s="5" t="str">
        <f>IFERROR(__xludf.DUMMYFUNCTION("IFERROR(REGEXEXTRACT(A260, ""y:([-+]?[0-9]*\.?[0-9]+)""), """")"),"+100.00")</f>
        <v>+100.00</v>
      </c>
    </row>
    <row r="261">
      <c r="A261" s="3" t="s">
        <v>273</v>
      </c>
      <c r="B261" s="4">
        <f>IFERROR(__xludf.DUMMYFUNCTION("IFERROR(VALUE(REGEXEXTRACT(A261, ""angle:(\d+)"")), -1)"),176.0)</f>
        <v>176</v>
      </c>
      <c r="C261" s="5" t="str">
        <f t="shared" si="1"/>
        <v>176</v>
      </c>
      <c r="D261" s="5" t="str">
        <f>IFERROR(__xludf.DUMMYFUNCTION("IFERROR(REGEXEXTRACT(A261, ""x:([-+]?[0-9]*\.?[0-9]+)""), """")"),"+7.45")</f>
        <v>+7.45</v>
      </c>
      <c r="E261" s="5" t="str">
        <f>IFERROR(__xludf.DUMMYFUNCTION("IFERROR(REGEXEXTRACT(A261, ""y:([-+]?[0-9]*\.?[0-9]+)""), """")"),"+100.00")</f>
        <v>+100.00</v>
      </c>
    </row>
    <row r="262">
      <c r="A262" s="3" t="s">
        <v>274</v>
      </c>
      <c r="B262" s="4">
        <f>IFERROR(__xludf.DUMMYFUNCTION("IFERROR(VALUE(REGEXEXTRACT(A262, ""angle:(\d+)"")), -1)"),175.0)</f>
        <v>175</v>
      </c>
      <c r="C262" s="5" t="str">
        <f t="shared" si="1"/>
        <v>175</v>
      </c>
      <c r="D262" s="5" t="str">
        <f>IFERROR(__xludf.DUMMYFUNCTION("IFERROR(REGEXEXTRACT(A262, ""x:([-+]?[0-9]*\.?[0-9]+)""), """")"),"+9.02")</f>
        <v>+9.02</v>
      </c>
      <c r="E262" s="5" t="str">
        <f>IFERROR(__xludf.DUMMYFUNCTION("IFERROR(REGEXEXTRACT(A262, ""y:([-+]?[0-9]*\.?[0-9]+)""), """")"),"+100.00")</f>
        <v>+100.00</v>
      </c>
    </row>
    <row r="263">
      <c r="A263" s="3" t="s">
        <v>275</v>
      </c>
      <c r="B263" s="4">
        <f>IFERROR(__xludf.DUMMYFUNCTION("IFERROR(VALUE(REGEXEXTRACT(A263, ""angle:(\d+)"")), -1)"),174.0)</f>
        <v>174</v>
      </c>
      <c r="C263" s="5" t="str">
        <f t="shared" si="1"/>
        <v>174</v>
      </c>
      <c r="D263" s="5" t="str">
        <f>IFERROR(__xludf.DUMMYFUNCTION("IFERROR(REGEXEXTRACT(A263, ""x:([-+]?[0-9]*\.?[0-9]+)""), """")"),"+11.37")</f>
        <v>+11.37</v>
      </c>
      <c r="E263" s="5" t="str">
        <f>IFERROR(__xludf.DUMMYFUNCTION("IFERROR(REGEXEXTRACT(A263, ""y:([-+]?[0-9]*\.?[0-9]+)""), """")"),"+100.00")</f>
        <v>+100.00</v>
      </c>
    </row>
    <row r="264">
      <c r="A264" s="3" t="s">
        <v>276</v>
      </c>
      <c r="B264" s="4">
        <f>IFERROR(__xludf.DUMMYFUNCTION("IFERROR(VALUE(REGEXEXTRACT(A264, ""angle:(\d+)"")), -1)"),173.0)</f>
        <v>173</v>
      </c>
      <c r="C264" s="5" t="str">
        <f t="shared" si="1"/>
        <v>173</v>
      </c>
      <c r="D264" s="5" t="str">
        <f>IFERROR(__xludf.DUMMYFUNCTION("IFERROR(REGEXEXTRACT(A264, ""x:([-+]?[0-9]*\.?[0-9]+)""), """")"),"+12.94")</f>
        <v>+12.94</v>
      </c>
      <c r="E264" s="5" t="str">
        <f>IFERROR(__xludf.DUMMYFUNCTION("IFERROR(REGEXEXTRACT(A264, ""y:([-+]?[0-9]*\.?[0-9]+)""), """")"),"+100.00")</f>
        <v>+100.00</v>
      </c>
    </row>
    <row r="265">
      <c r="A265" s="3" t="s">
        <v>277</v>
      </c>
      <c r="B265" s="4">
        <f>IFERROR(__xludf.DUMMYFUNCTION("IFERROR(VALUE(REGEXEXTRACT(A265, ""angle:(\d+)"")), -1)"),172.0)</f>
        <v>172</v>
      </c>
      <c r="C265" s="5" t="str">
        <f t="shared" si="1"/>
        <v>172</v>
      </c>
      <c r="D265" s="5" t="str">
        <f>IFERROR(__xludf.DUMMYFUNCTION("IFERROR(REGEXEXTRACT(A265, ""x:([-+]?[0-9]*\.?[0-9]+)""), """")"),"+15.29")</f>
        <v>+15.29</v>
      </c>
      <c r="E265" s="5" t="str">
        <f>IFERROR(__xludf.DUMMYFUNCTION("IFERROR(REGEXEXTRACT(A265, ""y:([-+]?[0-9]*\.?[0-9]+)""), """")"),"+100.00")</f>
        <v>+100.00</v>
      </c>
    </row>
    <row r="266">
      <c r="A266" s="3" t="s">
        <v>278</v>
      </c>
      <c r="B266" s="4">
        <f>IFERROR(__xludf.DUMMYFUNCTION("IFERROR(VALUE(REGEXEXTRACT(A266, ""angle:(\d+)"")), -1)"),171.0)</f>
        <v>171</v>
      </c>
      <c r="C266" s="5" t="str">
        <f t="shared" si="1"/>
        <v>171</v>
      </c>
      <c r="D266" s="5" t="str">
        <f>IFERROR(__xludf.DUMMYFUNCTION("IFERROR(REGEXEXTRACT(A266, ""x:([-+]?[0-9]*\.?[0-9]+)""), """")"),"+16.86")</f>
        <v>+16.86</v>
      </c>
      <c r="E266" s="5" t="str">
        <f>IFERROR(__xludf.DUMMYFUNCTION("IFERROR(REGEXEXTRACT(A266, ""y:([-+]?[0-9]*\.?[0-9]+)""), """")"),"+100.00")</f>
        <v>+100.00</v>
      </c>
    </row>
    <row r="267">
      <c r="A267" s="3" t="s">
        <v>279</v>
      </c>
      <c r="B267" s="4">
        <f>IFERROR(__xludf.DUMMYFUNCTION("IFERROR(VALUE(REGEXEXTRACT(A267, ""angle:(\d+)"")), -1)"),170.0)</f>
        <v>170</v>
      </c>
      <c r="C267" s="5" t="str">
        <f t="shared" si="1"/>
        <v>170</v>
      </c>
      <c r="D267" s="5" t="str">
        <f>IFERROR(__xludf.DUMMYFUNCTION("IFERROR(REGEXEXTRACT(A267, ""x:([-+]?[0-9]*\.?[0-9]+)""), """")"),"+18.43")</f>
        <v>+18.43</v>
      </c>
      <c r="E267" s="5" t="str">
        <f>IFERROR(__xludf.DUMMYFUNCTION("IFERROR(REGEXEXTRACT(A267, ""y:([-+]?[0-9]*\.?[0-9]+)""), """")"),"+100.00")</f>
        <v>+100.00</v>
      </c>
    </row>
    <row r="268">
      <c r="A268" s="3" t="s">
        <v>280</v>
      </c>
      <c r="B268" s="4">
        <f>IFERROR(__xludf.DUMMYFUNCTION("IFERROR(VALUE(REGEXEXTRACT(A268, ""angle:(\d+)"")), -1)"),169.0)</f>
        <v>169</v>
      </c>
      <c r="C268" s="5" t="str">
        <f t="shared" si="1"/>
        <v>169</v>
      </c>
      <c r="D268" s="5" t="str">
        <f>IFERROR(__xludf.DUMMYFUNCTION("IFERROR(REGEXEXTRACT(A268, ""x:([-+]?[0-9]*\.?[0-9]+)""), """")"),"+20.00")</f>
        <v>+20.00</v>
      </c>
      <c r="E268" s="5" t="str">
        <f>IFERROR(__xludf.DUMMYFUNCTION("IFERROR(REGEXEXTRACT(A268, ""y:([-+]?[0-9]*\.?[0-9]+)""), """")"),"+100.00")</f>
        <v>+100.00</v>
      </c>
    </row>
    <row r="269">
      <c r="A269" s="3" t="s">
        <v>281</v>
      </c>
      <c r="B269" s="4">
        <f>IFERROR(__xludf.DUMMYFUNCTION("IFERROR(VALUE(REGEXEXTRACT(A269, ""angle:(\d+)"")), -1)"),168.0)</f>
        <v>168</v>
      </c>
      <c r="C269" s="5" t="str">
        <f t="shared" si="1"/>
        <v>168</v>
      </c>
      <c r="D269" s="5" t="str">
        <f>IFERROR(__xludf.DUMMYFUNCTION("IFERROR(REGEXEXTRACT(A269, ""x:([-+]?[0-9]*\.?[0-9]+)""), """")"),"+21.57")</f>
        <v>+21.57</v>
      </c>
      <c r="E269" s="5" t="str">
        <f>IFERROR(__xludf.DUMMYFUNCTION("IFERROR(REGEXEXTRACT(A269, ""y:([-+]?[0-9]*\.?[0-9]+)""), """")"),"+100.00")</f>
        <v>+100.00</v>
      </c>
    </row>
    <row r="270">
      <c r="A270" s="3" t="s">
        <v>282</v>
      </c>
      <c r="B270" s="4">
        <f>IFERROR(__xludf.DUMMYFUNCTION("IFERROR(VALUE(REGEXEXTRACT(A270, ""angle:(\d+)"")), -1)"),167.0)</f>
        <v>167</v>
      </c>
      <c r="C270" s="5" t="str">
        <f t="shared" si="1"/>
        <v>167</v>
      </c>
      <c r="D270" s="5" t="str">
        <f>IFERROR(__xludf.DUMMYFUNCTION("IFERROR(REGEXEXTRACT(A270, ""x:([-+]?[0-9]*\.?[0-9]+)""), """")"),"+23.14")</f>
        <v>+23.14</v>
      </c>
      <c r="E270" s="5" t="str">
        <f>IFERROR(__xludf.DUMMYFUNCTION("IFERROR(REGEXEXTRACT(A270, ""y:([-+]?[0-9]*\.?[0-9]+)""), """")"),"+100.00")</f>
        <v>+100.00</v>
      </c>
    </row>
    <row r="271">
      <c r="A271" s="3" t="s">
        <v>283</v>
      </c>
      <c r="B271" s="4">
        <f>IFERROR(__xludf.DUMMYFUNCTION("IFERROR(VALUE(REGEXEXTRACT(A271, ""angle:(\d+)"")), -1)"),166.0)</f>
        <v>166</v>
      </c>
      <c r="C271" s="5" t="str">
        <f t="shared" si="1"/>
        <v>166</v>
      </c>
      <c r="D271" s="5" t="str">
        <f>IFERROR(__xludf.DUMMYFUNCTION("IFERROR(REGEXEXTRACT(A271, ""x:([-+]?[0-9]*\.?[0-9]+)""), """")"),"+24.71")</f>
        <v>+24.71</v>
      </c>
      <c r="E271" s="5" t="str">
        <f>IFERROR(__xludf.DUMMYFUNCTION("IFERROR(REGEXEXTRACT(A271, ""y:([-+]?[0-9]*\.?[0-9]+)""), """")"),"+100.00")</f>
        <v>+100.00</v>
      </c>
    </row>
    <row r="272">
      <c r="A272" s="3" t="s">
        <v>284</v>
      </c>
      <c r="B272" s="4">
        <f>IFERROR(__xludf.DUMMYFUNCTION("IFERROR(VALUE(REGEXEXTRACT(A272, ""angle:(\d+)"")), -1)"),165.0)</f>
        <v>165</v>
      </c>
      <c r="C272" s="5" t="str">
        <f t="shared" si="1"/>
        <v>165</v>
      </c>
      <c r="D272" s="5" t="str">
        <f>IFERROR(__xludf.DUMMYFUNCTION("IFERROR(REGEXEXTRACT(A272, ""x:([-+]?[0-9]*\.?[0-9]+)""), """")"),"+27.06")</f>
        <v>+27.06</v>
      </c>
      <c r="E272" s="5" t="str">
        <f>IFERROR(__xludf.DUMMYFUNCTION("IFERROR(REGEXEXTRACT(A272, ""y:([-+]?[0-9]*\.?[0-9]+)""), """")"),"+100.00")</f>
        <v>+100.00</v>
      </c>
    </row>
    <row r="273">
      <c r="A273" s="3" t="s">
        <v>285</v>
      </c>
      <c r="B273" s="4">
        <f>IFERROR(__xludf.DUMMYFUNCTION("IFERROR(VALUE(REGEXEXTRACT(A273, ""angle:(\d+)"")), -1)"),164.0)</f>
        <v>164</v>
      </c>
      <c r="C273" s="5" t="str">
        <f t="shared" si="1"/>
        <v>164</v>
      </c>
      <c r="D273" s="5" t="str">
        <f>IFERROR(__xludf.DUMMYFUNCTION("IFERROR(REGEXEXTRACT(A273, ""x:([-+]?[0-9]*\.?[0-9]+)""), """")"),"+28.63")</f>
        <v>+28.63</v>
      </c>
      <c r="E273" s="5" t="str">
        <f>IFERROR(__xludf.DUMMYFUNCTION("IFERROR(REGEXEXTRACT(A273, ""y:([-+]?[0-9]*\.?[0-9]+)""), """")"),"+100.00")</f>
        <v>+100.00</v>
      </c>
    </row>
    <row r="274">
      <c r="A274" s="3" t="s">
        <v>286</v>
      </c>
      <c r="B274" s="4">
        <f>IFERROR(__xludf.DUMMYFUNCTION("IFERROR(VALUE(REGEXEXTRACT(A274, ""angle:(\d+)"")), -1)"),163.0)</f>
        <v>163</v>
      </c>
      <c r="C274" s="5" t="str">
        <f t="shared" si="1"/>
        <v>163</v>
      </c>
      <c r="D274" s="5" t="str">
        <f>IFERROR(__xludf.DUMMYFUNCTION("IFERROR(REGEXEXTRACT(A274, ""x:([-+]?[0-9]*\.?[0-9]+)""), """")"),"+30.20")</f>
        <v>+30.20</v>
      </c>
      <c r="E274" s="5" t="str">
        <f>IFERROR(__xludf.DUMMYFUNCTION("IFERROR(REGEXEXTRACT(A274, ""y:([-+]?[0-9]*\.?[0-9]+)""), """")"),"+100.00")</f>
        <v>+100.00</v>
      </c>
    </row>
    <row r="275">
      <c r="A275" s="3" t="s">
        <v>287</v>
      </c>
      <c r="B275" s="4">
        <f>IFERROR(__xludf.DUMMYFUNCTION("IFERROR(VALUE(REGEXEXTRACT(A275, ""angle:(\d+)"")), -1)"),162.0)</f>
        <v>162</v>
      </c>
      <c r="C275" s="5" t="str">
        <f t="shared" si="1"/>
        <v>162</v>
      </c>
      <c r="D275" s="5" t="str">
        <f>IFERROR(__xludf.DUMMYFUNCTION("IFERROR(REGEXEXTRACT(A275, ""x:([-+]?[0-9]*\.?[0-9]+)""), """")"),"+32.55")</f>
        <v>+32.55</v>
      </c>
      <c r="E275" s="5" t="str">
        <f>IFERROR(__xludf.DUMMYFUNCTION("IFERROR(REGEXEXTRACT(A275, ""y:([-+]?[0-9]*\.?[0-9]+)""), """")"),"+100.00")</f>
        <v>+100.00</v>
      </c>
    </row>
    <row r="276">
      <c r="A276" s="3" t="s">
        <v>288</v>
      </c>
      <c r="B276" s="4">
        <f>IFERROR(__xludf.DUMMYFUNCTION("IFERROR(VALUE(REGEXEXTRACT(A276, ""angle:(\d+)"")), -1)"),161.0)</f>
        <v>161</v>
      </c>
      <c r="C276" s="5" t="str">
        <f t="shared" si="1"/>
        <v>161</v>
      </c>
      <c r="D276" s="5" t="str">
        <f>IFERROR(__xludf.DUMMYFUNCTION("IFERROR(REGEXEXTRACT(A276, ""x:([-+]?[0-9]*\.?[0-9]+)""), """")"),"+34.12")</f>
        <v>+34.12</v>
      </c>
      <c r="E276" s="5" t="str">
        <f>IFERROR(__xludf.DUMMYFUNCTION("IFERROR(REGEXEXTRACT(A276, ""y:([-+]?[0-9]*\.?[0-9]+)""), """")"),"+100.00")</f>
        <v>+100.00</v>
      </c>
    </row>
    <row r="277">
      <c r="A277" s="3" t="s">
        <v>289</v>
      </c>
      <c r="B277" s="4">
        <f>IFERROR(__xludf.DUMMYFUNCTION("IFERROR(VALUE(REGEXEXTRACT(A277, ""angle:(\d+)"")), -1)"),160.0)</f>
        <v>160</v>
      </c>
      <c r="C277" s="5" t="str">
        <f t="shared" si="1"/>
        <v>160</v>
      </c>
      <c r="D277" s="5" t="str">
        <f>IFERROR(__xludf.DUMMYFUNCTION("IFERROR(REGEXEXTRACT(A277, ""x:([-+]?[0-9]*\.?[0-9]+)""), """")"),"+35.69")</f>
        <v>+35.69</v>
      </c>
      <c r="E277" s="5" t="str">
        <f>IFERROR(__xludf.DUMMYFUNCTION("IFERROR(REGEXEXTRACT(A277, ""y:([-+]?[0-9]*\.?[0-9]+)""), """")"),"+100.00")</f>
        <v>+100.00</v>
      </c>
    </row>
    <row r="278">
      <c r="A278" s="3" t="s">
        <v>290</v>
      </c>
      <c r="B278" s="4">
        <f>IFERROR(__xludf.DUMMYFUNCTION("IFERROR(VALUE(REGEXEXTRACT(A278, ""angle:(\d+)"")), -1)"),159.0)</f>
        <v>159</v>
      </c>
      <c r="C278" s="5" t="str">
        <f t="shared" si="1"/>
        <v>159</v>
      </c>
      <c r="D278" s="5" t="str">
        <f>IFERROR(__xludf.DUMMYFUNCTION("IFERROR(REGEXEXTRACT(A278, ""x:([-+]?[0-9]*\.?[0-9]+)""), """")"),"+38.04")</f>
        <v>+38.04</v>
      </c>
      <c r="E278" s="5" t="str">
        <f>IFERROR(__xludf.DUMMYFUNCTION("IFERROR(REGEXEXTRACT(A278, ""y:([-+]?[0-9]*\.?[0-9]+)""), """")"),"+100.00")</f>
        <v>+100.00</v>
      </c>
    </row>
    <row r="279">
      <c r="A279" s="3" t="s">
        <v>291</v>
      </c>
      <c r="B279" s="4">
        <f>IFERROR(__xludf.DUMMYFUNCTION("IFERROR(VALUE(REGEXEXTRACT(A279, ""angle:(\d+)"")), -1)"),158.0)</f>
        <v>158</v>
      </c>
      <c r="C279" s="5" t="str">
        <f t="shared" si="1"/>
        <v>158</v>
      </c>
      <c r="D279" s="5" t="str">
        <f>IFERROR(__xludf.DUMMYFUNCTION("IFERROR(REGEXEXTRACT(A279, ""x:([-+]?[0-9]*\.?[0-9]+)""), """")"),"+39.61")</f>
        <v>+39.61</v>
      </c>
      <c r="E279" s="5" t="str">
        <f>IFERROR(__xludf.DUMMYFUNCTION("IFERROR(REGEXEXTRACT(A279, ""y:([-+]?[0-9]*\.?[0-9]+)""), """")"),"+100.00")</f>
        <v>+100.00</v>
      </c>
    </row>
    <row r="280">
      <c r="A280" s="3" t="s">
        <v>292</v>
      </c>
      <c r="B280" s="4">
        <f>IFERROR(__xludf.DUMMYFUNCTION("IFERROR(VALUE(REGEXEXTRACT(A280, ""angle:(\d+)"")), -1)"),157.0)</f>
        <v>157</v>
      </c>
      <c r="C280" s="5" t="str">
        <f t="shared" si="1"/>
        <v>157</v>
      </c>
      <c r="D280" s="5" t="str">
        <f>IFERROR(__xludf.DUMMYFUNCTION("IFERROR(REGEXEXTRACT(A280, ""x:([-+]?[0-9]*\.?[0-9]+)""), """")"),"+41.96")</f>
        <v>+41.96</v>
      </c>
      <c r="E280" s="5" t="str">
        <f>IFERROR(__xludf.DUMMYFUNCTION("IFERROR(REGEXEXTRACT(A280, ""y:([-+]?[0-9]*\.?[0-9]+)""), """")"),"+100.00")</f>
        <v>+100.00</v>
      </c>
    </row>
    <row r="281">
      <c r="A281" s="3" t="s">
        <v>293</v>
      </c>
      <c r="B281" s="4">
        <f>IFERROR(__xludf.DUMMYFUNCTION("IFERROR(VALUE(REGEXEXTRACT(A281, ""angle:(\d+)"")), -1)"),156.0)</f>
        <v>156</v>
      </c>
      <c r="C281" s="5" t="str">
        <f t="shared" si="1"/>
        <v>156</v>
      </c>
      <c r="D281" s="5" t="str">
        <f>IFERROR(__xludf.DUMMYFUNCTION("IFERROR(REGEXEXTRACT(A281, ""x:([-+]?[0-9]*\.?[0-9]+)""), """")"),"+43.53")</f>
        <v>+43.53</v>
      </c>
      <c r="E281" s="5" t="str">
        <f>IFERROR(__xludf.DUMMYFUNCTION("IFERROR(REGEXEXTRACT(A281, ""y:([-+]?[0-9]*\.?[0-9]+)""), """")"),"+100.00")</f>
        <v>+100.00</v>
      </c>
    </row>
    <row r="282">
      <c r="A282" s="3" t="s">
        <v>294</v>
      </c>
      <c r="B282" s="4">
        <f>IFERROR(__xludf.DUMMYFUNCTION("IFERROR(VALUE(REGEXEXTRACT(A282, ""angle:(\d+)"")), -1)"),155.0)</f>
        <v>155</v>
      </c>
      <c r="C282" s="5" t="str">
        <f t="shared" si="1"/>
        <v>155</v>
      </c>
      <c r="D282" s="5" t="str">
        <f>IFERROR(__xludf.DUMMYFUNCTION("IFERROR(REGEXEXTRACT(A282, ""x:([-+]?[0-9]*\.?[0-9]+)""), """")"),"+46.67")</f>
        <v>+46.67</v>
      </c>
      <c r="E282" s="5" t="str">
        <f>IFERROR(__xludf.DUMMYFUNCTION("IFERROR(REGEXEXTRACT(A282, ""y:([-+]?[0-9]*\.?[0-9]+)""), """")"),"+100.00")</f>
        <v>+100.00</v>
      </c>
    </row>
    <row r="283">
      <c r="A283" s="3" t="s">
        <v>295</v>
      </c>
      <c r="B283" s="4">
        <f>IFERROR(__xludf.DUMMYFUNCTION("IFERROR(VALUE(REGEXEXTRACT(A283, ""angle:(\d+)"")), -1)"),154.0)</f>
        <v>154</v>
      </c>
      <c r="C283" s="5" t="str">
        <f t="shared" si="1"/>
        <v>154</v>
      </c>
      <c r="D283" s="5" t="str">
        <f>IFERROR(__xludf.DUMMYFUNCTION("IFERROR(REGEXEXTRACT(A283, ""x:([-+]?[0-9]*\.?[0-9]+)""), """")"),"+47.45")</f>
        <v>+47.45</v>
      </c>
      <c r="E283" s="5" t="str">
        <f>IFERROR(__xludf.DUMMYFUNCTION("IFERROR(REGEXEXTRACT(A283, ""y:([-+]?[0-9]*\.?[0-9]+)""), """")"),"+99.22")</f>
        <v>+99.22</v>
      </c>
    </row>
    <row r="284">
      <c r="A284" s="3" t="s">
        <v>296</v>
      </c>
      <c r="B284" s="4">
        <f>IFERROR(__xludf.DUMMYFUNCTION("IFERROR(VALUE(REGEXEXTRACT(A284, ""angle:(\d+)"")), -1)"),153.0)</f>
        <v>153</v>
      </c>
      <c r="C284" s="5" t="str">
        <f t="shared" si="1"/>
        <v>153</v>
      </c>
      <c r="D284" s="5" t="str">
        <f>IFERROR(__xludf.DUMMYFUNCTION("IFERROR(REGEXEXTRACT(A284, ""x:([-+]?[0-9]*\.?[0-9]+)""), """")"),"+49.80")</f>
        <v>+49.80</v>
      </c>
      <c r="E284" s="5" t="str">
        <f>IFERROR(__xludf.DUMMYFUNCTION("IFERROR(REGEXEXTRACT(A284, ""y:([-+]?[0-9]*\.?[0-9]+)""), """")"),"+99.22")</f>
        <v>+99.22</v>
      </c>
    </row>
    <row r="285">
      <c r="A285" s="3" t="s">
        <v>297</v>
      </c>
      <c r="B285" s="4">
        <f>IFERROR(__xludf.DUMMYFUNCTION("IFERROR(VALUE(REGEXEXTRACT(A285, ""angle:(\d+)"")), -1)"),152.0)</f>
        <v>152</v>
      </c>
      <c r="C285" s="5" t="str">
        <f t="shared" si="1"/>
        <v>152</v>
      </c>
      <c r="D285" s="5" t="str">
        <f>IFERROR(__xludf.DUMMYFUNCTION("IFERROR(REGEXEXTRACT(A285, ""x:([-+]?[0-9]*\.?[0-9]+)""), """")"),"+51.37")</f>
        <v>+51.37</v>
      </c>
      <c r="E285" s="5" t="str">
        <f>IFERROR(__xludf.DUMMYFUNCTION("IFERROR(REGEXEXTRACT(A285, ""y:([-+]?[0-9]*\.?[0-9]+)""), """")"),"+98.43")</f>
        <v>+98.43</v>
      </c>
    </row>
    <row r="286">
      <c r="A286" s="3" t="s">
        <v>298</v>
      </c>
      <c r="B286" s="4">
        <f>IFERROR(__xludf.DUMMYFUNCTION("IFERROR(VALUE(REGEXEXTRACT(A286, ""angle:(\d+)"")), -1)"),151.0)</f>
        <v>151</v>
      </c>
      <c r="C286" s="5" t="str">
        <f t="shared" si="1"/>
        <v>151</v>
      </c>
      <c r="D286" s="5" t="str">
        <f>IFERROR(__xludf.DUMMYFUNCTION("IFERROR(REGEXEXTRACT(A286, ""x:([-+]?[0-9]*\.?[0-9]+)""), """")"),"+52.94")</f>
        <v>+52.94</v>
      </c>
      <c r="E286" s="5" t="str">
        <f>IFERROR(__xludf.DUMMYFUNCTION("IFERROR(REGEXEXTRACT(A286, ""y:([-+]?[0-9]*\.?[0-9]+)""), """")"),"+96.86")</f>
        <v>+96.86</v>
      </c>
    </row>
    <row r="287">
      <c r="A287" s="3" t="s">
        <v>299</v>
      </c>
      <c r="B287" s="4">
        <f>IFERROR(__xludf.DUMMYFUNCTION("IFERROR(VALUE(REGEXEXTRACT(A287, ""angle:(\d+)"")), -1)"),150.0)</f>
        <v>150</v>
      </c>
      <c r="C287" s="5" t="str">
        <f t="shared" si="1"/>
        <v>150</v>
      </c>
      <c r="D287" s="5" t="str">
        <f>IFERROR(__xludf.DUMMYFUNCTION("IFERROR(REGEXEXTRACT(A287, ""x:([-+]?[0-9]*\.?[0-9]+)""), """")"),"+54.51")</f>
        <v>+54.51</v>
      </c>
      <c r="E287" s="5" t="str">
        <f>IFERROR(__xludf.DUMMYFUNCTION("IFERROR(REGEXEXTRACT(A287, ""y:([-+]?[0-9]*\.?[0-9]+)""), """")"),"+96.08")</f>
        <v>+96.08</v>
      </c>
    </row>
    <row r="288">
      <c r="A288" s="3" t="s">
        <v>300</v>
      </c>
      <c r="B288" s="4">
        <f>IFERROR(__xludf.DUMMYFUNCTION("IFERROR(VALUE(REGEXEXTRACT(A288, ""angle:(\d+)"")), -1)"),149.0)</f>
        <v>149</v>
      </c>
      <c r="C288" s="5" t="str">
        <f t="shared" si="1"/>
        <v>149</v>
      </c>
      <c r="D288" s="5" t="str">
        <f>IFERROR(__xludf.DUMMYFUNCTION("IFERROR(REGEXEXTRACT(A288, ""x:([-+]?[0-9]*\.?[0-9]+)""), """")"),"+57.65")</f>
        <v>+57.65</v>
      </c>
      <c r="E288" s="5" t="str">
        <f>IFERROR(__xludf.DUMMYFUNCTION("IFERROR(REGEXEXTRACT(A288, ""y:([-+]?[0-9]*\.?[0-9]+)""), """")"),"+95.30")</f>
        <v>+95.30</v>
      </c>
    </row>
    <row r="289">
      <c r="A289" s="3" t="s">
        <v>301</v>
      </c>
      <c r="B289" s="4">
        <f>IFERROR(__xludf.DUMMYFUNCTION("IFERROR(VALUE(REGEXEXTRACT(A289, ""angle:(\d+)"")), -1)"),148.0)</f>
        <v>148</v>
      </c>
      <c r="C289" s="5" t="str">
        <f t="shared" si="1"/>
        <v>148</v>
      </c>
      <c r="D289" s="5" t="str">
        <f>IFERROR(__xludf.DUMMYFUNCTION("IFERROR(REGEXEXTRACT(A289, ""x:([-+]?[0-9]*\.?[0-9]+)""), """")"),"+57.65")</f>
        <v>+57.65</v>
      </c>
      <c r="E289" s="5" t="str">
        <f>IFERROR(__xludf.DUMMYFUNCTION("IFERROR(REGEXEXTRACT(A289, ""y:([-+]?[0-9]*\.?[0-9]+)""), """")"),"+94.51")</f>
        <v>+94.51</v>
      </c>
    </row>
    <row r="290">
      <c r="A290" s="3" t="s">
        <v>302</v>
      </c>
      <c r="B290" s="4">
        <f>IFERROR(__xludf.DUMMYFUNCTION("IFERROR(VALUE(REGEXEXTRACT(A290, ""angle:(\d+)"")), -1)"),147.0)</f>
        <v>147</v>
      </c>
      <c r="C290" s="5" t="str">
        <f t="shared" si="1"/>
        <v>147</v>
      </c>
      <c r="D290" s="5" t="str">
        <f>IFERROR(__xludf.DUMMYFUNCTION("IFERROR(REGEXEXTRACT(A290, ""x:([-+]?[0-9]*\.?[0-9]+)""), """")"),"+60.00")</f>
        <v>+60.00</v>
      </c>
      <c r="E290" s="5" t="str">
        <f>IFERROR(__xludf.DUMMYFUNCTION("IFERROR(REGEXEXTRACT(A290, ""y:([-+]?[0-9]*\.?[0-9]+)""), """")"),"+93.73")</f>
        <v>+93.73</v>
      </c>
    </row>
    <row r="291">
      <c r="A291" s="3" t="s">
        <v>303</v>
      </c>
      <c r="B291" s="4">
        <f>IFERROR(__xludf.DUMMYFUNCTION("IFERROR(VALUE(REGEXEXTRACT(A291, ""angle:(\d+)"")), -1)"),146.0)</f>
        <v>146</v>
      </c>
      <c r="C291" s="5" t="str">
        <f t="shared" si="1"/>
        <v>146</v>
      </c>
      <c r="D291" s="5" t="str">
        <f>IFERROR(__xludf.DUMMYFUNCTION("IFERROR(REGEXEXTRACT(A291, ""x:([-+]?[0-9]*\.?[0-9]+)""), """")"),"+61.57")</f>
        <v>+61.57</v>
      </c>
      <c r="E291" s="5" t="str">
        <f>IFERROR(__xludf.DUMMYFUNCTION("IFERROR(REGEXEXTRACT(A291, ""y:([-+]?[0-9]*\.?[0-9]+)""), """")"),"+92.16")</f>
        <v>+92.16</v>
      </c>
    </row>
    <row r="292">
      <c r="A292" s="3" t="s">
        <v>304</v>
      </c>
      <c r="B292" s="4">
        <f>IFERROR(__xludf.DUMMYFUNCTION("IFERROR(VALUE(REGEXEXTRACT(A292, ""angle:(\d+)"")), -1)"),145.0)</f>
        <v>145</v>
      </c>
      <c r="C292" s="5" t="str">
        <f t="shared" si="1"/>
        <v>145</v>
      </c>
      <c r="D292" s="5" t="str">
        <f>IFERROR(__xludf.DUMMYFUNCTION("IFERROR(REGEXEXTRACT(A292, ""x:([-+]?[0-9]*\.?[0-9]+)""), """")"),"+63.14")</f>
        <v>+63.14</v>
      </c>
      <c r="E292" s="5" t="str">
        <f>IFERROR(__xludf.DUMMYFUNCTION("IFERROR(REGEXEXTRACT(A292, ""y:([-+]?[0-9]*\.?[0-9]+)""), """")"),"+90.59")</f>
        <v>+90.59</v>
      </c>
    </row>
    <row r="293">
      <c r="A293" s="3" t="s">
        <v>305</v>
      </c>
      <c r="B293" s="4">
        <f>IFERROR(__xludf.DUMMYFUNCTION("IFERROR(VALUE(REGEXEXTRACT(A293, ""angle:(\d+)"")), -1)"),144.0)</f>
        <v>144</v>
      </c>
      <c r="C293" s="5" t="str">
        <f t="shared" si="1"/>
        <v>144</v>
      </c>
      <c r="D293" s="5" t="str">
        <f>IFERROR(__xludf.DUMMYFUNCTION("IFERROR(REGEXEXTRACT(A293, ""x:([-+]?[0-9]*\.?[0-9]+)""), """")"),"+64.71")</f>
        <v>+64.71</v>
      </c>
      <c r="E293" s="5" t="str">
        <f>IFERROR(__xludf.DUMMYFUNCTION("IFERROR(REGEXEXTRACT(A293, ""y:([-+]?[0-9]*\.?[0-9]+)""), """")"),"+89.80")</f>
        <v>+89.80</v>
      </c>
    </row>
    <row r="294">
      <c r="A294" s="3" t="s">
        <v>306</v>
      </c>
      <c r="B294" s="4">
        <f>IFERROR(__xludf.DUMMYFUNCTION("IFERROR(VALUE(REGEXEXTRACT(A294, ""angle:(\d+)"")), -1)"),143.0)</f>
        <v>143</v>
      </c>
      <c r="C294" s="5" t="str">
        <f t="shared" si="1"/>
        <v>143</v>
      </c>
      <c r="D294" s="5" t="str">
        <f>IFERROR(__xludf.DUMMYFUNCTION("IFERROR(REGEXEXTRACT(A294, ""x:([-+]?[0-9]*\.?[0-9]+)""), """")"),"+65.49")</f>
        <v>+65.49</v>
      </c>
      <c r="E294" s="5" t="str">
        <f>IFERROR(__xludf.DUMMYFUNCTION("IFERROR(REGEXEXTRACT(A294, ""y:([-+]?[0-9]*\.?[0-9]+)""), """")"),"+88.24")</f>
        <v>+88.24</v>
      </c>
    </row>
    <row r="295">
      <c r="A295" s="3" t="s">
        <v>307</v>
      </c>
      <c r="B295" s="4">
        <f>IFERROR(__xludf.DUMMYFUNCTION("IFERROR(VALUE(REGEXEXTRACT(A295, ""angle:(\d+)"")), -1)"),142.0)</f>
        <v>142</v>
      </c>
      <c r="C295" s="5" t="str">
        <f t="shared" si="1"/>
        <v>142</v>
      </c>
      <c r="D295" s="5" t="str">
        <f>IFERROR(__xludf.DUMMYFUNCTION("IFERROR(REGEXEXTRACT(A295, ""x:([-+]?[0-9]*\.?[0-9]+)""), """")"),"+67.06")</f>
        <v>+67.06</v>
      </c>
      <c r="E295" s="5" t="str">
        <f>IFERROR(__xludf.DUMMYFUNCTION("IFERROR(REGEXEXTRACT(A295, ""y:([-+]?[0-9]*\.?[0-9]+)""), """")"),"+87.45")</f>
        <v>+87.45</v>
      </c>
    </row>
    <row r="296">
      <c r="A296" s="3" t="s">
        <v>308</v>
      </c>
      <c r="B296" s="4">
        <f>IFERROR(__xludf.DUMMYFUNCTION("IFERROR(VALUE(REGEXEXTRACT(A296, ""angle:(\d+)"")), -1)"),141.0)</f>
        <v>141</v>
      </c>
      <c r="C296" s="5" t="str">
        <f t="shared" si="1"/>
        <v>141</v>
      </c>
      <c r="D296" s="5" t="str">
        <f>IFERROR(__xludf.DUMMYFUNCTION("IFERROR(REGEXEXTRACT(A296, ""x:([-+]?[0-9]*\.?[0-9]+)""), """")"),"+69.41")</f>
        <v>+69.41</v>
      </c>
      <c r="E296" s="5" t="str">
        <f>IFERROR(__xludf.DUMMYFUNCTION("IFERROR(REGEXEXTRACT(A296, ""y:([-+]?[0-9]*\.?[0-9]+)""), """")"),"+85.88")</f>
        <v>+85.88</v>
      </c>
    </row>
    <row r="297">
      <c r="A297" s="3" t="s">
        <v>309</v>
      </c>
      <c r="B297" s="4">
        <f>IFERROR(__xludf.DUMMYFUNCTION("IFERROR(VALUE(REGEXEXTRACT(A297, ""angle:(\d+)"")), -1)"),140.0)</f>
        <v>140</v>
      </c>
      <c r="C297" s="5" t="str">
        <f t="shared" si="1"/>
        <v>140</v>
      </c>
      <c r="D297" s="5" t="str">
        <f>IFERROR(__xludf.DUMMYFUNCTION("IFERROR(REGEXEXTRACT(A297, ""x:([-+]?[0-9]*\.?[0-9]+)""), """")"),"+70.20")</f>
        <v>+70.20</v>
      </c>
      <c r="E297" s="5" t="str">
        <f>IFERROR(__xludf.DUMMYFUNCTION("IFERROR(REGEXEXTRACT(A297, ""y:([-+]?[0-9]*\.?[0-9]+)""), """")"),"+85.10")</f>
        <v>+85.10</v>
      </c>
    </row>
    <row r="298">
      <c r="A298" s="3" t="s">
        <v>310</v>
      </c>
      <c r="B298" s="4">
        <f>IFERROR(__xludf.DUMMYFUNCTION("IFERROR(VALUE(REGEXEXTRACT(A298, ""angle:(\d+)"")), -1)"),139.0)</f>
        <v>139</v>
      </c>
      <c r="C298" s="5" t="str">
        <f t="shared" si="1"/>
        <v>139</v>
      </c>
      <c r="D298" s="5" t="str">
        <f>IFERROR(__xludf.DUMMYFUNCTION("IFERROR(REGEXEXTRACT(A298, ""x:([-+]?[0-9]*\.?[0-9]+)""), """")"),"+72.55")</f>
        <v>+72.55</v>
      </c>
      <c r="E298" s="5" t="str">
        <f>IFERROR(__xludf.DUMMYFUNCTION("IFERROR(REGEXEXTRACT(A298, ""y:([-+]?[0-9]*\.?[0-9]+)""), """")"),"+83.53")</f>
        <v>+83.53</v>
      </c>
    </row>
    <row r="299">
      <c r="A299" s="3" t="s">
        <v>311</v>
      </c>
      <c r="B299" s="4">
        <f>IFERROR(__xludf.DUMMYFUNCTION("IFERROR(VALUE(REGEXEXTRACT(A299, ""angle:(\d+)"")), -1)"),138.0)</f>
        <v>138</v>
      </c>
      <c r="C299" s="5" t="str">
        <f t="shared" si="1"/>
        <v>138</v>
      </c>
      <c r="D299" s="5" t="str">
        <f>IFERROR(__xludf.DUMMYFUNCTION("IFERROR(REGEXEXTRACT(A299, ""x:([-+]?[0-9]*\.?[0-9]+)""), """")"),"+74.12")</f>
        <v>+74.12</v>
      </c>
      <c r="E299" s="5" t="str">
        <f>IFERROR(__xludf.DUMMYFUNCTION("IFERROR(REGEXEXTRACT(A299, ""y:([-+]?[0-9]*\.?[0-9]+)""), """")"),"+83.53")</f>
        <v>+83.53</v>
      </c>
    </row>
    <row r="300">
      <c r="A300" s="3" t="s">
        <v>312</v>
      </c>
      <c r="B300" s="4">
        <f>IFERROR(__xludf.DUMMYFUNCTION("IFERROR(VALUE(REGEXEXTRACT(A300, ""angle:(\d+)"")), -1)"),137.0)</f>
        <v>137</v>
      </c>
      <c r="C300" s="5" t="str">
        <f t="shared" si="1"/>
        <v>137</v>
      </c>
      <c r="D300" s="5" t="str">
        <f>IFERROR(__xludf.DUMMYFUNCTION("IFERROR(REGEXEXTRACT(A300, ""x:([-+]?[0-9]*\.?[0-9]+)""), """")"),"+74.90")</f>
        <v>+74.90</v>
      </c>
      <c r="E300" s="5" t="str">
        <f>IFERROR(__xludf.DUMMYFUNCTION("IFERROR(REGEXEXTRACT(A300, ""y:([-+]?[0-9]*\.?[0-9]+)""), """")"),"+81.18")</f>
        <v>+81.18</v>
      </c>
    </row>
    <row r="301">
      <c r="A301" s="3" t="s">
        <v>313</v>
      </c>
      <c r="B301" s="4">
        <f>IFERROR(__xludf.DUMMYFUNCTION("IFERROR(VALUE(REGEXEXTRACT(A301, ""angle:(\d+)"")), -1)"),136.0)</f>
        <v>136</v>
      </c>
      <c r="C301" s="5" t="str">
        <f t="shared" si="1"/>
        <v>136</v>
      </c>
      <c r="D301" s="5" t="str">
        <f>IFERROR(__xludf.DUMMYFUNCTION("IFERROR(REGEXEXTRACT(A301, ""x:([-+]?[0-9]*\.?[0-9]+)""), """")"),"+76.47")</f>
        <v>+76.47</v>
      </c>
      <c r="E301" s="5" t="str">
        <f>IFERROR(__xludf.DUMMYFUNCTION("IFERROR(REGEXEXTRACT(A301, ""y:([-+]?[0-9]*\.?[0-9]+)""), """")"),"+80.39")</f>
        <v>+80.39</v>
      </c>
    </row>
    <row r="302">
      <c r="A302" s="3" t="s">
        <v>314</v>
      </c>
      <c r="B302" s="4">
        <f>IFERROR(__xludf.DUMMYFUNCTION("IFERROR(VALUE(REGEXEXTRACT(A302, ""angle:(\d+)"")), -1)"),135.0)</f>
        <v>135</v>
      </c>
      <c r="C302" s="5" t="str">
        <f t="shared" si="1"/>
        <v>135</v>
      </c>
      <c r="D302" s="5" t="str">
        <f>IFERROR(__xludf.DUMMYFUNCTION("IFERROR(REGEXEXTRACT(A302, ""x:([-+]?[0-9]*\.?[0-9]+)""), """")"),"+78.82")</f>
        <v>+78.82</v>
      </c>
      <c r="E302" s="5" t="str">
        <f>IFERROR(__xludf.DUMMYFUNCTION("IFERROR(REGEXEXTRACT(A302, ""y:([-+]?[0-9]*\.?[0-9]+)""), """")"),"+79.61")</f>
        <v>+79.61</v>
      </c>
    </row>
    <row r="303">
      <c r="A303" s="3" t="s">
        <v>315</v>
      </c>
      <c r="B303" s="4">
        <f>IFERROR(__xludf.DUMMYFUNCTION("IFERROR(VALUE(REGEXEXTRACT(A303, ""angle:(\d+)"")), -1)"),134.0)</f>
        <v>134</v>
      </c>
      <c r="C303" s="5" t="str">
        <f t="shared" si="1"/>
        <v>134</v>
      </c>
      <c r="D303" s="5" t="str">
        <f>IFERROR(__xludf.DUMMYFUNCTION("IFERROR(REGEXEXTRACT(A303, ""x:([-+]?[0-9]*\.?[0-9]+)""), """")"),"+79.61")</f>
        <v>+79.61</v>
      </c>
      <c r="E303" s="5" t="str">
        <f>IFERROR(__xludf.DUMMYFUNCTION("IFERROR(REGEXEXTRACT(A303, ""y:([-+]?[0-9]*\.?[0-9]+)""), """")"),"+78.04")</f>
        <v>+78.04</v>
      </c>
    </row>
    <row r="304">
      <c r="A304" s="3" t="s">
        <v>316</v>
      </c>
      <c r="B304" s="4">
        <f>IFERROR(__xludf.DUMMYFUNCTION("IFERROR(VALUE(REGEXEXTRACT(A304, ""angle:(\d+)"")), -1)"),133.0)</f>
        <v>133</v>
      </c>
      <c r="C304" s="5" t="str">
        <f t="shared" si="1"/>
        <v>133</v>
      </c>
      <c r="D304" s="5" t="str">
        <f>IFERROR(__xludf.DUMMYFUNCTION("IFERROR(REGEXEXTRACT(A304, ""x:([-+]?[0-9]*\.?[0-9]+)""), """")"),"+80.39")</f>
        <v>+80.39</v>
      </c>
      <c r="E304" s="5" t="str">
        <f>IFERROR(__xludf.DUMMYFUNCTION("IFERROR(REGEXEXTRACT(A304, ""y:([-+]?[0-9]*\.?[0-9]+)""), """")"),"+75.69")</f>
        <v>+75.69</v>
      </c>
    </row>
    <row r="305">
      <c r="A305" s="3" t="s">
        <v>317</v>
      </c>
      <c r="B305" s="4">
        <f>IFERROR(__xludf.DUMMYFUNCTION("IFERROR(VALUE(REGEXEXTRACT(A305, ""angle:(\d+)"")), -1)"),132.0)</f>
        <v>132</v>
      </c>
      <c r="C305" s="5" t="str">
        <f t="shared" si="1"/>
        <v>132</v>
      </c>
      <c r="D305" s="5" t="str">
        <f>IFERROR(__xludf.DUMMYFUNCTION("IFERROR(REGEXEXTRACT(A305, ""x:([-+]?[0-9]*\.?[0-9]+)""), """")"),"+81.96")</f>
        <v>+81.96</v>
      </c>
      <c r="E305" s="5" t="str">
        <f>IFERROR(__xludf.DUMMYFUNCTION("IFERROR(REGEXEXTRACT(A305, ""y:([-+]?[0-9]*\.?[0-9]+)""), """")"),"+74.90")</f>
        <v>+74.90</v>
      </c>
    </row>
    <row r="306">
      <c r="A306" s="3" t="s">
        <v>318</v>
      </c>
      <c r="B306" s="4">
        <f>IFERROR(__xludf.DUMMYFUNCTION("IFERROR(VALUE(REGEXEXTRACT(A306, ""angle:(\d+)"")), -1)"),131.0)</f>
        <v>131</v>
      </c>
      <c r="C306" s="5" t="str">
        <f t="shared" si="1"/>
        <v>131</v>
      </c>
      <c r="D306" s="5" t="str">
        <f>IFERROR(__xludf.DUMMYFUNCTION("IFERROR(REGEXEXTRACT(A306, ""x:([-+]?[0-9]*\.?[0-9]+)""), """")"),"+83.53")</f>
        <v>+83.53</v>
      </c>
      <c r="E306" s="5" t="str">
        <f>IFERROR(__xludf.DUMMYFUNCTION("IFERROR(REGEXEXTRACT(A306, ""y:([-+]?[0-9]*\.?[0-9]+)""), """")"),"+73.33")</f>
        <v>+73.33</v>
      </c>
    </row>
    <row r="307">
      <c r="A307" s="3" t="s">
        <v>319</v>
      </c>
      <c r="B307" s="4">
        <f>IFERROR(__xludf.DUMMYFUNCTION("IFERROR(VALUE(REGEXEXTRACT(A307, ""angle:(\d+)"")), -1)"),130.0)</f>
        <v>130</v>
      </c>
      <c r="C307" s="5" t="str">
        <f t="shared" si="1"/>
        <v>130</v>
      </c>
      <c r="D307" s="5" t="str">
        <f>IFERROR(__xludf.DUMMYFUNCTION("IFERROR(REGEXEXTRACT(A307, ""x:([-+]?[0-9]*\.?[0-9]+)""), """")"),"+84.31")</f>
        <v>+84.31</v>
      </c>
      <c r="E307" s="5" t="str">
        <f>IFERROR(__xludf.DUMMYFUNCTION("IFERROR(REGEXEXTRACT(A307, ""y:([-+]?[0-9]*\.?[0-9]+)""), """")"),"+71.77")</f>
        <v>+71.77</v>
      </c>
    </row>
    <row r="308">
      <c r="A308" s="3" t="s">
        <v>320</v>
      </c>
      <c r="B308" s="4">
        <f>IFERROR(__xludf.DUMMYFUNCTION("IFERROR(VALUE(REGEXEXTRACT(A308, ""angle:(\d+)"")), -1)"),129.0)</f>
        <v>129</v>
      </c>
      <c r="C308" s="5" t="str">
        <f t="shared" si="1"/>
        <v>129</v>
      </c>
      <c r="D308" s="5" t="str">
        <f>IFERROR(__xludf.DUMMYFUNCTION("IFERROR(REGEXEXTRACT(A308, ""x:([-+]?[0-9]*\.?[0-9]+)""), """")"),"+84.31")</f>
        <v>+84.31</v>
      </c>
      <c r="E308" s="5" t="str">
        <f>IFERROR(__xludf.DUMMYFUNCTION("IFERROR(REGEXEXTRACT(A308, ""y:([-+]?[0-9]*\.?[0-9]+)""), """")"),"+68.63")</f>
        <v>+68.63</v>
      </c>
    </row>
    <row r="309">
      <c r="A309" s="3" t="s">
        <v>321</v>
      </c>
      <c r="B309" s="4">
        <f>IFERROR(__xludf.DUMMYFUNCTION("IFERROR(VALUE(REGEXEXTRACT(A309, ""angle:(\d+)"")), -1)"),128.0)</f>
        <v>128</v>
      </c>
      <c r="C309" s="5" t="str">
        <f t="shared" si="1"/>
        <v>128</v>
      </c>
      <c r="D309" s="5" t="str">
        <f>IFERROR(__xludf.DUMMYFUNCTION("IFERROR(REGEXEXTRACT(A309, ""x:([-+]?[0-9]*\.?[0-9]+)""), """")"),"+87.45")</f>
        <v>+87.45</v>
      </c>
      <c r="E309" s="5" t="str">
        <f>IFERROR(__xludf.DUMMYFUNCTION("IFERROR(REGEXEXTRACT(A309, ""y:([-+]?[0-9]*\.?[0-9]+)""), """")"),"+67.06")</f>
        <v>+67.06</v>
      </c>
    </row>
    <row r="310">
      <c r="A310" s="3" t="s">
        <v>322</v>
      </c>
      <c r="B310" s="4">
        <f>IFERROR(__xludf.DUMMYFUNCTION("IFERROR(VALUE(REGEXEXTRACT(A310, ""angle:(\d+)"")), -1)"),127.0)</f>
        <v>127</v>
      </c>
      <c r="C310" s="5" t="str">
        <f t="shared" si="1"/>
        <v>127</v>
      </c>
      <c r="D310" s="5" t="str">
        <f>IFERROR(__xludf.DUMMYFUNCTION("IFERROR(REGEXEXTRACT(A310, ""x:([-+]?[0-9]*\.?[0-9]+)""), """")"),"+87.45")</f>
        <v>+87.45</v>
      </c>
      <c r="E310" s="5" t="str">
        <f>IFERROR(__xludf.DUMMYFUNCTION("IFERROR(REGEXEXTRACT(A310, ""y:([-+]?[0-9]*\.?[0-9]+)""), """")"),"+66.28")</f>
        <v>+66.28</v>
      </c>
    </row>
    <row r="311">
      <c r="A311" s="3" t="s">
        <v>323</v>
      </c>
      <c r="B311" s="4">
        <f>IFERROR(__xludf.DUMMYFUNCTION("IFERROR(VALUE(REGEXEXTRACT(A311, ""angle:(\d+)"")), -1)"),126.0)</f>
        <v>126</v>
      </c>
      <c r="C311" s="5" t="str">
        <f t="shared" si="1"/>
        <v>126</v>
      </c>
      <c r="D311" s="5" t="str">
        <f>IFERROR(__xludf.DUMMYFUNCTION("IFERROR(REGEXEXTRACT(A311, ""x:([-+]?[0-9]*\.?[0-9]+)""), """")"),"+89.02")</f>
        <v>+89.02</v>
      </c>
      <c r="E311" s="5" t="str">
        <f>IFERROR(__xludf.DUMMYFUNCTION("IFERROR(REGEXEXTRACT(A311, ""y:([-+]?[0-9]*\.?[0-9]+)""), """")"),"+65.49")</f>
        <v>+65.49</v>
      </c>
    </row>
    <row r="312">
      <c r="A312" s="3" t="s">
        <v>324</v>
      </c>
      <c r="B312" s="4">
        <f>IFERROR(__xludf.DUMMYFUNCTION("IFERROR(VALUE(REGEXEXTRACT(A312, ""angle:(\d+)"")), -1)"),125.0)</f>
        <v>125</v>
      </c>
      <c r="C312" s="5" t="str">
        <f t="shared" si="1"/>
        <v>125</v>
      </c>
      <c r="D312" s="5" t="str">
        <f>IFERROR(__xludf.DUMMYFUNCTION("IFERROR(REGEXEXTRACT(A312, ""x:([-+]?[0-9]*\.?[0-9]+)""), """")"),"+89.80")</f>
        <v>+89.80</v>
      </c>
      <c r="E312" s="5" t="str">
        <f>IFERROR(__xludf.DUMMYFUNCTION("IFERROR(REGEXEXTRACT(A312, ""y:([-+]?[0-9]*\.?[0-9]+)""), """")"),"+63.14")</f>
        <v>+63.14</v>
      </c>
    </row>
    <row r="313">
      <c r="A313" s="3" t="s">
        <v>325</v>
      </c>
      <c r="B313" s="4">
        <f>IFERROR(__xludf.DUMMYFUNCTION("IFERROR(VALUE(REGEXEXTRACT(A313, ""angle:(\d+)"")), -1)"),124.0)</f>
        <v>124</v>
      </c>
      <c r="C313" s="5" t="str">
        <f t="shared" si="1"/>
        <v>124</v>
      </c>
      <c r="D313" s="5" t="str">
        <f>IFERROR(__xludf.DUMMYFUNCTION("IFERROR(REGEXEXTRACT(A313, ""x:([-+]?[0-9]*\.?[0-9]+)""), """")"),"+89.80")</f>
        <v>+89.80</v>
      </c>
      <c r="E313" s="5" t="str">
        <f>IFERROR(__xludf.DUMMYFUNCTION("IFERROR(REGEXEXTRACT(A313, ""y:([-+]?[0-9]*\.?[0-9]+)""), """")"),"+60.79")</f>
        <v>+60.79</v>
      </c>
    </row>
    <row r="314">
      <c r="A314" s="3" t="s">
        <v>326</v>
      </c>
      <c r="B314" s="4">
        <f>IFERROR(__xludf.DUMMYFUNCTION("IFERROR(VALUE(REGEXEXTRACT(A314, ""angle:(\d+)"")), -1)"),123.0)</f>
        <v>123</v>
      </c>
      <c r="C314" s="5" t="str">
        <f t="shared" si="1"/>
        <v>123</v>
      </c>
      <c r="D314" s="5" t="str">
        <f>IFERROR(__xludf.DUMMYFUNCTION("IFERROR(REGEXEXTRACT(A314, ""x:([-+]?[0-9]*\.?[0-9]+)""), """")"),"+90.59")</f>
        <v>+90.59</v>
      </c>
      <c r="E314" s="5" t="str">
        <f>IFERROR(__xludf.DUMMYFUNCTION("IFERROR(REGEXEXTRACT(A314, ""y:([-+]?[0-9]*\.?[0-9]+)""), """")"),"+59.22")</f>
        <v>+59.22</v>
      </c>
    </row>
    <row r="315">
      <c r="A315" s="3" t="s">
        <v>327</v>
      </c>
      <c r="B315" s="4">
        <f>IFERROR(__xludf.DUMMYFUNCTION("IFERROR(VALUE(REGEXEXTRACT(A315, ""angle:(\d+)"")), -1)"),122.0)</f>
        <v>122</v>
      </c>
      <c r="C315" s="5" t="str">
        <f t="shared" si="1"/>
        <v>122</v>
      </c>
      <c r="D315" s="5" t="str">
        <f>IFERROR(__xludf.DUMMYFUNCTION("IFERROR(REGEXEXTRACT(A315, ""x:([-+]?[0-9]*\.?[0-9]+)""), """")"),"+91.37")</f>
        <v>+91.37</v>
      </c>
      <c r="E315" s="5" t="str">
        <f>IFERROR(__xludf.DUMMYFUNCTION("IFERROR(REGEXEXTRACT(A315, ""y:([-+]?[0-9]*\.?[0-9]+)""), """")"),"+57.65")</f>
        <v>+57.65</v>
      </c>
    </row>
    <row r="316">
      <c r="A316" s="3" t="s">
        <v>328</v>
      </c>
      <c r="B316" s="4">
        <f>IFERROR(__xludf.DUMMYFUNCTION("IFERROR(VALUE(REGEXEXTRACT(A316, ""angle:(\d+)"")), -1)"),121.0)</f>
        <v>121</v>
      </c>
      <c r="C316" s="5" t="str">
        <f t="shared" si="1"/>
        <v>121</v>
      </c>
      <c r="D316" s="5" t="str">
        <f>IFERROR(__xludf.DUMMYFUNCTION("IFERROR(REGEXEXTRACT(A316, ""x:([-+]?[0-9]*\.?[0-9]+)""), """")"),"+92.94")</f>
        <v>+92.94</v>
      </c>
      <c r="E316" s="5" t="str">
        <f>IFERROR(__xludf.DUMMYFUNCTION("IFERROR(REGEXEXTRACT(A316, ""y:([-+]?[0-9]*\.?[0-9]+)""), """")"),"+56.08")</f>
        <v>+56.08</v>
      </c>
    </row>
    <row r="317">
      <c r="A317" s="3" t="s">
        <v>329</v>
      </c>
      <c r="B317" s="4">
        <f>IFERROR(__xludf.DUMMYFUNCTION("IFERROR(VALUE(REGEXEXTRACT(A317, ""angle:(\d+)"")), -1)"),120.0)</f>
        <v>120</v>
      </c>
      <c r="C317" s="5" t="str">
        <f t="shared" si="1"/>
        <v>120</v>
      </c>
      <c r="D317" s="5" t="str">
        <f>IFERROR(__xludf.DUMMYFUNCTION("IFERROR(REGEXEXTRACT(A317, ""x:([-+]?[0-9]*\.?[0-9]+)""), """")"),"+93.73")</f>
        <v>+93.73</v>
      </c>
      <c r="E317" s="5" t="str">
        <f>IFERROR(__xludf.DUMMYFUNCTION("IFERROR(REGEXEXTRACT(A317, ""y:([-+]?[0-9]*\.?[0-9]+)""), """")"),"+53.73")</f>
        <v>+53.73</v>
      </c>
    </row>
    <row r="318">
      <c r="A318" s="3" t="s">
        <v>330</v>
      </c>
      <c r="B318" s="4">
        <f>IFERROR(__xludf.DUMMYFUNCTION("IFERROR(VALUE(REGEXEXTRACT(A318, ""angle:(\d+)"")), -1)"),119.0)</f>
        <v>119</v>
      </c>
      <c r="C318" s="5" t="str">
        <f t="shared" si="1"/>
        <v>119</v>
      </c>
      <c r="D318" s="5" t="str">
        <f>IFERROR(__xludf.DUMMYFUNCTION("IFERROR(REGEXEXTRACT(A318, ""x:([-+]?[0-9]*\.?[0-9]+)""), """")"),"+93.73")</f>
        <v>+93.73</v>
      </c>
      <c r="E318" s="5" t="str">
        <f>IFERROR(__xludf.DUMMYFUNCTION("IFERROR(REGEXEXTRACT(A318, ""y:([-+]?[0-9]*\.?[0-9]+)""), """")"),"+51.37")</f>
        <v>+51.37</v>
      </c>
    </row>
    <row r="319">
      <c r="A319" s="3" t="s">
        <v>331</v>
      </c>
      <c r="B319" s="4">
        <f>IFERROR(__xludf.DUMMYFUNCTION("IFERROR(VALUE(REGEXEXTRACT(A319, ""angle:(\d+)"")), -1)"),118.0)</f>
        <v>118</v>
      </c>
      <c r="C319" s="5" t="str">
        <f t="shared" si="1"/>
        <v>118</v>
      </c>
      <c r="D319" s="5" t="str">
        <f>IFERROR(__xludf.DUMMYFUNCTION("IFERROR(REGEXEXTRACT(A319, ""x:([-+]?[0-9]*\.?[0-9]+)""), """")"),"+95.30")</f>
        <v>+95.30</v>
      </c>
      <c r="E319" s="5" t="str">
        <f>IFERROR(__xludf.DUMMYFUNCTION("IFERROR(REGEXEXTRACT(A319, ""y:([-+]?[0-9]*\.?[0-9]+)""), """")"),"+50.59")</f>
        <v>+50.59</v>
      </c>
    </row>
    <row r="320">
      <c r="A320" s="3" t="s">
        <v>332</v>
      </c>
      <c r="B320" s="4">
        <f>IFERROR(__xludf.DUMMYFUNCTION("IFERROR(VALUE(REGEXEXTRACT(A320, ""angle:(\d+)"")), -1)"),117.0)</f>
        <v>117</v>
      </c>
      <c r="C320" s="5" t="str">
        <f t="shared" si="1"/>
        <v>117</v>
      </c>
      <c r="D320" s="5" t="str">
        <f>IFERROR(__xludf.DUMMYFUNCTION("IFERROR(REGEXEXTRACT(A320, ""x:([-+]?[0-9]*\.?[0-9]+)""), """")"),"+96.86")</f>
        <v>+96.86</v>
      </c>
      <c r="E320" s="5" t="str">
        <f>IFERROR(__xludf.DUMMYFUNCTION("IFERROR(REGEXEXTRACT(A320, ""y:([-+]?[0-9]*\.?[0-9]+)""), """")"),"+49.02")</f>
        <v>+49.02</v>
      </c>
    </row>
    <row r="321">
      <c r="A321" s="3" t="s">
        <v>333</v>
      </c>
      <c r="B321" s="4">
        <f>IFERROR(__xludf.DUMMYFUNCTION("IFERROR(VALUE(REGEXEXTRACT(A321, ""angle:(\d+)"")), -1)"),116.0)</f>
        <v>116</v>
      </c>
      <c r="C321" s="5" t="str">
        <f t="shared" si="1"/>
        <v>116</v>
      </c>
      <c r="D321" s="5" t="str">
        <f>IFERROR(__xludf.DUMMYFUNCTION("IFERROR(REGEXEXTRACT(A321, ""x:([-+]?[0-9]*\.?[0-9]+)""), """")"),"+96.86")</f>
        <v>+96.86</v>
      </c>
      <c r="E321" s="5" t="str">
        <f>IFERROR(__xludf.DUMMYFUNCTION("IFERROR(REGEXEXTRACT(A321, ""y:([-+]?[0-9]*\.?[0-9]+)""), """")"),"+47.45")</f>
        <v>+47.45</v>
      </c>
    </row>
    <row r="322">
      <c r="A322" s="3" t="s">
        <v>334</v>
      </c>
      <c r="B322" s="4">
        <f>IFERROR(__xludf.DUMMYFUNCTION("IFERROR(VALUE(REGEXEXTRACT(A322, ""angle:(\d+)"")), -1)"),115.0)</f>
        <v>115</v>
      </c>
      <c r="C322" s="5" t="str">
        <f t="shared" si="1"/>
        <v>115</v>
      </c>
      <c r="D322" s="5" t="str">
        <f>IFERROR(__xludf.DUMMYFUNCTION("IFERROR(REGEXEXTRACT(A322, ""x:([-+]?[0-9]*\.?[0-9]+)""), """")"),"+97.65")</f>
        <v>+97.65</v>
      </c>
      <c r="E322" s="5" t="str">
        <f>IFERROR(__xludf.DUMMYFUNCTION("IFERROR(REGEXEXTRACT(A322, ""y:([-+]?[0-9]*\.?[0-9]+)""), """")"),"+45.88")</f>
        <v>+45.88</v>
      </c>
    </row>
    <row r="323">
      <c r="A323" s="3" t="s">
        <v>335</v>
      </c>
      <c r="B323" s="4">
        <f>IFERROR(__xludf.DUMMYFUNCTION("IFERROR(VALUE(REGEXEXTRACT(A323, ""angle:(\d+)"")), -1)"),114.0)</f>
        <v>114</v>
      </c>
      <c r="C323" s="5" t="str">
        <f t="shared" si="1"/>
        <v>114</v>
      </c>
      <c r="D323" s="5" t="str">
        <f>IFERROR(__xludf.DUMMYFUNCTION("IFERROR(REGEXEXTRACT(A323, ""x:([-+]?[0-9]*\.?[0-9]+)""), """")"),"+97.65")</f>
        <v>+97.65</v>
      </c>
      <c r="E323" s="5" t="str">
        <f>IFERROR(__xludf.DUMMYFUNCTION("IFERROR(REGEXEXTRACT(A323, ""y:([-+]?[0-9]*\.?[0-9]+)""), """")"),"+44.31")</f>
        <v>+44.31</v>
      </c>
    </row>
    <row r="324">
      <c r="A324" s="3" t="s">
        <v>336</v>
      </c>
      <c r="B324" s="4">
        <f>IFERROR(__xludf.DUMMYFUNCTION("IFERROR(VALUE(REGEXEXTRACT(A324, ""angle:(\d+)"")), -1)"),113.0)</f>
        <v>113</v>
      </c>
      <c r="C324" s="5" t="str">
        <f t="shared" si="1"/>
        <v>113</v>
      </c>
      <c r="D324" s="5" t="str">
        <f>IFERROR(__xludf.DUMMYFUNCTION("IFERROR(REGEXEXTRACT(A324, ""x:([-+]?[0-9]*\.?[0-9]+)""), """")"),"+98.43")</f>
        <v>+98.43</v>
      </c>
      <c r="E324" s="5" t="str">
        <f>IFERROR(__xludf.DUMMYFUNCTION("IFERROR(REGEXEXTRACT(A324, ""y:([-+]?[0-9]*\.?[0-9]+)""), """")"),"+41.96")</f>
        <v>+41.96</v>
      </c>
    </row>
    <row r="325">
      <c r="A325" s="3" t="s">
        <v>337</v>
      </c>
      <c r="B325" s="4">
        <f>IFERROR(__xludf.DUMMYFUNCTION("IFERROR(VALUE(REGEXEXTRACT(A325, ""angle:(\d+)"")), -1)"),112.0)</f>
        <v>112</v>
      </c>
      <c r="C325" s="5" t="str">
        <f t="shared" si="1"/>
        <v>112</v>
      </c>
      <c r="D325" s="5" t="str">
        <f>IFERROR(__xludf.DUMMYFUNCTION("IFERROR(REGEXEXTRACT(A325, ""x:([-+]?[0-9]*\.?[0-9]+)""), """")"),"+99.22")</f>
        <v>+99.22</v>
      </c>
      <c r="E325" s="5" t="str">
        <f>IFERROR(__xludf.DUMMYFUNCTION("IFERROR(REGEXEXTRACT(A325, ""y:([-+]?[0-9]*\.?[0-9]+)""), """")"),"+40.39")</f>
        <v>+40.39</v>
      </c>
    </row>
    <row r="326">
      <c r="A326" s="3" t="s">
        <v>338</v>
      </c>
      <c r="B326" s="4">
        <f>IFERROR(__xludf.DUMMYFUNCTION("IFERROR(VALUE(REGEXEXTRACT(A326, ""angle:(\d+)"")), -1)"),111.0)</f>
        <v>111</v>
      </c>
      <c r="C326" s="5" t="str">
        <f t="shared" si="1"/>
        <v>111</v>
      </c>
      <c r="D326" s="5" t="str">
        <f>IFERROR(__xludf.DUMMYFUNCTION("IFERROR(REGEXEXTRACT(A326, ""x:([-+]?[0-9]*\.?[0-9]+)""), """")"),"+99.22")</f>
        <v>+99.22</v>
      </c>
      <c r="E326" s="5" t="str">
        <f>IFERROR(__xludf.DUMMYFUNCTION("IFERROR(REGEXEXTRACT(A326, ""y:([-+]?[0-9]*\.?[0-9]+)""), """")"),"+38.82")</f>
        <v>+38.82</v>
      </c>
    </row>
    <row r="327">
      <c r="A327" s="3" t="s">
        <v>339</v>
      </c>
      <c r="B327" s="4">
        <f>IFERROR(__xludf.DUMMYFUNCTION("IFERROR(VALUE(REGEXEXTRACT(A327, ""angle:(\d+)"")), -1)"),109.0)</f>
        <v>109</v>
      </c>
      <c r="C327" s="5" t="str">
        <f t="shared" si="1"/>
        <v>109</v>
      </c>
      <c r="D327" s="5" t="str">
        <f>IFERROR(__xludf.DUMMYFUNCTION("IFERROR(REGEXEXTRACT(A327, ""x:([-+]?[0-9]*\.?[0-9]+)""), """")"),"+99.22")</f>
        <v>+99.22</v>
      </c>
      <c r="E327" s="5" t="str">
        <f>IFERROR(__xludf.DUMMYFUNCTION("IFERROR(REGEXEXTRACT(A327, ""y:([-+]?[0-9]*\.?[0-9]+)""), """")"),"+34.90")</f>
        <v>+34.90</v>
      </c>
    </row>
    <row r="328">
      <c r="A328" s="3" t="s">
        <v>340</v>
      </c>
      <c r="B328" s="4">
        <f>IFERROR(__xludf.DUMMYFUNCTION("IFERROR(VALUE(REGEXEXTRACT(A328, ""angle:(\d+)"")), -1)"),108.0)</f>
        <v>108</v>
      </c>
      <c r="C328" s="5" t="str">
        <f t="shared" si="1"/>
        <v>108</v>
      </c>
      <c r="D328" s="5" t="str">
        <f>IFERROR(__xludf.DUMMYFUNCTION("IFERROR(REGEXEXTRACT(A328, ""x:([-+]?[0-9]*\.?[0-9]+)""), """")"),"+99.22")</f>
        <v>+99.22</v>
      </c>
      <c r="E328" s="5" t="str">
        <f>IFERROR(__xludf.DUMMYFUNCTION("IFERROR(REGEXEXTRACT(A328, ""y:([-+]?[0-9]*\.?[0-9]+)""), """")"),"+33.33")</f>
        <v>+33.33</v>
      </c>
    </row>
    <row r="329">
      <c r="A329" s="3" t="s">
        <v>341</v>
      </c>
      <c r="B329" s="4">
        <f>IFERROR(__xludf.DUMMYFUNCTION("IFERROR(VALUE(REGEXEXTRACT(A329, ""angle:(\d+)"")), -1)"),107.0)</f>
        <v>107</v>
      </c>
      <c r="C329" s="5" t="str">
        <f t="shared" si="1"/>
        <v>107</v>
      </c>
      <c r="D329" s="5" t="str">
        <f>IFERROR(__xludf.DUMMYFUNCTION("IFERROR(REGEXEXTRACT(A329, ""x:([-+]?[0-9]*\.?[0-9]+)""), """")"),"+100.00")</f>
        <v>+100.00</v>
      </c>
      <c r="E329" s="5" t="str">
        <f>IFERROR(__xludf.DUMMYFUNCTION("IFERROR(REGEXEXTRACT(A329, ""y:([-+]?[0-9]*\.?[0-9]+)""), """")"),"+31.77")</f>
        <v>+31.77</v>
      </c>
    </row>
    <row r="330">
      <c r="A330" s="3" t="s">
        <v>342</v>
      </c>
      <c r="B330" s="4">
        <f>IFERROR(__xludf.DUMMYFUNCTION("IFERROR(VALUE(REGEXEXTRACT(A330, ""angle:(\d+)"")), -1)"),106.0)</f>
        <v>106</v>
      </c>
      <c r="C330" s="5" t="str">
        <f t="shared" si="1"/>
        <v>106</v>
      </c>
      <c r="D330" s="5" t="str">
        <f>IFERROR(__xludf.DUMMYFUNCTION("IFERROR(REGEXEXTRACT(A330, ""x:([-+]?[0-9]*\.?[0-9]+)""), """")"),"+100.00")</f>
        <v>+100.00</v>
      </c>
      <c r="E330" s="5" t="str">
        <f>IFERROR(__xludf.DUMMYFUNCTION("IFERROR(REGEXEXTRACT(A330, ""y:([-+]?[0-9]*\.?[0-9]+)""), """")"),"+29.41")</f>
        <v>+29.41</v>
      </c>
    </row>
    <row r="331">
      <c r="A331" s="3" t="s">
        <v>343</v>
      </c>
      <c r="B331" s="4">
        <f>IFERROR(__xludf.DUMMYFUNCTION("IFERROR(VALUE(REGEXEXTRACT(A331, ""angle:(\d+)"")), -1)"),105.0)</f>
        <v>105</v>
      </c>
      <c r="C331" s="5" t="str">
        <f t="shared" si="1"/>
        <v>105</v>
      </c>
      <c r="D331" s="5" t="str">
        <f>IFERROR(__xludf.DUMMYFUNCTION("IFERROR(REGEXEXTRACT(A331, ""x:([-+]?[0-9]*\.?[0-9]+)""), """")"),"+100.00")</f>
        <v>+100.00</v>
      </c>
      <c r="E331" s="5" t="str">
        <f>IFERROR(__xludf.DUMMYFUNCTION("IFERROR(REGEXEXTRACT(A331, ""y:([-+]?[0-9]*\.?[0-9]+)""), """")"),"+27.84")</f>
        <v>+27.84</v>
      </c>
    </row>
    <row r="332">
      <c r="A332" s="3" t="s">
        <v>344</v>
      </c>
      <c r="B332" s="4">
        <f>IFERROR(__xludf.DUMMYFUNCTION("IFERROR(VALUE(REGEXEXTRACT(A332, ""angle:(\d+)"")), -1)"),104.0)</f>
        <v>104</v>
      </c>
      <c r="C332" s="5" t="str">
        <f t="shared" si="1"/>
        <v>104</v>
      </c>
      <c r="D332" s="5" t="str">
        <f>IFERROR(__xludf.DUMMYFUNCTION("IFERROR(REGEXEXTRACT(A332, ""x:([-+]?[0-9]*\.?[0-9]+)""), """")"),"+100.00")</f>
        <v>+100.00</v>
      </c>
      <c r="E332" s="5" t="str">
        <f>IFERROR(__xludf.DUMMYFUNCTION("IFERROR(REGEXEXTRACT(A332, ""y:([-+]?[0-9]*\.?[0-9]+)""), """")"),"+26.28")</f>
        <v>+26.28</v>
      </c>
    </row>
    <row r="333">
      <c r="A333" s="3" t="s">
        <v>345</v>
      </c>
      <c r="B333" s="4">
        <f>IFERROR(__xludf.DUMMYFUNCTION("IFERROR(VALUE(REGEXEXTRACT(A333, ""angle:(\d+)"")), -1)"),103.0)</f>
        <v>103</v>
      </c>
      <c r="C333" s="5" t="str">
        <f t="shared" si="1"/>
        <v>103</v>
      </c>
      <c r="D333" s="5" t="str">
        <f>IFERROR(__xludf.DUMMYFUNCTION("IFERROR(REGEXEXTRACT(A333, ""x:([-+]?[0-9]*\.?[0-9]+)""), """")"),"+100.00")</f>
        <v>+100.00</v>
      </c>
      <c r="E333" s="5" t="str">
        <f>IFERROR(__xludf.DUMMYFUNCTION("IFERROR(REGEXEXTRACT(A333, ""y:([-+]?[0-9]*\.?[0-9]+)""), """")"),"+23.14")</f>
        <v>+23.14</v>
      </c>
    </row>
    <row r="334">
      <c r="A334" s="3" t="s">
        <v>346</v>
      </c>
      <c r="B334" s="4">
        <f>IFERROR(__xludf.DUMMYFUNCTION("IFERROR(VALUE(REGEXEXTRACT(A334, ""angle:(\d+)"")), -1)"),102.0)</f>
        <v>102</v>
      </c>
      <c r="C334" s="5" t="str">
        <f t="shared" si="1"/>
        <v>102</v>
      </c>
      <c r="D334" s="5" t="str">
        <f>IFERROR(__xludf.DUMMYFUNCTION("IFERROR(REGEXEXTRACT(A334, ""x:([-+]?[0-9]*\.?[0-9]+)""), """")"),"+100.00")</f>
        <v>+100.00</v>
      </c>
      <c r="E334" s="5" t="str">
        <f>IFERROR(__xludf.DUMMYFUNCTION("IFERROR(REGEXEXTRACT(A334, ""y:([-+]?[0-9]*\.?[0-9]+)""), """")"),"+22.35")</f>
        <v>+22.35</v>
      </c>
    </row>
    <row r="335">
      <c r="A335" s="3" t="s">
        <v>347</v>
      </c>
      <c r="B335" s="4">
        <f>IFERROR(__xludf.DUMMYFUNCTION("IFERROR(VALUE(REGEXEXTRACT(A335, ""angle:(\d+)"")), -1)"),101.0)</f>
        <v>101</v>
      </c>
      <c r="C335" s="5" t="str">
        <f t="shared" si="1"/>
        <v>101</v>
      </c>
      <c r="D335" s="5" t="str">
        <f>IFERROR(__xludf.DUMMYFUNCTION("IFERROR(REGEXEXTRACT(A335, ""x:([-+]?[0-9]*\.?[0-9]+)""), """")"),"+100.00")</f>
        <v>+100.00</v>
      </c>
      <c r="E335" s="5" t="str">
        <f>IFERROR(__xludf.DUMMYFUNCTION("IFERROR(REGEXEXTRACT(A335, ""y:([-+]?[0-9]*\.?[0-9]+)""), """")"),"+20.78")</f>
        <v>+20.78</v>
      </c>
    </row>
    <row r="336">
      <c r="A336" s="3" t="s">
        <v>348</v>
      </c>
      <c r="B336" s="4">
        <f>IFERROR(__xludf.DUMMYFUNCTION("IFERROR(VALUE(REGEXEXTRACT(A336, ""angle:(\d+)"")), -1)"),100.0)</f>
        <v>100</v>
      </c>
      <c r="C336" s="5" t="str">
        <f t="shared" si="1"/>
        <v>100</v>
      </c>
      <c r="D336" s="5" t="str">
        <f>IFERROR(__xludf.DUMMYFUNCTION("IFERROR(REGEXEXTRACT(A336, ""x:([-+]?[0-9]*\.?[0-9]+)""), """")"),"+100.00")</f>
        <v>+100.00</v>
      </c>
      <c r="E336" s="5" t="str">
        <f>IFERROR(__xludf.DUMMYFUNCTION("IFERROR(REGEXEXTRACT(A336, ""y:([-+]?[0-9]*\.?[0-9]+)""), """")"),"+19.22")</f>
        <v>+19.22</v>
      </c>
    </row>
    <row r="337">
      <c r="A337" s="3" t="s">
        <v>349</v>
      </c>
      <c r="B337" s="4">
        <f>IFERROR(__xludf.DUMMYFUNCTION("IFERROR(VALUE(REGEXEXTRACT(A337, ""angle:(\d+)"")), -1)"),99.0)</f>
        <v>99</v>
      </c>
      <c r="C337" s="5" t="str">
        <f t="shared" si="1"/>
        <v>099</v>
      </c>
      <c r="D337" s="5" t="str">
        <f>IFERROR(__xludf.DUMMYFUNCTION("IFERROR(REGEXEXTRACT(A337, ""x:([-+]?[0-9]*\.?[0-9]+)""), """")"),"+100.00")</f>
        <v>+100.00</v>
      </c>
      <c r="E337" s="5" t="str">
        <f>IFERROR(__xludf.DUMMYFUNCTION("IFERROR(REGEXEXTRACT(A337, ""y:([-+]?[0-9]*\.?[0-9]+)""), """")"),"+17.65")</f>
        <v>+17.65</v>
      </c>
    </row>
    <row r="338">
      <c r="A338" s="3" t="s">
        <v>350</v>
      </c>
      <c r="B338" s="4">
        <f>IFERROR(__xludf.DUMMYFUNCTION("IFERROR(VALUE(REGEXEXTRACT(A338, ""angle:(\d+)"")), -1)"),98.0)</f>
        <v>98</v>
      </c>
      <c r="C338" s="5" t="str">
        <f t="shared" si="1"/>
        <v>098</v>
      </c>
      <c r="D338" s="5" t="str">
        <f>IFERROR(__xludf.DUMMYFUNCTION("IFERROR(REGEXEXTRACT(A338, ""x:([-+]?[0-9]*\.?[0-9]+)""), """")"),"+100.00")</f>
        <v>+100.00</v>
      </c>
      <c r="E338" s="5" t="str">
        <f>IFERROR(__xludf.DUMMYFUNCTION("IFERROR(REGEXEXTRACT(A338, ""y:([-+]?[0-9]*\.?[0-9]+)""), """")"),"+15.29")</f>
        <v>+15.29</v>
      </c>
    </row>
    <row r="339">
      <c r="A339" s="3" t="s">
        <v>351</v>
      </c>
      <c r="B339" s="4">
        <f>IFERROR(__xludf.DUMMYFUNCTION("IFERROR(VALUE(REGEXEXTRACT(A339, ""angle:(\d+)"")), -1)"),97.0)</f>
        <v>97</v>
      </c>
      <c r="C339" s="5" t="str">
        <f t="shared" si="1"/>
        <v>097</v>
      </c>
      <c r="D339" s="5" t="str">
        <f>IFERROR(__xludf.DUMMYFUNCTION("IFERROR(REGEXEXTRACT(A339, ""x:([-+]?[0-9]*\.?[0-9]+)""), """")"),"+100.00")</f>
        <v>+100.00</v>
      </c>
      <c r="E339" s="5" t="str">
        <f>IFERROR(__xludf.DUMMYFUNCTION("IFERROR(REGEXEXTRACT(A339, ""y:([-+]?[0-9]*\.?[0-9]+)""), """")"),"+13.73")</f>
        <v>+13.73</v>
      </c>
    </row>
    <row r="340">
      <c r="A340" s="3" t="s">
        <v>352</v>
      </c>
      <c r="B340" s="4">
        <f>IFERROR(__xludf.DUMMYFUNCTION("IFERROR(VALUE(REGEXEXTRACT(A340, ""angle:(\d+)"")), -1)"),96.0)</f>
        <v>96</v>
      </c>
      <c r="C340" s="5" t="str">
        <f t="shared" si="1"/>
        <v>096</v>
      </c>
      <c r="D340" s="5" t="str">
        <f>IFERROR(__xludf.DUMMYFUNCTION("IFERROR(REGEXEXTRACT(A340, ""x:([-+]?[0-9]*\.?[0-9]+)""), """")"),"+100.00")</f>
        <v>+100.00</v>
      </c>
      <c r="E340" s="5" t="str">
        <f>IFERROR(__xludf.DUMMYFUNCTION("IFERROR(REGEXEXTRACT(A340, ""y:([-+]?[0-9]*\.?[0-9]+)""), """")"),"+12.16")</f>
        <v>+12.16</v>
      </c>
    </row>
    <row r="341">
      <c r="A341" s="3" t="s">
        <v>353</v>
      </c>
      <c r="B341" s="4">
        <f>IFERROR(__xludf.DUMMYFUNCTION("IFERROR(VALUE(REGEXEXTRACT(A341, ""angle:(\d+)"")), -1)"),95.0)</f>
        <v>95</v>
      </c>
      <c r="C341" s="5" t="str">
        <f t="shared" si="1"/>
        <v>095</v>
      </c>
      <c r="D341" s="5" t="str">
        <f>IFERROR(__xludf.DUMMYFUNCTION("IFERROR(REGEXEXTRACT(A341, ""x:([-+]?[0-9]*\.?[0-9]+)""), """")"),"+100.00")</f>
        <v>+100.00</v>
      </c>
      <c r="E341" s="5" t="str">
        <f>IFERROR(__xludf.DUMMYFUNCTION("IFERROR(REGEXEXTRACT(A341, ""y:([-+]?[0-9]*\.?[0-9]+)""), """")"),"+10.59")</f>
        <v>+10.59</v>
      </c>
    </row>
    <row r="342">
      <c r="A342" s="3" t="s">
        <v>354</v>
      </c>
      <c r="B342" s="4">
        <f>IFERROR(__xludf.DUMMYFUNCTION("IFERROR(VALUE(REGEXEXTRACT(A342, ""angle:(\d+)"")), -1)"),94.0)</f>
        <v>94</v>
      </c>
      <c r="C342" s="5" t="str">
        <f t="shared" si="1"/>
        <v>094</v>
      </c>
      <c r="D342" s="5" t="str">
        <f>IFERROR(__xludf.DUMMYFUNCTION("IFERROR(REGEXEXTRACT(A342, ""x:([-+]?[0-9]*\.?[0-9]+)""), """")"),"+100.00")</f>
        <v>+100.00</v>
      </c>
      <c r="E342" s="5" t="str">
        <f>IFERROR(__xludf.DUMMYFUNCTION("IFERROR(REGEXEXTRACT(A342, ""y:([-+]?[0-9]*\.?[0-9]+)""), """")"),"+8.24")</f>
        <v>+8.24</v>
      </c>
    </row>
    <row r="343">
      <c r="A343" s="3" t="s">
        <v>355</v>
      </c>
      <c r="B343" s="4">
        <f>IFERROR(__xludf.DUMMYFUNCTION("IFERROR(VALUE(REGEXEXTRACT(A343, ""angle:(\d+)"")), -1)"),93.0)</f>
        <v>93</v>
      </c>
      <c r="C343" s="5" t="str">
        <f t="shared" si="1"/>
        <v>093</v>
      </c>
      <c r="D343" s="5" t="str">
        <f>IFERROR(__xludf.DUMMYFUNCTION("IFERROR(REGEXEXTRACT(A343, ""x:([-+]?[0-9]*\.?[0-9]+)""), """")"),"+100.00")</f>
        <v>+100.00</v>
      </c>
      <c r="E343" s="5" t="str">
        <f>IFERROR(__xludf.DUMMYFUNCTION("IFERROR(REGEXEXTRACT(A343, ""y:([-+]?[0-9]*\.?[0-9]+)""), """")"),"+6.67")</f>
        <v>+6.67</v>
      </c>
    </row>
    <row r="344">
      <c r="A344" s="3" t="s">
        <v>356</v>
      </c>
      <c r="B344" s="4">
        <f>IFERROR(__xludf.DUMMYFUNCTION("IFERROR(VALUE(REGEXEXTRACT(A344, ""angle:(\d+)"")), -1)"),92.0)</f>
        <v>92</v>
      </c>
      <c r="C344" s="5" t="str">
        <f t="shared" si="1"/>
        <v>092</v>
      </c>
      <c r="D344" s="5" t="str">
        <f>IFERROR(__xludf.DUMMYFUNCTION("IFERROR(REGEXEXTRACT(A344, ""x:([-+]?[0-9]*\.?[0-9]+)""), """")"),"+100.00")</f>
        <v>+100.00</v>
      </c>
      <c r="E344" s="5" t="str">
        <f>IFERROR(__xludf.DUMMYFUNCTION("IFERROR(REGEXEXTRACT(A344, ""y:([-+]?[0-9]*\.?[0-9]+)""), """")"),"+5.10")</f>
        <v>+5.10</v>
      </c>
    </row>
    <row r="345">
      <c r="A345" s="3" t="s">
        <v>357</v>
      </c>
      <c r="B345" s="4">
        <f>IFERROR(__xludf.DUMMYFUNCTION("IFERROR(VALUE(REGEXEXTRACT(A345, ""angle:(\d+)"")), -1)"),91.0)</f>
        <v>91</v>
      </c>
      <c r="C345" s="5" t="str">
        <f t="shared" si="1"/>
        <v>091</v>
      </c>
      <c r="D345" s="5" t="str">
        <f>IFERROR(__xludf.DUMMYFUNCTION("IFERROR(REGEXEXTRACT(A345, ""x:([-+]?[0-9]*\.?[0-9]+)""), """")"),"+100.00")</f>
        <v>+100.00</v>
      </c>
      <c r="E345" s="5" t="str">
        <f>IFERROR(__xludf.DUMMYFUNCTION("IFERROR(REGEXEXTRACT(A345, ""y:([-+]?[0-9]*\.?[0-9]+)""), """")"),"+2.75")</f>
        <v>+2.75</v>
      </c>
    </row>
    <row r="346">
      <c r="A346" s="3" t="s">
        <v>358</v>
      </c>
      <c r="B346" s="4">
        <f>IFERROR(__xludf.DUMMYFUNCTION("IFERROR(VALUE(REGEXEXTRACT(A346, ""angle:(\d+)"")), -1)"),90.0)</f>
        <v>90</v>
      </c>
      <c r="C346" s="5" t="str">
        <f t="shared" si="1"/>
        <v>090</v>
      </c>
      <c r="D346" s="5" t="str">
        <f>IFERROR(__xludf.DUMMYFUNCTION("IFERROR(REGEXEXTRACT(A346, ""x:([-+]?[0-9]*\.?[0-9]+)""), """")"),"+100.00")</f>
        <v>+100.00</v>
      </c>
      <c r="E346" s="5" t="str">
        <f>IFERROR(__xludf.DUMMYFUNCTION("IFERROR(REGEXEXTRACT(A346, ""y:([-+]?[0-9]*\.?[0-9]+)""), """")"),"+0.39")</f>
        <v>+0.39</v>
      </c>
    </row>
    <row r="347">
      <c r="A347" s="3" t="s">
        <v>359</v>
      </c>
      <c r="B347" s="4">
        <f>IFERROR(__xludf.DUMMYFUNCTION("IFERROR(VALUE(REGEXEXTRACT(A347, ""angle:(\d+)"")), -1)"),89.0)</f>
        <v>89</v>
      </c>
      <c r="C347" s="5" t="str">
        <f t="shared" si="1"/>
        <v>089</v>
      </c>
      <c r="D347" s="5" t="str">
        <f>IFERROR(__xludf.DUMMYFUNCTION("IFERROR(REGEXEXTRACT(A347, ""x:([-+]?[0-9]*\.?[0-9]+)""), """")"),"+100.00")</f>
        <v>+100.00</v>
      </c>
      <c r="E347" s="5" t="str">
        <f>IFERROR(__xludf.DUMMYFUNCTION("IFERROR(REGEXEXTRACT(A347, ""y:([-+]?[0-9]*\.?[0-9]+)""), """")"),"-1.96")</f>
        <v>-1.96</v>
      </c>
    </row>
    <row r="348">
      <c r="A348" s="3" t="s">
        <v>360</v>
      </c>
      <c r="B348" s="4">
        <f>IFERROR(__xludf.DUMMYFUNCTION("IFERROR(VALUE(REGEXEXTRACT(A348, ""angle:(\d+)"")), -1)"),88.0)</f>
        <v>88</v>
      </c>
      <c r="C348" s="5" t="str">
        <f t="shared" si="1"/>
        <v>088</v>
      </c>
      <c r="D348" s="5" t="str">
        <f>IFERROR(__xludf.DUMMYFUNCTION("IFERROR(REGEXEXTRACT(A348, ""x:([-+]?[0-9]*\.?[0-9]+)""), """")"),"+100.00")</f>
        <v>+100.00</v>
      </c>
      <c r="E348" s="5" t="str">
        <f>IFERROR(__xludf.DUMMYFUNCTION("IFERROR(REGEXEXTRACT(A348, ""y:([-+]?[0-9]*\.?[0-9]+)""), """")"),"-3.53")</f>
        <v>-3.53</v>
      </c>
    </row>
    <row r="349">
      <c r="A349" s="3" t="s">
        <v>361</v>
      </c>
      <c r="B349" s="4">
        <f>IFERROR(__xludf.DUMMYFUNCTION("IFERROR(VALUE(REGEXEXTRACT(A349, ""angle:(\d+)"")), -1)"),87.0)</f>
        <v>87</v>
      </c>
      <c r="C349" s="5" t="str">
        <f t="shared" si="1"/>
        <v>087</v>
      </c>
      <c r="D349" s="5" t="str">
        <f>IFERROR(__xludf.DUMMYFUNCTION("IFERROR(REGEXEXTRACT(A349, ""x:([-+]?[0-9]*\.?[0-9]+)""), """")"),"+100.00")</f>
        <v>+100.00</v>
      </c>
      <c r="E349" s="5" t="str">
        <f>IFERROR(__xludf.DUMMYFUNCTION("IFERROR(REGEXEXTRACT(A349, ""y:([-+]?[0-9]*\.?[0-9]+)""), """")"),"-5.88")</f>
        <v>-5.88</v>
      </c>
    </row>
    <row r="350">
      <c r="A350" s="3" t="s">
        <v>362</v>
      </c>
      <c r="B350" s="4">
        <f>IFERROR(__xludf.DUMMYFUNCTION("IFERROR(VALUE(REGEXEXTRACT(A350, ""angle:(\d+)"")), -1)"),86.0)</f>
        <v>86</v>
      </c>
      <c r="C350" s="5" t="str">
        <f t="shared" si="1"/>
        <v>086</v>
      </c>
      <c r="D350" s="5" t="str">
        <f>IFERROR(__xludf.DUMMYFUNCTION("IFERROR(REGEXEXTRACT(A350, ""x:([-+]?[0-9]*\.?[0-9]+)""), """")"),"+100.00")</f>
        <v>+100.00</v>
      </c>
      <c r="E350" s="5" t="str">
        <f>IFERROR(__xludf.DUMMYFUNCTION("IFERROR(REGEXEXTRACT(A350, ""y:([-+]?[0-9]*\.?[0-9]+)""), """")"),"-7.45")</f>
        <v>-7.45</v>
      </c>
    </row>
    <row r="351">
      <c r="A351" s="3" t="s">
        <v>363</v>
      </c>
      <c r="B351" s="4">
        <f>IFERROR(__xludf.DUMMYFUNCTION("IFERROR(VALUE(REGEXEXTRACT(A351, ""angle:(\d+)"")), -1)"),45.0)</f>
        <v>45</v>
      </c>
      <c r="C351" s="5" t="str">
        <f t="shared" si="1"/>
        <v>045</v>
      </c>
      <c r="D351" s="5" t="str">
        <f>IFERROR(__xludf.DUMMYFUNCTION("IFERROR(REGEXEXTRACT(A351, ""x:([-+]?[0-9]*\.?[0-9]+)""), """")"),"+81.96")</f>
        <v>+81.96</v>
      </c>
      <c r="E351" s="5" t="str">
        <f>IFERROR(__xludf.DUMMYFUNCTION("IFERROR(REGEXEXTRACT(A351, ""y:([-+]?[0-9]*\.?[0-9]+)""), """")"),"-81.18")</f>
        <v>-81.18</v>
      </c>
    </row>
    <row r="352">
      <c r="A352" s="3" t="s">
        <v>364</v>
      </c>
      <c r="B352" s="4">
        <f>IFERROR(__xludf.DUMMYFUNCTION("IFERROR(VALUE(REGEXEXTRACT(A352, ""angle:(\d+)"")), -1)"),38.0)</f>
        <v>38</v>
      </c>
      <c r="C352" s="5" t="str">
        <f t="shared" si="1"/>
        <v>038</v>
      </c>
      <c r="D352" s="5" t="str">
        <f>IFERROR(__xludf.DUMMYFUNCTION("IFERROR(REGEXEXTRACT(A352, ""x:([-+]?[0-9]*\.?[0-9]+)""), """")"),"+70.98")</f>
        <v>+70.98</v>
      </c>
      <c r="E352" s="5" t="str">
        <f>IFERROR(__xludf.DUMMYFUNCTION("IFERROR(REGEXEXTRACT(A352, ""y:([-+]?[0-9]*\.?[0-9]+)""), """")"),"-89.80")</f>
        <v>-89.80</v>
      </c>
    </row>
    <row r="353">
      <c r="A353" s="3" t="s">
        <v>365</v>
      </c>
      <c r="B353" s="4">
        <f>IFERROR(__xludf.DUMMYFUNCTION("IFERROR(VALUE(REGEXEXTRACT(A353, ""angle:(\d+)"")), -1)"),-1.0)</f>
        <v>-1</v>
      </c>
      <c r="C353" s="5" t="str">
        <f t="shared" si="1"/>
        <v>-001</v>
      </c>
      <c r="D353" s="5" t="str">
        <f>IFERROR(__xludf.DUMMYFUNCTION("IFERROR(REGEXEXTRACT(A353, ""x:([-+]?[0-9]*\.?[0-9]+)""), """")"),"")</f>
        <v/>
      </c>
      <c r="E353" s="5" t="str">
        <f>IFERROR(__xludf.DUMMYFUNCTION("IFERROR(REGEXEXTRACT(A353, ""y:([-+]?[0-9]*\.?[0-9]+)""), """")"),"")</f>
        <v/>
      </c>
    </row>
    <row r="354">
      <c r="A354" s="3" t="s">
        <v>366</v>
      </c>
      <c r="B354" s="4">
        <f>IFERROR(__xludf.DUMMYFUNCTION("IFERROR(VALUE(REGEXEXTRACT(A354, ""angle:(\d+)"")), -1)"),189.0)</f>
        <v>189</v>
      </c>
      <c r="C354" s="5" t="str">
        <f t="shared" si="1"/>
        <v>189</v>
      </c>
      <c r="D354" s="5" t="str">
        <f>IFERROR(__xludf.DUMMYFUNCTION("IFERROR(REGEXEXTRACT(A354, ""x:([-+]?[0-9]*\.?[0-9]+)""), """")"),"-17.65")</f>
        <v>-17.65</v>
      </c>
      <c r="E354" s="5" t="str">
        <f>IFERROR(__xludf.DUMMYFUNCTION("IFERROR(REGEXEXTRACT(A354, ""y:([-+]?[0-9]*\.?[0-9]+)""), """")"),"+100.00")</f>
        <v>+100.00</v>
      </c>
    </row>
    <row r="355">
      <c r="A355" s="3" t="s">
        <v>367</v>
      </c>
      <c r="B355" s="4">
        <f>IFERROR(__xludf.DUMMYFUNCTION("IFERROR(VALUE(REGEXEXTRACT(A355, ""angle:(\d+)"")), -1)"),188.0)</f>
        <v>188</v>
      </c>
      <c r="C355" s="5" t="str">
        <f t="shared" si="1"/>
        <v>188</v>
      </c>
      <c r="D355" s="5" t="str">
        <f>IFERROR(__xludf.DUMMYFUNCTION("IFERROR(REGEXEXTRACT(A355, ""x:([-+]?[0-9]*\.?[0-9]+)""), """")"),"-15.29")</f>
        <v>-15.29</v>
      </c>
      <c r="E355" s="5" t="str">
        <f>IFERROR(__xludf.DUMMYFUNCTION("IFERROR(REGEXEXTRACT(A355, ""y:([-+]?[0-9]*\.?[0-9]+)""), """")"),"+100.00")</f>
        <v>+100.00</v>
      </c>
    </row>
    <row r="356">
      <c r="A356" s="3" t="s">
        <v>368</v>
      </c>
      <c r="B356" s="4">
        <f>IFERROR(__xludf.DUMMYFUNCTION("IFERROR(VALUE(REGEXEXTRACT(A356, ""angle:(\d+)"")), -1)"),187.0)</f>
        <v>187</v>
      </c>
      <c r="C356" s="5" t="str">
        <f t="shared" si="1"/>
        <v>187</v>
      </c>
      <c r="D356" s="5" t="str">
        <f>IFERROR(__xludf.DUMMYFUNCTION("IFERROR(REGEXEXTRACT(A356, ""x:([-+]?[0-9]*\.?[0-9]+)""), """")"),"-12.94")</f>
        <v>-12.94</v>
      </c>
      <c r="E356" s="5" t="str">
        <f>IFERROR(__xludf.DUMMYFUNCTION("IFERROR(REGEXEXTRACT(A356, ""y:([-+]?[0-9]*\.?[0-9]+)""), """")"),"+100.00")</f>
        <v>+100.00</v>
      </c>
    </row>
    <row r="357">
      <c r="A357" s="3" t="s">
        <v>369</v>
      </c>
      <c r="B357" s="4">
        <f>IFERROR(__xludf.DUMMYFUNCTION("IFERROR(VALUE(REGEXEXTRACT(A357, ""angle:(\d+)"")), -1)"),186.0)</f>
        <v>186</v>
      </c>
      <c r="C357" s="5" t="str">
        <f t="shared" si="1"/>
        <v>186</v>
      </c>
      <c r="D357" s="5" t="str">
        <f>IFERROR(__xludf.DUMMYFUNCTION("IFERROR(REGEXEXTRACT(A357, ""x:([-+]?[0-9]*\.?[0-9]+)""), """")"),"-12.16")</f>
        <v>-12.16</v>
      </c>
      <c r="E357" s="5" t="str">
        <f>IFERROR(__xludf.DUMMYFUNCTION("IFERROR(REGEXEXTRACT(A357, ""y:([-+]?[0-9]*\.?[0-9]+)""), """")"),"+100.00")</f>
        <v>+100.00</v>
      </c>
    </row>
    <row r="358">
      <c r="A358" s="3" t="s">
        <v>370</v>
      </c>
      <c r="B358" s="4">
        <f>IFERROR(__xludf.DUMMYFUNCTION("IFERROR(VALUE(REGEXEXTRACT(A358, ""angle:(\d+)"")), -1)"),185.0)</f>
        <v>185</v>
      </c>
      <c r="C358" s="5" t="str">
        <f t="shared" si="1"/>
        <v>185</v>
      </c>
      <c r="D358" s="5" t="str">
        <f>IFERROR(__xludf.DUMMYFUNCTION("IFERROR(REGEXEXTRACT(A358, ""x:([-+]?[0-9]*\.?[0-9]+)""), """")"),"-10.59")</f>
        <v>-10.59</v>
      </c>
      <c r="E358" s="5" t="str">
        <f>IFERROR(__xludf.DUMMYFUNCTION("IFERROR(REGEXEXTRACT(A358, ""y:([-+]?[0-9]*\.?[0-9]+)""), """")"),"+100.00")</f>
        <v>+100.00</v>
      </c>
    </row>
    <row r="359">
      <c r="A359" s="3" t="s">
        <v>371</v>
      </c>
      <c r="B359" s="4">
        <f>IFERROR(__xludf.DUMMYFUNCTION("IFERROR(VALUE(REGEXEXTRACT(A359, ""angle:(\d+)"")), -1)"),184.0)</f>
        <v>184</v>
      </c>
      <c r="C359" s="5" t="str">
        <f t="shared" si="1"/>
        <v>184</v>
      </c>
      <c r="D359" s="5" t="str">
        <f>IFERROR(__xludf.DUMMYFUNCTION("IFERROR(REGEXEXTRACT(A359, ""x:([-+]?[0-9]*\.?[0-9]+)""), """")"),"-8.23")</f>
        <v>-8.23</v>
      </c>
      <c r="E359" s="5" t="str">
        <f>IFERROR(__xludf.DUMMYFUNCTION("IFERROR(REGEXEXTRACT(A359, ""y:([-+]?[0-9]*\.?[0-9]+)""), """")"),"+100.00")</f>
        <v>+100.00</v>
      </c>
    </row>
    <row r="360">
      <c r="A360" s="3" t="s">
        <v>372</v>
      </c>
      <c r="B360" s="4">
        <f>IFERROR(__xludf.DUMMYFUNCTION("IFERROR(VALUE(REGEXEXTRACT(A360, ""angle:(\d+)"")), -1)"),183.0)</f>
        <v>183</v>
      </c>
      <c r="C360" s="5" t="str">
        <f t="shared" si="1"/>
        <v>183</v>
      </c>
      <c r="D360" s="5" t="str">
        <f>IFERROR(__xludf.DUMMYFUNCTION("IFERROR(REGEXEXTRACT(A360, ""x:([-+]?[0-9]*\.?[0-9]+)""), """")"),"-6.67")</f>
        <v>-6.67</v>
      </c>
      <c r="E360" s="5" t="str">
        <f>IFERROR(__xludf.DUMMYFUNCTION("IFERROR(REGEXEXTRACT(A360, ""y:([-+]?[0-9]*\.?[0-9]+)""), """")"),"+100.00")</f>
        <v>+100.00</v>
      </c>
    </row>
    <row r="361">
      <c r="A361" s="3" t="s">
        <v>373</v>
      </c>
      <c r="B361" s="4">
        <f>IFERROR(__xludf.DUMMYFUNCTION("IFERROR(VALUE(REGEXEXTRACT(A361, ""angle:(\d+)"")), -1)"),182.0)</f>
        <v>182</v>
      </c>
      <c r="C361" s="5" t="str">
        <f t="shared" si="1"/>
        <v>182</v>
      </c>
      <c r="D361" s="5" t="str">
        <f>IFERROR(__xludf.DUMMYFUNCTION("IFERROR(REGEXEXTRACT(A361, ""x:([-+]?[0-9]*\.?[0-9]+)""), """")"),"-5.10")</f>
        <v>-5.10</v>
      </c>
      <c r="E361" s="5" t="str">
        <f>IFERROR(__xludf.DUMMYFUNCTION("IFERROR(REGEXEXTRACT(A361, ""y:([-+]?[0-9]*\.?[0-9]+)""), """")"),"+100.00")</f>
        <v>+100.00</v>
      </c>
    </row>
    <row r="362">
      <c r="A362" s="3" t="s">
        <v>374</v>
      </c>
      <c r="B362" s="4">
        <f>IFERROR(__xludf.DUMMYFUNCTION("IFERROR(VALUE(REGEXEXTRACT(A362, ""angle:(\d+)"")), -1)"),181.0)</f>
        <v>181</v>
      </c>
      <c r="C362" s="5" t="str">
        <f t="shared" si="1"/>
        <v>181</v>
      </c>
      <c r="D362" s="5" t="str">
        <f>IFERROR(__xludf.DUMMYFUNCTION("IFERROR(REGEXEXTRACT(A362, ""x:([-+]?[0-9]*\.?[0-9]+)""), """")"),"-2.74")</f>
        <v>-2.74</v>
      </c>
      <c r="E362" s="5" t="str">
        <f>IFERROR(__xludf.DUMMYFUNCTION("IFERROR(REGEXEXTRACT(A362, ""y:([-+]?[0-9]*\.?[0-9]+)""), """")"),"+100.00")</f>
        <v>+100.00</v>
      </c>
    </row>
    <row r="363">
      <c r="A363" s="3" t="s">
        <v>365</v>
      </c>
      <c r="B363" s="4">
        <f>IFERROR(__xludf.DUMMYFUNCTION("IFERROR(VALUE(REGEXEXTRACT(A363, ""angle:(\d+)"")), -1)"),-1.0)</f>
        <v>-1</v>
      </c>
      <c r="C363" s="5" t="str">
        <f t="shared" si="1"/>
        <v>-001</v>
      </c>
      <c r="D363" s="5" t="str">
        <f>IFERROR(__xludf.DUMMYFUNCTION("IFERROR(REGEXEXTRACT(A363, ""x:([-+]?[0-9]*\.?[0-9]+)""), """")"),"")</f>
        <v/>
      </c>
      <c r="E363" s="5" t="str">
        <f>IFERROR(__xludf.DUMMYFUNCTION("IFERROR(REGEXEXTRACT(A363, ""y:([-+]?[0-9]*\.?[0-9]+)""), """")"),"")</f>
        <v/>
      </c>
    </row>
    <row r="364">
      <c r="A364" s="3" t="s">
        <v>375</v>
      </c>
      <c r="B364" s="4">
        <f>IFERROR(__xludf.DUMMYFUNCTION("IFERROR(VALUE(REGEXEXTRACT(A364, ""angle:(\d+)"")), -1)"),287.0)</f>
        <v>287</v>
      </c>
      <c r="C364" s="5" t="str">
        <f t="shared" si="1"/>
        <v>287</v>
      </c>
      <c r="D364" s="5" t="str">
        <f>IFERROR(__xludf.DUMMYFUNCTION("IFERROR(REGEXEXTRACT(A364, ""x:([-+]?[0-9]*\.?[0-9]+)""), """")"),"-100.00")</f>
        <v>-100.00</v>
      </c>
      <c r="E364" s="5" t="str">
        <f>IFERROR(__xludf.DUMMYFUNCTION("IFERROR(REGEXEXTRACT(A364, ""y:([-+]?[0-9]*\.?[0-9]+)""), """")"),"-31.76")</f>
        <v>-31.76</v>
      </c>
    </row>
    <row r="365">
      <c r="A365" s="3" t="s">
        <v>376</v>
      </c>
      <c r="B365" s="4">
        <f>IFERROR(__xludf.DUMMYFUNCTION("IFERROR(VALUE(REGEXEXTRACT(A365, ""angle:(\d+)"")), -1)"),280.0)</f>
        <v>280</v>
      </c>
      <c r="C365" s="5" t="str">
        <f t="shared" si="1"/>
        <v>280</v>
      </c>
      <c r="D365" s="5" t="str">
        <f>IFERROR(__xludf.DUMMYFUNCTION("IFERROR(REGEXEXTRACT(A365, ""x:([-+]?[0-9]*\.?[0-9]+)""), """")"),"-100.00")</f>
        <v>-100.00</v>
      </c>
      <c r="E365" s="5" t="str">
        <f>IFERROR(__xludf.DUMMYFUNCTION("IFERROR(REGEXEXTRACT(A365, ""y:([-+]?[0-9]*\.?[0-9]+)""), """")"),"-19.22")</f>
        <v>-19.22</v>
      </c>
    </row>
    <row r="366">
      <c r="A366" s="3" t="s">
        <v>377</v>
      </c>
      <c r="B366" s="4">
        <f>IFERROR(__xludf.DUMMYFUNCTION("IFERROR(VALUE(REGEXEXTRACT(A366, ""angle:(\d+)"")), -1)"),110.0)</f>
        <v>110</v>
      </c>
      <c r="C366" s="5" t="str">
        <f t="shared" si="1"/>
        <v>110</v>
      </c>
      <c r="D366" s="5" t="str">
        <f>IFERROR(__xludf.DUMMYFUNCTION("IFERROR(REGEXEXTRACT(A366, ""x:([-+]?[0-9]*\.?[0-9]+)""), """")"),"+99.22")</f>
        <v>+99.22</v>
      </c>
      <c r="E366" s="5" t="str">
        <f>IFERROR(__xludf.DUMMYFUNCTION("IFERROR(REGEXEXTRACT(A366, ""y:([-+]?[0-9]*\.?[0-9]+)""), """")"),"+36.47")</f>
        <v>+36.47</v>
      </c>
    </row>
    <row r="367">
      <c r="A367" s="3" t="s">
        <v>378</v>
      </c>
      <c r="B367" s="4">
        <f>IFERROR(__xludf.DUMMYFUNCTION("IFERROR(VALUE(REGEXEXTRACT(A367, ""angle:(\d+)"")), -1)"),-1.0)</f>
        <v>-1</v>
      </c>
      <c r="C367" s="5" t="str">
        <f t="shared" si="1"/>
        <v>-001</v>
      </c>
      <c r="D367" s="5" t="str">
        <f>IFERROR(__xludf.DUMMYFUNCTION("IFERROR(REGEXEXTRACT(A367, ""x:([-+]?[0-9]*\.?[0-9]+)""), """")"),"")</f>
        <v/>
      </c>
      <c r="E367" s="5" t="str">
        <f>IFERROR(__xludf.DUMMYFUNCTION("IFERROR(REGEXEXTRACT(A367, ""y:([-+]?[0-9]*\.?[0-9]+)""), """")"),"")</f>
        <v/>
      </c>
    </row>
    <row r="368">
      <c r="A368" s="3" t="s">
        <v>379</v>
      </c>
      <c r="B368" s="4">
        <f>IFERROR(__xludf.DUMMYFUNCTION("IFERROR(VALUE(REGEXEXTRACT(A368, ""angle:(\d+)"")), -1)"),-1.0)</f>
        <v>-1</v>
      </c>
      <c r="C368" s="5" t="str">
        <f t="shared" si="1"/>
        <v>-001</v>
      </c>
      <c r="D368" s="5" t="str">
        <f>IFERROR(__xludf.DUMMYFUNCTION("IFERROR(REGEXEXTRACT(A368, ""x:([-+]?[0-9]*\.?[0-9]+)""), """")"),"")</f>
        <v/>
      </c>
      <c r="E368" s="5" t="str">
        <f>IFERROR(__xludf.DUMMYFUNCTION("IFERROR(REGEXEXTRACT(A368, ""y:([-+]?[0-9]*\.?[0-9]+)""), """")"),"")</f>
        <v/>
      </c>
    </row>
    <row r="369">
      <c r="A369" s="3" t="s">
        <v>380</v>
      </c>
      <c r="B369" s="4">
        <f>IFERROR(__xludf.DUMMYFUNCTION("IFERROR(VALUE(REGEXEXTRACT(A369, ""angle:(\d+)"")), -1)"),-1.0)</f>
        <v>-1</v>
      </c>
      <c r="C369" s="5" t="str">
        <f t="shared" si="1"/>
        <v>-001</v>
      </c>
      <c r="D369" s="5" t="str">
        <f>IFERROR(__xludf.DUMMYFUNCTION("IFERROR(REGEXEXTRACT(A369, ""x:([-+]?[0-9]*\.?[0-9]+)""), """")"),"")</f>
        <v/>
      </c>
      <c r="E369" s="5" t="str">
        <f>IFERROR(__xludf.DUMMYFUNCTION("IFERROR(REGEXEXTRACT(A369, ""y:([-+]?[0-9]*\.?[0-9]+)""), """")"),"")</f>
        <v/>
      </c>
    </row>
    <row r="370">
      <c r="A370" s="3" t="s">
        <v>381</v>
      </c>
      <c r="B370" s="4">
        <f>IFERROR(__xludf.DUMMYFUNCTION("IFERROR(VALUE(REGEXEXTRACT(A370, ""angle:(\d+)"")), -1)"),-1.0)</f>
        <v>-1</v>
      </c>
      <c r="C370" s="5" t="str">
        <f t="shared" si="1"/>
        <v>-001</v>
      </c>
      <c r="D370" s="5" t="str">
        <f>IFERROR(__xludf.DUMMYFUNCTION("IFERROR(REGEXEXTRACT(A370, ""x:([-+]?[0-9]*\.?[0-9]+)""), """")"),"")</f>
        <v/>
      </c>
      <c r="E370" s="5" t="str">
        <f>IFERROR(__xludf.DUMMYFUNCTION("IFERROR(REGEXEXTRACT(A370, ""y:([-+]?[0-9]*\.?[0-9]+)""), """")"),"")</f>
        <v/>
      </c>
    </row>
    <row r="371">
      <c r="A371" s="3" t="s">
        <v>380</v>
      </c>
      <c r="B371" s="4">
        <f>IFERROR(__xludf.DUMMYFUNCTION("IFERROR(VALUE(REGEXEXTRACT(A371, ""angle:(\d+)"")), -1)"),-1.0)</f>
        <v>-1</v>
      </c>
      <c r="C371" s="5" t="str">
        <f t="shared" si="1"/>
        <v>-001</v>
      </c>
      <c r="D371" s="5" t="str">
        <f>IFERROR(__xludf.DUMMYFUNCTION("IFERROR(REGEXEXTRACT(A371, ""x:([-+]?[0-9]*\.?[0-9]+)""), """")"),"")</f>
        <v/>
      </c>
      <c r="E371" s="5" t="str">
        <f>IFERROR(__xludf.DUMMYFUNCTION("IFERROR(REGEXEXTRACT(A371, ""y:([-+]?[0-9]*\.?[0-9]+)""), """")"),"")</f>
        <v/>
      </c>
    </row>
    <row r="372">
      <c r="A372" s="3" t="s">
        <v>379</v>
      </c>
      <c r="B372" s="4">
        <f>IFERROR(__xludf.DUMMYFUNCTION("IFERROR(VALUE(REGEXEXTRACT(A372, ""angle:(\d+)"")), -1)"),-1.0)</f>
        <v>-1</v>
      </c>
      <c r="C372" s="5" t="str">
        <f t="shared" si="1"/>
        <v>-001</v>
      </c>
      <c r="D372" s="5" t="str">
        <f>IFERROR(__xludf.DUMMYFUNCTION("IFERROR(REGEXEXTRACT(A372, ""x:([-+]?[0-9]*\.?[0-9]+)""), """")"),"")</f>
        <v/>
      </c>
      <c r="E372" s="5" t="str">
        <f>IFERROR(__xludf.DUMMYFUNCTION("IFERROR(REGEXEXTRACT(A372, ""y:([-+]?[0-9]*\.?[0-9]+)""), """")"),"")</f>
        <v/>
      </c>
    </row>
    <row r="373">
      <c r="A373" s="3" t="s">
        <v>382</v>
      </c>
      <c r="B373" s="4">
        <f>IFERROR(__xludf.DUMMYFUNCTION("IFERROR(VALUE(REGEXEXTRACT(A373, ""angle:(\d+)"")), -1)"),-1.0)</f>
        <v>-1</v>
      </c>
      <c r="C373" s="5" t="str">
        <f t="shared" si="1"/>
        <v>-001</v>
      </c>
      <c r="D373" s="5" t="str">
        <f>IFERROR(__xludf.DUMMYFUNCTION("IFERROR(REGEXEXTRACT(A373, ""x:([-+]?[0-9]*\.?[0-9]+)""), """")"),"")</f>
        <v/>
      </c>
      <c r="E373" s="5" t="str">
        <f>IFERROR(__xludf.DUMMYFUNCTION("IFERROR(REGEXEXTRACT(A373, ""y:([-+]?[0-9]*\.?[0-9]+)""), """")"),"")</f>
        <v/>
      </c>
    </row>
    <row r="374">
      <c r="A374" s="3" t="s">
        <v>383</v>
      </c>
      <c r="B374" s="4">
        <f>IFERROR(__xludf.DUMMYFUNCTION("IFERROR(VALUE(REGEXEXTRACT(A374, ""angle:(\d+)"")), -1)"),-1.0)</f>
        <v>-1</v>
      </c>
      <c r="C374" s="5" t="str">
        <f t="shared" si="1"/>
        <v>-001</v>
      </c>
      <c r="D374" s="5" t="str">
        <f>IFERROR(__xludf.DUMMYFUNCTION("IFERROR(REGEXEXTRACT(A374, ""x:([-+]?[0-9]*\.?[0-9]+)""), """")"),"")</f>
        <v/>
      </c>
      <c r="E374" s="5" t="str">
        <f>IFERROR(__xludf.DUMMYFUNCTION("IFERROR(REGEXEXTRACT(A374, ""y:([-+]?[0-9]*\.?[0-9]+)""), """")"),"")</f>
        <v/>
      </c>
    </row>
    <row r="375">
      <c r="A375" s="3" t="s">
        <v>378</v>
      </c>
      <c r="B375" s="4">
        <f>IFERROR(__xludf.DUMMYFUNCTION("IFERROR(VALUE(REGEXEXTRACT(A375, ""angle:(\d+)"")), -1)"),-1.0)</f>
        <v>-1</v>
      </c>
      <c r="C375" s="5" t="str">
        <f t="shared" si="1"/>
        <v>-001</v>
      </c>
      <c r="D375" s="5" t="str">
        <f>IFERROR(__xludf.DUMMYFUNCTION("IFERROR(REGEXEXTRACT(A375, ""x:([-+]?[0-9]*\.?[0-9]+)""), """")"),"")</f>
        <v/>
      </c>
      <c r="E375" s="5" t="str">
        <f>IFERROR(__xludf.DUMMYFUNCTION("IFERROR(REGEXEXTRACT(A375, ""y:([-+]?[0-9]*\.?[0-9]+)""), """")"),"")</f>
        <v/>
      </c>
    </row>
    <row r="376">
      <c r="A376" s="3" t="s">
        <v>384</v>
      </c>
      <c r="B376" s="4">
        <f>IFERROR(__xludf.DUMMYFUNCTION("IFERROR(VALUE(REGEXEXTRACT(A376, ""angle:(\d+)"")), -1)"),-1.0)</f>
        <v>-1</v>
      </c>
      <c r="C376" s="5" t="str">
        <f t="shared" si="1"/>
        <v>-001</v>
      </c>
      <c r="D376" s="5" t="str">
        <f>IFERROR(__xludf.DUMMYFUNCTION("IFERROR(REGEXEXTRACT(A376, ""x:([-+]?[0-9]*\.?[0-9]+)""), """")"),"")</f>
        <v/>
      </c>
      <c r="E376" s="5" t="str">
        <f>IFERROR(__xludf.DUMMYFUNCTION("IFERROR(REGEXEXTRACT(A376, ""y:([-+]?[0-9]*\.?[0-9]+)""), """")"),"")</f>
        <v/>
      </c>
    </row>
    <row r="377">
      <c r="A377" s="3" t="s">
        <v>385</v>
      </c>
      <c r="B377" s="4">
        <f>IFERROR(__xludf.DUMMYFUNCTION("IFERROR(VALUE(REGEXEXTRACT(A377, ""angle:(\d+)"")), -1)"),-1.0)</f>
        <v>-1</v>
      </c>
      <c r="C377" s="5" t="str">
        <f t="shared" si="1"/>
        <v>-001</v>
      </c>
      <c r="D377" s="5" t="str">
        <f>IFERROR(__xludf.DUMMYFUNCTION("IFERROR(REGEXEXTRACT(A377, ""x:([-+]?[0-9]*\.?[0-9]+)""), """")"),"")</f>
        <v/>
      </c>
      <c r="E377" s="5" t="str">
        <f>IFERROR(__xludf.DUMMYFUNCTION("IFERROR(REGEXEXTRACT(A377, ""y:([-+]?[0-9]*\.?[0-9]+)""), """")"),"")</f>
        <v/>
      </c>
    </row>
    <row r="378">
      <c r="A378" s="3" t="s">
        <v>379</v>
      </c>
      <c r="B378" s="4">
        <f>IFERROR(__xludf.DUMMYFUNCTION("IFERROR(VALUE(REGEXEXTRACT(A378, ""angle:(\d+)"")), -1)"),-1.0)</f>
        <v>-1</v>
      </c>
      <c r="C378" s="5" t="str">
        <f t="shared" si="1"/>
        <v>-001</v>
      </c>
      <c r="D378" s="5" t="str">
        <f>IFERROR(__xludf.DUMMYFUNCTION("IFERROR(REGEXEXTRACT(A378, ""x:([-+]?[0-9]*\.?[0-9]+)""), """")"),"")</f>
        <v/>
      </c>
      <c r="E378" s="5" t="str">
        <f>IFERROR(__xludf.DUMMYFUNCTION("IFERROR(REGEXEXTRACT(A378, ""y:([-+]?[0-9]*\.?[0-9]+)""), """")"),"")</f>
        <v/>
      </c>
    </row>
    <row r="379">
      <c r="A379" s="3" t="s">
        <v>378</v>
      </c>
      <c r="B379" s="4">
        <f>IFERROR(__xludf.DUMMYFUNCTION("IFERROR(VALUE(REGEXEXTRACT(A379, ""angle:(\d+)"")), -1)"),-1.0)</f>
        <v>-1</v>
      </c>
      <c r="C379" s="5" t="str">
        <f t="shared" si="1"/>
        <v>-001</v>
      </c>
      <c r="D379" s="5" t="str">
        <f>IFERROR(__xludf.DUMMYFUNCTION("IFERROR(REGEXEXTRACT(A379, ""x:([-+]?[0-9]*\.?[0-9]+)""), """")"),"")</f>
        <v/>
      </c>
      <c r="E379" s="5" t="str">
        <f>IFERROR(__xludf.DUMMYFUNCTION("IFERROR(REGEXEXTRACT(A379, ""y:([-+]?[0-9]*\.?[0-9]+)""), """")"),"")</f>
        <v/>
      </c>
    </row>
    <row r="380">
      <c r="A380" s="3" t="s">
        <v>386</v>
      </c>
      <c r="B380" s="4">
        <f>IFERROR(__xludf.DUMMYFUNCTION("IFERROR(VALUE(REGEXEXTRACT(A380, ""angle:(\d+)"")), -1)"),-1.0)</f>
        <v>-1</v>
      </c>
      <c r="C380" s="5" t="str">
        <f t="shared" si="1"/>
        <v>-001</v>
      </c>
      <c r="D380" s="5" t="str">
        <f>IFERROR(__xludf.DUMMYFUNCTION("IFERROR(REGEXEXTRACT(A380, ""x:([-+]?[0-9]*\.?[0-9]+)""), """")"),"")</f>
        <v/>
      </c>
      <c r="E380" s="5" t="str">
        <f>IFERROR(__xludf.DUMMYFUNCTION("IFERROR(REGEXEXTRACT(A380, ""y:([-+]?[0-9]*\.?[0-9]+)""), """")"),"")</f>
        <v/>
      </c>
    </row>
    <row r="381">
      <c r="A381" s="3" t="s">
        <v>387</v>
      </c>
      <c r="B381" s="4">
        <f>IFERROR(__xludf.DUMMYFUNCTION("IFERROR(VALUE(REGEXEXTRACT(A381, ""angle:(\d+)"")), -1)"),-1.0)</f>
        <v>-1</v>
      </c>
      <c r="C381" s="5" t="str">
        <f t="shared" si="1"/>
        <v>-001</v>
      </c>
      <c r="D381" s="5" t="str">
        <f>IFERROR(__xludf.DUMMYFUNCTION("IFERROR(REGEXEXTRACT(A381, ""x:([-+]?[0-9]*\.?[0-9]+)""), """")"),"")</f>
        <v/>
      </c>
      <c r="E381" s="5" t="str">
        <f>IFERROR(__xludf.DUMMYFUNCTION("IFERROR(REGEXEXTRACT(A381, ""y:([-+]?[0-9]*\.?[0-9]+)""), """")"),"")</f>
        <v/>
      </c>
    </row>
    <row r="382">
      <c r="A382" s="3" t="s">
        <v>388</v>
      </c>
      <c r="B382" s="4">
        <f>IFERROR(__xludf.DUMMYFUNCTION("IFERROR(VALUE(REGEXEXTRACT(A382, ""angle:(\d+)"")), -1)"),-1.0)</f>
        <v>-1</v>
      </c>
      <c r="C382" s="5" t="str">
        <f t="shared" si="1"/>
        <v>-001</v>
      </c>
      <c r="D382" s="5" t="str">
        <f>IFERROR(__xludf.DUMMYFUNCTION("IFERROR(REGEXEXTRACT(A382, ""x:([-+]?[0-9]*\.?[0-9]+)""), """")"),"")</f>
        <v/>
      </c>
      <c r="E382" s="5" t="str">
        <f>IFERROR(__xludf.DUMMYFUNCTION("IFERROR(REGEXEXTRACT(A382, ""y:([-+]?[0-9]*\.?[0-9]+)""), """")"),"")</f>
        <v/>
      </c>
    </row>
    <row r="383">
      <c r="A383" s="3" t="s">
        <v>389</v>
      </c>
      <c r="B383" s="4">
        <f>IFERROR(__xludf.DUMMYFUNCTION("IFERROR(VALUE(REGEXEXTRACT(A383, ""angle:(\d+)"")), -1)"),-1.0)</f>
        <v>-1</v>
      </c>
      <c r="C383" s="5" t="str">
        <f t="shared" si="1"/>
        <v>-001</v>
      </c>
      <c r="D383" s="5" t="str">
        <f>IFERROR(__xludf.DUMMYFUNCTION("IFERROR(REGEXEXTRACT(A383, ""x:([-+]?[0-9]*\.?[0-9]+)""), """")"),"")</f>
        <v/>
      </c>
      <c r="E383" s="5" t="str">
        <f>IFERROR(__xludf.DUMMYFUNCTION("IFERROR(REGEXEXTRACT(A383, ""y:([-+]?[0-9]*\.?[0-9]+)""), """")"),"")</f>
        <v/>
      </c>
    </row>
    <row r="384">
      <c r="A384" s="3" t="s">
        <v>390</v>
      </c>
      <c r="B384" s="4">
        <f>IFERROR(__xludf.DUMMYFUNCTION("IFERROR(VALUE(REGEXEXTRACT(A384, ""angle:(\d+)"")), -1)"),-1.0)</f>
        <v>-1</v>
      </c>
      <c r="C384" s="5" t="str">
        <f t="shared" si="1"/>
        <v>-001</v>
      </c>
      <c r="D384" s="5" t="str">
        <f>IFERROR(__xludf.DUMMYFUNCTION("IFERROR(REGEXEXTRACT(A384, ""x:([-+]?[0-9]*\.?[0-9]+)""), """")"),"")</f>
        <v/>
      </c>
      <c r="E384" s="5" t="str">
        <f>IFERROR(__xludf.DUMMYFUNCTION("IFERROR(REGEXEXTRACT(A384, ""y:([-+]?[0-9]*\.?[0-9]+)""), """")"),"")</f>
        <v/>
      </c>
    </row>
    <row r="385">
      <c r="A385" s="3" t="s">
        <v>391</v>
      </c>
      <c r="B385" s="4">
        <f>IFERROR(__xludf.DUMMYFUNCTION("IFERROR(VALUE(REGEXEXTRACT(A385, ""angle:(\d+)"")), -1)"),-1.0)</f>
        <v>-1</v>
      </c>
      <c r="C385" s="5" t="str">
        <f t="shared" si="1"/>
        <v>-001</v>
      </c>
      <c r="D385" s="5" t="str">
        <f>IFERROR(__xludf.DUMMYFUNCTION("IFERROR(REGEXEXTRACT(A385, ""x:([-+]?[0-9]*\.?[0-9]+)""), """")"),"")</f>
        <v/>
      </c>
      <c r="E385" s="5" t="str">
        <f>IFERROR(__xludf.DUMMYFUNCTION("IFERROR(REGEXEXTRACT(A385, ""y:([-+]?[0-9]*\.?[0-9]+)""), """")"),"")</f>
        <v/>
      </c>
    </row>
    <row r="386">
      <c r="A386" s="3" t="s">
        <v>392</v>
      </c>
      <c r="B386" s="4">
        <f>IFERROR(__xludf.DUMMYFUNCTION("IFERROR(VALUE(REGEXEXTRACT(A386, ""angle:(\d+)"")), -1)"),-1.0)</f>
        <v>-1</v>
      </c>
      <c r="C386" s="5" t="str">
        <f t="shared" si="1"/>
        <v>-001</v>
      </c>
      <c r="D386" s="5" t="str">
        <f>IFERROR(__xludf.DUMMYFUNCTION("IFERROR(REGEXEXTRACT(A386, ""x:([-+]?[0-9]*\.?[0-9]+)""), """")"),"")</f>
        <v/>
      </c>
      <c r="E386" s="5" t="str">
        <f>IFERROR(__xludf.DUMMYFUNCTION("IFERROR(REGEXEXTRACT(A386, ""y:([-+]?[0-9]*\.?[0-9]+)""), """")"),"")</f>
        <v/>
      </c>
    </row>
    <row r="387">
      <c r="A387" s="3"/>
      <c r="B387" s="4">
        <f>IFERROR(__xludf.DUMMYFUNCTION("IFERROR(VALUE(REGEXEXTRACT(A387, ""angle:(\d+)"")), -1)"),-1.0)</f>
        <v>-1</v>
      </c>
      <c r="C387" s="5" t="str">
        <f t="shared" si="1"/>
        <v>-001</v>
      </c>
      <c r="D387" s="5" t="str">
        <f>IFERROR(__xludf.DUMMYFUNCTION("IFERROR(REGEXEXTRACT(A387, ""x:([-+]?[0-9]*\.?[0-9]+)""), """")"),"")</f>
        <v/>
      </c>
      <c r="E387" s="5" t="str">
        <f>IFERROR(__xludf.DUMMYFUNCTION("IFERROR(REGEXEXTRACT(A387, ""y:([-+]?[0-9]*\.?[0-9]+)""), """")"),"")</f>
        <v/>
      </c>
    </row>
    <row r="388">
      <c r="A388" s="3"/>
      <c r="B388" s="4">
        <f>IFERROR(__xludf.DUMMYFUNCTION("IFERROR(VALUE(REGEXEXTRACT(A388, ""angle:(\d+)"")), -1)"),-1.0)</f>
        <v>-1</v>
      </c>
      <c r="C388" s="5" t="str">
        <f t="shared" si="1"/>
        <v>-001</v>
      </c>
      <c r="D388" s="5" t="str">
        <f>IFERROR(__xludf.DUMMYFUNCTION("IFERROR(REGEXEXTRACT(A388, ""x:([-+]?[0-9]*\.?[0-9]+)""), """")"),"")</f>
        <v/>
      </c>
      <c r="E388" s="5" t="str">
        <f>IFERROR(__xludf.DUMMYFUNCTION("IFERROR(REGEXEXTRACT(A388, ""y:([-+]?[0-9]*\.?[0-9]+)""), """")"),"")</f>
        <v/>
      </c>
    </row>
    <row r="389">
      <c r="A389" s="3"/>
      <c r="B389" s="4">
        <f>IFERROR(__xludf.DUMMYFUNCTION("IFERROR(VALUE(REGEXEXTRACT(A389, ""angle:(\d+)"")), -1)"),-1.0)</f>
        <v>-1</v>
      </c>
      <c r="C389" s="5" t="str">
        <f t="shared" si="1"/>
        <v>-001</v>
      </c>
      <c r="D389" s="5" t="str">
        <f>IFERROR(__xludf.DUMMYFUNCTION("IFERROR(REGEXEXTRACT(A389, ""x:([-+]?[0-9]*\.?[0-9]+)""), """")"),"")</f>
        <v/>
      </c>
      <c r="E389" s="5" t="str">
        <f>IFERROR(__xludf.DUMMYFUNCTION("IFERROR(REGEXEXTRACT(A389, ""y:([-+]?[0-9]*\.?[0-9]+)""), """")"),"")</f>
        <v/>
      </c>
    </row>
    <row r="390">
      <c r="A390" s="3"/>
      <c r="B390" s="4">
        <f>IFERROR(__xludf.DUMMYFUNCTION("IFERROR(VALUE(REGEXEXTRACT(A390, ""angle:(\d+)"")), -1)"),-1.0)</f>
        <v>-1</v>
      </c>
      <c r="C390" s="5" t="str">
        <f t="shared" si="1"/>
        <v>-001</v>
      </c>
      <c r="D390" s="5" t="str">
        <f>IFERROR(__xludf.DUMMYFUNCTION("IFERROR(REGEXEXTRACT(A390, ""x:([-+]?[0-9]*\.?[0-9]+)""), """")"),"")</f>
        <v/>
      </c>
      <c r="E390" s="5" t="str">
        <f>IFERROR(__xludf.DUMMYFUNCTION("IFERROR(REGEXEXTRACT(A390, ""y:([-+]?[0-9]*\.?[0-9]+)""), """")"),"")</f>
        <v/>
      </c>
    </row>
    <row r="391">
      <c r="A391" s="3"/>
      <c r="B391" s="4">
        <f>IFERROR(__xludf.DUMMYFUNCTION("IFERROR(VALUE(REGEXEXTRACT(A391, ""angle:(\d+)"")), -1)"),-1.0)</f>
        <v>-1</v>
      </c>
      <c r="C391" s="5" t="str">
        <f t="shared" si="1"/>
        <v>-001</v>
      </c>
      <c r="D391" s="5" t="str">
        <f>IFERROR(__xludf.DUMMYFUNCTION("IFERROR(REGEXEXTRACT(A391, ""x:([-+]?[0-9]*\.?[0-9]+)""), """")"),"")</f>
        <v/>
      </c>
      <c r="E391" s="5" t="str">
        <f>IFERROR(__xludf.DUMMYFUNCTION("IFERROR(REGEXEXTRACT(A391, ""y:([-+]?[0-9]*\.?[0-9]+)""), """")"),"")</f>
        <v/>
      </c>
    </row>
    <row r="392">
      <c r="A392" s="3"/>
      <c r="B392" s="4">
        <f>IFERROR(__xludf.DUMMYFUNCTION("IFERROR(VALUE(REGEXEXTRACT(A392, ""angle:(\d+)"")), -1)"),-1.0)</f>
        <v>-1</v>
      </c>
      <c r="C392" s="5" t="str">
        <f t="shared" si="1"/>
        <v>-001</v>
      </c>
      <c r="D392" s="5" t="str">
        <f>IFERROR(__xludf.DUMMYFUNCTION("IFERROR(REGEXEXTRACT(A392, ""x:([-+]?[0-9]*\.?[0-9]+)""), """")"),"")</f>
        <v/>
      </c>
      <c r="E392" s="5" t="str">
        <f>IFERROR(__xludf.DUMMYFUNCTION("IFERROR(REGEXEXTRACT(A392, ""y:([-+]?[0-9]*\.?[0-9]+)""), """")"),"")</f>
        <v/>
      </c>
    </row>
    <row r="393">
      <c r="A393" s="3"/>
      <c r="B393" s="4">
        <f>IFERROR(__xludf.DUMMYFUNCTION("IFERROR(VALUE(REGEXEXTRACT(A393, ""angle:(\d+)"")), -1)"),-1.0)</f>
        <v>-1</v>
      </c>
      <c r="C393" s="5" t="str">
        <f t="shared" si="1"/>
        <v>-001</v>
      </c>
      <c r="D393" s="5" t="str">
        <f>IFERROR(__xludf.DUMMYFUNCTION("IFERROR(REGEXEXTRACT(A393, ""x:([-+]?[0-9]*\.?[0-9]+)""), """")"),"")</f>
        <v/>
      </c>
      <c r="E393" s="5" t="str">
        <f>IFERROR(__xludf.DUMMYFUNCTION("IFERROR(REGEXEXTRACT(A393, ""y:([-+]?[0-9]*\.?[0-9]+)""), """")"),"")</f>
        <v/>
      </c>
    </row>
    <row r="394">
      <c r="A394" s="3"/>
      <c r="B394" s="4">
        <f>IFERROR(__xludf.DUMMYFUNCTION("IFERROR(VALUE(REGEXEXTRACT(A394, ""angle:(\d+)"")), -1)"),-1.0)</f>
        <v>-1</v>
      </c>
      <c r="C394" s="5" t="str">
        <f t="shared" si="1"/>
        <v>-001</v>
      </c>
      <c r="D394" s="5" t="str">
        <f>IFERROR(__xludf.DUMMYFUNCTION("IFERROR(REGEXEXTRACT(A394, ""x:([-+]?[0-9]*\.?[0-9]+)""), """")"),"")</f>
        <v/>
      </c>
      <c r="E394" s="5" t="str">
        <f>IFERROR(__xludf.DUMMYFUNCTION("IFERROR(REGEXEXTRACT(A394, ""y:([-+]?[0-9]*\.?[0-9]+)""), """")"),"")</f>
        <v/>
      </c>
    </row>
    <row r="395">
      <c r="A395" s="3"/>
      <c r="B395" s="4">
        <f>IFERROR(__xludf.DUMMYFUNCTION("IFERROR(VALUE(REGEXEXTRACT(A395, ""angle:(\d+)"")), -1)"),-1.0)</f>
        <v>-1</v>
      </c>
      <c r="C395" s="5" t="str">
        <f t="shared" si="1"/>
        <v>-001</v>
      </c>
      <c r="D395" s="5" t="str">
        <f>IFERROR(__xludf.DUMMYFUNCTION("IFERROR(REGEXEXTRACT(A395, ""x:([-+]?[0-9]*\.?[0-9]+)""), """")"),"")</f>
        <v/>
      </c>
      <c r="E395" s="5" t="str">
        <f>IFERROR(__xludf.DUMMYFUNCTION("IFERROR(REGEXEXTRACT(A395, ""y:([-+]?[0-9]*\.?[0-9]+)""), """")"),"")</f>
        <v/>
      </c>
    </row>
    <row r="396">
      <c r="A396" s="3"/>
      <c r="B396" s="4">
        <f>IFERROR(__xludf.DUMMYFUNCTION("IFERROR(VALUE(REGEXEXTRACT(A396, ""angle:(\d+)"")), -1)"),-1.0)</f>
        <v>-1</v>
      </c>
      <c r="C396" s="5" t="str">
        <f t="shared" si="1"/>
        <v>-001</v>
      </c>
      <c r="D396" s="5" t="str">
        <f>IFERROR(__xludf.DUMMYFUNCTION("IFERROR(REGEXEXTRACT(A396, ""x:([-+]?[0-9]*\.?[0-9]+)""), """")"),"")</f>
        <v/>
      </c>
      <c r="E396" s="5" t="str">
        <f>IFERROR(__xludf.DUMMYFUNCTION("IFERROR(REGEXEXTRACT(A396, ""y:([-+]?[0-9]*\.?[0-9]+)""), """")"),"")</f>
        <v/>
      </c>
    </row>
    <row r="397">
      <c r="A397" s="3"/>
      <c r="B397" s="4">
        <f>IFERROR(__xludf.DUMMYFUNCTION("IFERROR(VALUE(REGEXEXTRACT(A397, ""angle:(\d+)"")), -1)"),-1.0)</f>
        <v>-1</v>
      </c>
      <c r="C397" s="5" t="str">
        <f t="shared" si="1"/>
        <v>-001</v>
      </c>
      <c r="D397" s="5" t="str">
        <f>IFERROR(__xludf.DUMMYFUNCTION("IFERROR(REGEXEXTRACT(A397, ""x:([-+]?[0-9]*\.?[0-9]+)""), """")"),"")</f>
        <v/>
      </c>
      <c r="E397" s="5" t="str">
        <f>IFERROR(__xludf.DUMMYFUNCTION("IFERROR(REGEXEXTRACT(A397, ""y:([-+]?[0-9]*\.?[0-9]+)""), """")"),"")</f>
        <v/>
      </c>
    </row>
    <row r="398">
      <c r="A398" s="3"/>
      <c r="B398" s="4">
        <f>IFERROR(__xludf.DUMMYFUNCTION("IFERROR(VALUE(REGEXEXTRACT(A398, ""angle:(\d+)"")), -1)"),-1.0)</f>
        <v>-1</v>
      </c>
      <c r="C398" s="5" t="str">
        <f t="shared" si="1"/>
        <v>-001</v>
      </c>
      <c r="D398" s="5" t="str">
        <f>IFERROR(__xludf.DUMMYFUNCTION("IFERROR(REGEXEXTRACT(A398, ""x:([-+]?[0-9]*\.?[0-9]+)""), """")"),"")</f>
        <v/>
      </c>
      <c r="E398" s="5" t="str">
        <f>IFERROR(__xludf.DUMMYFUNCTION("IFERROR(REGEXEXTRACT(A398, ""y:([-+]?[0-9]*\.?[0-9]+)""), """")"),"")</f>
        <v/>
      </c>
    </row>
    <row r="399">
      <c r="A399" s="3"/>
      <c r="B399" s="4">
        <f>IFERROR(__xludf.DUMMYFUNCTION("IFERROR(VALUE(REGEXEXTRACT(A399, ""angle:(\d+)"")), -1)"),-1.0)</f>
        <v>-1</v>
      </c>
      <c r="C399" s="5" t="str">
        <f t="shared" si="1"/>
        <v>-001</v>
      </c>
      <c r="D399" s="5" t="str">
        <f>IFERROR(__xludf.DUMMYFUNCTION("IFERROR(REGEXEXTRACT(A399, ""x:([-+]?[0-9]*\.?[0-9]+)""), """")"),"")</f>
        <v/>
      </c>
      <c r="E399" s="5" t="str">
        <f>IFERROR(__xludf.DUMMYFUNCTION("IFERROR(REGEXEXTRACT(A399, ""y:([-+]?[0-9]*\.?[0-9]+)""), """")"),"")</f>
        <v/>
      </c>
    </row>
    <row r="400">
      <c r="A400" s="3"/>
      <c r="B400" s="4">
        <f>IFERROR(__xludf.DUMMYFUNCTION("IFERROR(VALUE(REGEXEXTRACT(A400, ""angle:(\d+)"")), -1)"),-1.0)</f>
        <v>-1</v>
      </c>
      <c r="C400" s="5" t="str">
        <f t="shared" si="1"/>
        <v>-001</v>
      </c>
      <c r="D400" s="5" t="str">
        <f>IFERROR(__xludf.DUMMYFUNCTION("IFERROR(REGEXEXTRACT(A400, ""x:([-+]?[0-9]*\.?[0-9]+)""), """")"),"")</f>
        <v/>
      </c>
      <c r="E400" s="5" t="str">
        <f>IFERROR(__xludf.DUMMYFUNCTION("IFERROR(REGEXEXTRACT(A400, ""y:([-+]?[0-9]*\.?[0-9]+)""), """")"),"")</f>
        <v/>
      </c>
    </row>
    <row r="401">
      <c r="A401" s="3"/>
      <c r="B401" s="4">
        <f>IFERROR(__xludf.DUMMYFUNCTION("IFERROR(VALUE(REGEXEXTRACT(A401, ""angle:(\d+)"")), -1)"),-1.0)</f>
        <v>-1</v>
      </c>
      <c r="C401" s="5" t="str">
        <f t="shared" si="1"/>
        <v>-001</v>
      </c>
      <c r="D401" s="5" t="str">
        <f>IFERROR(__xludf.DUMMYFUNCTION("IFERROR(REGEXEXTRACT(A401, ""x:([-+]?[0-9]*\.?[0-9]+)""), """")"),"")</f>
        <v/>
      </c>
      <c r="E401" s="5" t="str">
        <f>IFERROR(__xludf.DUMMYFUNCTION("IFERROR(REGEXEXTRACT(A401, ""y:([-+]?[0-9]*\.?[0-9]+)""), """")"),"")</f>
        <v/>
      </c>
    </row>
    <row r="402">
      <c r="A402" s="3"/>
      <c r="B402" s="4">
        <f>IFERROR(__xludf.DUMMYFUNCTION("IFERROR(VALUE(REGEXEXTRACT(A402, ""angle:(\d+)"")), -1)"),-1.0)</f>
        <v>-1</v>
      </c>
      <c r="C402" s="5" t="str">
        <f t="shared" si="1"/>
        <v>-001</v>
      </c>
      <c r="D402" s="5" t="str">
        <f>IFERROR(__xludf.DUMMYFUNCTION("IFERROR(REGEXEXTRACT(A402, ""x:([-+]?[0-9]*\.?[0-9]+)""), """")"),"")</f>
        <v/>
      </c>
      <c r="E402" s="5" t="str">
        <f>IFERROR(__xludf.DUMMYFUNCTION("IFERROR(REGEXEXTRACT(A402, ""y:([-+]?[0-9]*\.?[0-9]+)""), """")"),"")</f>
        <v/>
      </c>
    </row>
    <row r="403">
      <c r="A403" s="3"/>
      <c r="B403" s="4">
        <f>IFERROR(__xludf.DUMMYFUNCTION("IFERROR(VALUE(REGEXEXTRACT(A403, ""angle:(\d+)"")), -1)"),-1.0)</f>
        <v>-1</v>
      </c>
      <c r="C403" s="5" t="str">
        <f t="shared" si="1"/>
        <v>-001</v>
      </c>
      <c r="D403" s="5" t="str">
        <f>IFERROR(__xludf.DUMMYFUNCTION("IFERROR(REGEXEXTRACT(A403, ""x:([-+]?[0-9]*\.?[0-9]+)""), """")"),"")</f>
        <v/>
      </c>
      <c r="E403" s="5" t="str">
        <f>IFERROR(__xludf.DUMMYFUNCTION("IFERROR(REGEXEXTRACT(A403, ""y:([-+]?[0-9]*\.?[0-9]+)""), """")"),"")</f>
        <v/>
      </c>
    </row>
    <row r="404">
      <c r="A404" s="3"/>
      <c r="B404" s="4">
        <f>IFERROR(__xludf.DUMMYFUNCTION("IFERROR(VALUE(REGEXEXTRACT(A404, ""angle:(\d+)"")), -1)"),-1.0)</f>
        <v>-1</v>
      </c>
      <c r="C404" s="5" t="str">
        <f t="shared" si="1"/>
        <v>-001</v>
      </c>
      <c r="D404" s="5" t="str">
        <f>IFERROR(__xludf.DUMMYFUNCTION("IFERROR(REGEXEXTRACT(A404, ""x:([-+]?[0-9]*\.?[0-9]+)""), """")"),"")</f>
        <v/>
      </c>
      <c r="E404" s="5" t="str">
        <f>IFERROR(__xludf.DUMMYFUNCTION("IFERROR(REGEXEXTRACT(A404, ""y:([-+]?[0-9]*\.?[0-9]+)""), """")"),"")</f>
        <v/>
      </c>
    </row>
    <row r="405">
      <c r="A405" s="3"/>
      <c r="B405" s="4">
        <f>IFERROR(__xludf.DUMMYFUNCTION("IFERROR(VALUE(REGEXEXTRACT(A405, ""angle:(\d+)"")), -1)"),-1.0)</f>
        <v>-1</v>
      </c>
      <c r="C405" s="5" t="str">
        <f t="shared" si="1"/>
        <v>-001</v>
      </c>
      <c r="D405" s="5" t="str">
        <f>IFERROR(__xludf.DUMMYFUNCTION("IFERROR(REGEXEXTRACT(A405, ""x:([-+]?[0-9]*\.?[0-9]+)""), """")"),"")</f>
        <v/>
      </c>
      <c r="E405" s="5" t="str">
        <f>IFERROR(__xludf.DUMMYFUNCTION("IFERROR(REGEXEXTRACT(A405, ""y:([-+]?[0-9]*\.?[0-9]+)""), """")"),"")</f>
        <v/>
      </c>
    </row>
    <row r="406">
      <c r="A406" s="3"/>
      <c r="B406" s="4">
        <f>IFERROR(__xludf.DUMMYFUNCTION("IFERROR(VALUE(REGEXEXTRACT(A406, ""angle:(\d+)"")), -1)"),-1.0)</f>
        <v>-1</v>
      </c>
      <c r="C406" s="5" t="str">
        <f t="shared" si="1"/>
        <v>-001</v>
      </c>
      <c r="D406" s="5" t="str">
        <f>IFERROR(__xludf.DUMMYFUNCTION("IFERROR(REGEXEXTRACT(A406, ""x:([-+]?[0-9]*\.?[0-9]+)""), """")"),"")</f>
        <v/>
      </c>
      <c r="E406" s="5" t="str">
        <f>IFERROR(__xludf.DUMMYFUNCTION("IFERROR(REGEXEXTRACT(A406, ""y:([-+]?[0-9]*\.?[0-9]+)""), """")"),"")</f>
        <v/>
      </c>
    </row>
    <row r="407">
      <c r="A407" s="3"/>
      <c r="B407" s="4">
        <f>IFERROR(__xludf.DUMMYFUNCTION("IFERROR(VALUE(REGEXEXTRACT(A407, ""angle:(\d+)"")), -1)"),-1.0)</f>
        <v>-1</v>
      </c>
      <c r="C407" s="5" t="str">
        <f t="shared" si="1"/>
        <v>-001</v>
      </c>
      <c r="D407" s="5" t="str">
        <f>IFERROR(__xludf.DUMMYFUNCTION("IFERROR(REGEXEXTRACT(A407, ""x:([-+]?[0-9]*\.?[0-9]+)""), """")"),"")</f>
        <v/>
      </c>
      <c r="E407" s="5" t="str">
        <f>IFERROR(__xludf.DUMMYFUNCTION("IFERROR(REGEXEXTRACT(A407, ""y:([-+]?[0-9]*\.?[0-9]+)""), """")"),"")</f>
        <v/>
      </c>
    </row>
    <row r="408">
      <c r="A408" s="3"/>
      <c r="B408" s="4">
        <f>IFERROR(__xludf.DUMMYFUNCTION("IFERROR(VALUE(REGEXEXTRACT(A408, ""angle:(\d+)"")), -1)"),-1.0)</f>
        <v>-1</v>
      </c>
      <c r="C408" s="5" t="str">
        <f t="shared" si="1"/>
        <v>-001</v>
      </c>
      <c r="D408" s="5" t="str">
        <f>IFERROR(__xludf.DUMMYFUNCTION("IFERROR(REGEXEXTRACT(A408, ""x:([-+]?[0-9]*\.?[0-9]+)""), """")"),"")</f>
        <v/>
      </c>
      <c r="E408" s="5" t="str">
        <f>IFERROR(__xludf.DUMMYFUNCTION("IFERROR(REGEXEXTRACT(A408, ""y:([-+]?[0-9]*\.?[0-9]+)""), """")"),"")</f>
        <v/>
      </c>
    </row>
    <row r="409">
      <c r="A409" s="3"/>
      <c r="B409" s="4">
        <f>IFERROR(__xludf.DUMMYFUNCTION("IFERROR(VALUE(REGEXEXTRACT(A409, ""angle:(\d+)"")), -1)"),-1.0)</f>
        <v>-1</v>
      </c>
      <c r="C409" s="5" t="str">
        <f t="shared" si="1"/>
        <v>-001</v>
      </c>
      <c r="D409" s="5" t="str">
        <f>IFERROR(__xludf.DUMMYFUNCTION("IFERROR(REGEXEXTRACT(A409, ""x:([-+]?[0-9]*\.?[0-9]+)""), """")"),"")</f>
        <v/>
      </c>
      <c r="E409" s="5" t="str">
        <f>IFERROR(__xludf.DUMMYFUNCTION("IFERROR(REGEXEXTRACT(A409, ""y:([-+]?[0-9]*\.?[0-9]+)""), """")"),"")</f>
        <v/>
      </c>
    </row>
    <row r="410">
      <c r="A410" s="3"/>
      <c r="B410" s="4">
        <f>IFERROR(__xludf.DUMMYFUNCTION("IFERROR(VALUE(REGEXEXTRACT(A410, ""angle:(\d+)"")), -1)"),-1.0)</f>
        <v>-1</v>
      </c>
      <c r="C410" s="5" t="str">
        <f t="shared" si="1"/>
        <v>-001</v>
      </c>
      <c r="D410" s="5" t="str">
        <f>IFERROR(__xludf.DUMMYFUNCTION("IFERROR(REGEXEXTRACT(A410, ""x:([-+]?[0-9]*\.?[0-9]+)""), """")"),"")</f>
        <v/>
      </c>
      <c r="E410" s="5" t="str">
        <f>IFERROR(__xludf.DUMMYFUNCTION("IFERROR(REGEXEXTRACT(A410, ""y:([-+]?[0-9]*\.?[0-9]+)""), """")"),"")</f>
        <v/>
      </c>
    </row>
    <row r="411">
      <c r="A411" s="3"/>
      <c r="B411" s="4">
        <f>IFERROR(__xludf.DUMMYFUNCTION("IFERROR(VALUE(REGEXEXTRACT(A411, ""angle:(\d+)"")), -1)"),-1.0)</f>
        <v>-1</v>
      </c>
      <c r="C411" s="5" t="str">
        <f t="shared" si="1"/>
        <v>-001</v>
      </c>
      <c r="D411" s="5" t="str">
        <f>IFERROR(__xludf.DUMMYFUNCTION("IFERROR(REGEXEXTRACT(A411, ""x:([-+]?[0-9]*\.?[0-9]+)""), """")"),"")</f>
        <v/>
      </c>
      <c r="E411" s="5" t="str">
        <f>IFERROR(__xludf.DUMMYFUNCTION("IFERROR(REGEXEXTRACT(A411, ""y:([-+]?[0-9]*\.?[0-9]+)""), """")"),"")</f>
        <v/>
      </c>
    </row>
    <row r="412">
      <c r="A412" s="3"/>
      <c r="B412" s="4">
        <f>IFERROR(__xludf.DUMMYFUNCTION("IFERROR(VALUE(REGEXEXTRACT(A412, ""angle:(\d+)"")), -1)"),-1.0)</f>
        <v>-1</v>
      </c>
      <c r="C412" s="5" t="str">
        <f t="shared" si="1"/>
        <v>-001</v>
      </c>
      <c r="D412" s="5" t="str">
        <f>IFERROR(__xludf.DUMMYFUNCTION("IFERROR(REGEXEXTRACT(A412, ""x:([-+]?[0-9]*\.?[0-9]+)""), """")"),"")</f>
        <v/>
      </c>
      <c r="E412" s="5" t="str">
        <f>IFERROR(__xludf.DUMMYFUNCTION("IFERROR(REGEXEXTRACT(A412, ""y:([-+]?[0-9]*\.?[0-9]+)""), """")"),"")</f>
        <v/>
      </c>
    </row>
    <row r="413">
      <c r="A413" s="3"/>
      <c r="B413" s="4">
        <f>IFERROR(__xludf.DUMMYFUNCTION("IFERROR(VALUE(REGEXEXTRACT(A413, ""angle:(\d+)"")), -1)"),-1.0)</f>
        <v>-1</v>
      </c>
      <c r="C413" s="5" t="str">
        <f t="shared" si="1"/>
        <v>-001</v>
      </c>
      <c r="D413" s="5" t="str">
        <f>IFERROR(__xludf.DUMMYFUNCTION("IFERROR(REGEXEXTRACT(A413, ""x:([-+]?[0-9]*\.?[0-9]+)""), """")"),"")</f>
        <v/>
      </c>
      <c r="E413" s="5" t="str">
        <f>IFERROR(__xludf.DUMMYFUNCTION("IFERROR(REGEXEXTRACT(A413, ""y:([-+]?[0-9]*\.?[0-9]+)""), """")"),"")</f>
        <v/>
      </c>
    </row>
    <row r="414">
      <c r="A414" s="3"/>
      <c r="B414" s="4">
        <f>IFERROR(__xludf.DUMMYFUNCTION("IFERROR(VALUE(REGEXEXTRACT(A414, ""angle:(\d+)"")), -1)"),-1.0)</f>
        <v>-1</v>
      </c>
      <c r="C414" s="5" t="str">
        <f t="shared" si="1"/>
        <v>-001</v>
      </c>
      <c r="D414" s="5" t="str">
        <f>IFERROR(__xludf.DUMMYFUNCTION("IFERROR(REGEXEXTRACT(A414, ""x:([-+]?[0-9]*\.?[0-9]+)""), """")"),"")</f>
        <v/>
      </c>
      <c r="E414" s="5" t="str">
        <f>IFERROR(__xludf.DUMMYFUNCTION("IFERROR(REGEXEXTRACT(A414, ""y:([-+]?[0-9]*\.?[0-9]+)""), """")"),"")</f>
        <v/>
      </c>
    </row>
    <row r="415">
      <c r="A415" s="3"/>
      <c r="B415" s="4">
        <f>IFERROR(__xludf.DUMMYFUNCTION("IFERROR(VALUE(REGEXEXTRACT(A415, ""angle:(\d+)"")), -1)"),-1.0)</f>
        <v>-1</v>
      </c>
      <c r="C415" s="5" t="str">
        <f t="shared" si="1"/>
        <v>-001</v>
      </c>
      <c r="D415" s="5" t="str">
        <f>IFERROR(__xludf.DUMMYFUNCTION("IFERROR(REGEXEXTRACT(A415, ""x:([-+]?[0-9]*\.?[0-9]+)""), """")"),"")</f>
        <v/>
      </c>
      <c r="E415" s="5" t="str">
        <f>IFERROR(__xludf.DUMMYFUNCTION("IFERROR(REGEXEXTRACT(A415, ""y:([-+]?[0-9]*\.?[0-9]+)""), """")"),"")</f>
        <v/>
      </c>
    </row>
    <row r="416">
      <c r="A416" s="3"/>
      <c r="B416" s="4">
        <f>IFERROR(__xludf.DUMMYFUNCTION("IFERROR(VALUE(REGEXEXTRACT(A416, ""angle:(\d+)"")), -1)"),-1.0)</f>
        <v>-1</v>
      </c>
      <c r="C416" s="5" t="str">
        <f t="shared" si="1"/>
        <v>-001</v>
      </c>
      <c r="D416" s="5" t="str">
        <f>IFERROR(__xludf.DUMMYFUNCTION("IFERROR(REGEXEXTRACT(A416, ""x:([-+]?[0-9]*\.?[0-9]+)""), """")"),"")</f>
        <v/>
      </c>
      <c r="E416" s="5" t="str">
        <f>IFERROR(__xludf.DUMMYFUNCTION("IFERROR(REGEXEXTRACT(A416, ""y:([-+]?[0-9]*\.?[0-9]+)""), """")"),"")</f>
        <v/>
      </c>
    </row>
    <row r="417">
      <c r="A417" s="3"/>
      <c r="B417" s="4">
        <f>IFERROR(__xludf.DUMMYFUNCTION("IFERROR(VALUE(REGEXEXTRACT(A417, ""angle:(\d+)"")), -1)"),-1.0)</f>
        <v>-1</v>
      </c>
      <c r="C417" s="5" t="str">
        <f t="shared" si="1"/>
        <v>-001</v>
      </c>
      <c r="D417" s="5" t="str">
        <f>IFERROR(__xludf.DUMMYFUNCTION("IFERROR(REGEXEXTRACT(A417, ""x:([-+]?[0-9]*\.?[0-9]+)""), """")"),"")</f>
        <v/>
      </c>
      <c r="E417" s="5" t="str">
        <f>IFERROR(__xludf.DUMMYFUNCTION("IFERROR(REGEXEXTRACT(A417, ""y:([-+]?[0-9]*\.?[0-9]+)""), """")"),"")</f>
        <v/>
      </c>
    </row>
    <row r="418">
      <c r="A418" s="3"/>
      <c r="B418" s="4">
        <f>IFERROR(__xludf.DUMMYFUNCTION("IFERROR(VALUE(REGEXEXTRACT(A418, ""angle:(\d+)"")), -1)"),-1.0)</f>
        <v>-1</v>
      </c>
      <c r="C418" s="5" t="str">
        <f t="shared" si="1"/>
        <v>-001</v>
      </c>
      <c r="D418" s="5" t="str">
        <f>IFERROR(__xludf.DUMMYFUNCTION("IFERROR(REGEXEXTRACT(A418, ""x:([-+]?[0-9]*\.?[0-9]+)""), """")"),"")</f>
        <v/>
      </c>
      <c r="E418" s="5" t="str">
        <f>IFERROR(__xludf.DUMMYFUNCTION("IFERROR(REGEXEXTRACT(A418, ""y:([-+]?[0-9]*\.?[0-9]+)""), """")"),"")</f>
        <v/>
      </c>
    </row>
    <row r="419">
      <c r="A419" s="3"/>
      <c r="B419" s="4">
        <f>IFERROR(__xludf.DUMMYFUNCTION("IFERROR(VALUE(REGEXEXTRACT(A419, ""angle:(\d+)"")), -1)"),-1.0)</f>
        <v>-1</v>
      </c>
      <c r="C419" s="5" t="str">
        <f t="shared" si="1"/>
        <v>-001</v>
      </c>
      <c r="D419" s="5" t="str">
        <f>IFERROR(__xludf.DUMMYFUNCTION("IFERROR(REGEXEXTRACT(A419, ""x:([-+]?[0-9]*\.?[0-9]+)""), """")"),"")</f>
        <v/>
      </c>
      <c r="E419" s="5" t="str">
        <f>IFERROR(__xludf.DUMMYFUNCTION("IFERROR(REGEXEXTRACT(A419, ""y:([-+]?[0-9]*\.?[0-9]+)""), """")"),"")</f>
        <v/>
      </c>
    </row>
    <row r="420">
      <c r="A420" s="3"/>
      <c r="B420" s="4">
        <f>IFERROR(__xludf.DUMMYFUNCTION("IFERROR(VALUE(REGEXEXTRACT(A420, ""angle:(\d+)"")), -1)"),-1.0)</f>
        <v>-1</v>
      </c>
      <c r="C420" s="5" t="str">
        <f t="shared" si="1"/>
        <v>-001</v>
      </c>
      <c r="D420" s="5" t="str">
        <f>IFERROR(__xludf.DUMMYFUNCTION("IFERROR(REGEXEXTRACT(A420, ""x:([-+]?[0-9]*\.?[0-9]+)""), """")"),"")</f>
        <v/>
      </c>
      <c r="E420" s="5" t="str">
        <f>IFERROR(__xludf.DUMMYFUNCTION("IFERROR(REGEXEXTRACT(A420, ""y:([-+]?[0-9]*\.?[0-9]+)""), """")"),"")</f>
        <v/>
      </c>
    </row>
    <row r="421">
      <c r="A421" s="3"/>
      <c r="B421" s="4">
        <f>IFERROR(__xludf.DUMMYFUNCTION("IFERROR(VALUE(REGEXEXTRACT(A421, ""angle:(\d+)"")), -1)"),-1.0)</f>
        <v>-1</v>
      </c>
      <c r="C421" s="5" t="str">
        <f t="shared" si="1"/>
        <v>-001</v>
      </c>
      <c r="D421" s="5" t="str">
        <f>IFERROR(__xludf.DUMMYFUNCTION("IFERROR(REGEXEXTRACT(A421, ""x:([-+]?[0-9]*\.?[0-9]+)""), """")"),"")</f>
        <v/>
      </c>
      <c r="E421" s="5" t="str">
        <f>IFERROR(__xludf.DUMMYFUNCTION("IFERROR(REGEXEXTRACT(A421, ""y:([-+]?[0-9]*\.?[0-9]+)""), """")"),"")</f>
        <v/>
      </c>
    </row>
    <row r="422">
      <c r="A422" s="3"/>
      <c r="B422" s="4">
        <f>IFERROR(__xludf.DUMMYFUNCTION("IFERROR(VALUE(REGEXEXTRACT(A422, ""angle:(\d+)"")), -1)"),-1.0)</f>
        <v>-1</v>
      </c>
      <c r="C422" s="5" t="str">
        <f t="shared" si="1"/>
        <v>-001</v>
      </c>
      <c r="D422" s="5" t="str">
        <f>IFERROR(__xludf.DUMMYFUNCTION("IFERROR(REGEXEXTRACT(A422, ""x:([-+]?[0-9]*\.?[0-9]+)""), """")"),"")</f>
        <v/>
      </c>
      <c r="E422" s="5" t="str">
        <f>IFERROR(__xludf.DUMMYFUNCTION("IFERROR(REGEXEXTRACT(A422, ""y:([-+]?[0-9]*\.?[0-9]+)""), """")"),"")</f>
        <v/>
      </c>
    </row>
    <row r="423">
      <c r="A423" s="3"/>
      <c r="B423" s="4">
        <f>IFERROR(__xludf.DUMMYFUNCTION("IFERROR(VALUE(REGEXEXTRACT(A423, ""angle:(\d+)"")), -1)"),-1.0)</f>
        <v>-1</v>
      </c>
      <c r="C423" s="5" t="str">
        <f t="shared" si="1"/>
        <v>-001</v>
      </c>
      <c r="D423" s="5" t="str">
        <f>IFERROR(__xludf.DUMMYFUNCTION("IFERROR(REGEXEXTRACT(A423, ""x:([-+]?[0-9]*\.?[0-9]+)""), """")"),"")</f>
        <v/>
      </c>
      <c r="E423" s="5" t="str">
        <f>IFERROR(__xludf.DUMMYFUNCTION("IFERROR(REGEXEXTRACT(A423, ""y:([-+]?[0-9]*\.?[0-9]+)""), """")"),"")</f>
        <v/>
      </c>
    </row>
    <row r="424">
      <c r="A424" s="3"/>
      <c r="B424" s="4">
        <f>IFERROR(__xludf.DUMMYFUNCTION("IFERROR(VALUE(REGEXEXTRACT(A424, ""angle:(\d+)"")), -1)"),-1.0)</f>
        <v>-1</v>
      </c>
      <c r="C424" s="5" t="str">
        <f t="shared" si="1"/>
        <v>-001</v>
      </c>
      <c r="D424" s="5" t="str">
        <f>IFERROR(__xludf.DUMMYFUNCTION("IFERROR(REGEXEXTRACT(A424, ""x:([-+]?[0-9]*\.?[0-9]+)""), """")"),"")</f>
        <v/>
      </c>
      <c r="E424" s="5" t="str">
        <f>IFERROR(__xludf.DUMMYFUNCTION("IFERROR(REGEXEXTRACT(A424, ""y:([-+]?[0-9]*\.?[0-9]+)""), """")"),"")</f>
        <v/>
      </c>
    </row>
    <row r="425">
      <c r="A425" s="3"/>
      <c r="B425" s="4">
        <f>IFERROR(__xludf.DUMMYFUNCTION("IFERROR(VALUE(REGEXEXTRACT(A425, ""angle:(\d+)"")), -1)"),-1.0)</f>
        <v>-1</v>
      </c>
      <c r="C425" s="5" t="str">
        <f t="shared" si="1"/>
        <v>-001</v>
      </c>
      <c r="D425" s="5" t="str">
        <f>IFERROR(__xludf.DUMMYFUNCTION("IFERROR(REGEXEXTRACT(A425, ""x:([-+]?[0-9]*\.?[0-9]+)""), """")"),"")</f>
        <v/>
      </c>
      <c r="E425" s="5" t="str">
        <f>IFERROR(__xludf.DUMMYFUNCTION("IFERROR(REGEXEXTRACT(A425, ""y:([-+]?[0-9]*\.?[0-9]+)""), """")"),"")</f>
        <v/>
      </c>
    </row>
    <row r="426">
      <c r="A426" s="3"/>
      <c r="B426" s="4">
        <f>IFERROR(__xludf.DUMMYFUNCTION("IFERROR(VALUE(REGEXEXTRACT(A426, ""angle:(\d+)"")), -1)"),-1.0)</f>
        <v>-1</v>
      </c>
      <c r="C426" s="5" t="str">
        <f t="shared" si="1"/>
        <v>-001</v>
      </c>
      <c r="D426" s="5" t="str">
        <f>IFERROR(__xludf.DUMMYFUNCTION("IFERROR(REGEXEXTRACT(A426, ""x:([-+]?[0-9]*\.?[0-9]+)""), """")"),"")</f>
        <v/>
      </c>
      <c r="E426" s="5" t="str">
        <f>IFERROR(__xludf.DUMMYFUNCTION("IFERROR(REGEXEXTRACT(A426, ""y:([-+]?[0-9]*\.?[0-9]+)""), """")"),"")</f>
        <v/>
      </c>
    </row>
    <row r="427">
      <c r="A427" s="3"/>
      <c r="B427" s="4">
        <f>IFERROR(__xludf.DUMMYFUNCTION("IFERROR(VALUE(REGEXEXTRACT(A427, ""angle:(\d+)"")), -1)"),-1.0)</f>
        <v>-1</v>
      </c>
      <c r="C427" s="5" t="str">
        <f t="shared" si="1"/>
        <v>-001</v>
      </c>
      <c r="D427" s="5" t="str">
        <f>IFERROR(__xludf.DUMMYFUNCTION("IFERROR(REGEXEXTRACT(A427, ""x:([-+]?[0-9]*\.?[0-9]+)""), """")"),"")</f>
        <v/>
      </c>
      <c r="E427" s="5" t="str">
        <f>IFERROR(__xludf.DUMMYFUNCTION("IFERROR(REGEXEXTRACT(A427, ""y:([-+]?[0-9]*\.?[0-9]+)""), """")"),"")</f>
        <v/>
      </c>
    </row>
    <row r="428">
      <c r="A428" s="3"/>
      <c r="B428" s="4">
        <f>IFERROR(__xludf.DUMMYFUNCTION("IFERROR(VALUE(REGEXEXTRACT(A428, ""angle:(\d+)"")), -1)"),-1.0)</f>
        <v>-1</v>
      </c>
      <c r="C428" s="5" t="str">
        <f t="shared" si="1"/>
        <v>-001</v>
      </c>
      <c r="D428" s="5" t="str">
        <f>IFERROR(__xludf.DUMMYFUNCTION("IFERROR(REGEXEXTRACT(A428, ""x:([-+]?[0-9]*\.?[0-9]+)""), """")"),"")</f>
        <v/>
      </c>
      <c r="E428" s="5" t="str">
        <f>IFERROR(__xludf.DUMMYFUNCTION("IFERROR(REGEXEXTRACT(A428, ""y:([-+]?[0-9]*\.?[0-9]+)""), """")"),"")</f>
        <v/>
      </c>
    </row>
    <row r="429">
      <c r="A429" s="3"/>
      <c r="B429" s="4">
        <f>IFERROR(__xludf.DUMMYFUNCTION("IFERROR(VALUE(REGEXEXTRACT(A429, ""angle:(\d+)"")), -1)"),-1.0)</f>
        <v>-1</v>
      </c>
      <c r="C429" s="5" t="str">
        <f t="shared" si="1"/>
        <v>-001</v>
      </c>
      <c r="D429" s="5" t="str">
        <f>IFERROR(__xludf.DUMMYFUNCTION("IFERROR(REGEXEXTRACT(A429, ""x:([-+]?[0-9]*\.?[0-9]+)""), """")"),"")</f>
        <v/>
      </c>
      <c r="E429" s="5" t="str">
        <f>IFERROR(__xludf.DUMMYFUNCTION("IFERROR(REGEXEXTRACT(A429, ""y:([-+]?[0-9]*\.?[0-9]+)""), """")"),"")</f>
        <v/>
      </c>
    </row>
    <row r="430">
      <c r="A430" s="3"/>
      <c r="B430" s="4">
        <f>IFERROR(__xludf.DUMMYFUNCTION("IFERROR(VALUE(REGEXEXTRACT(A430, ""angle:(\d+)"")), -1)"),-1.0)</f>
        <v>-1</v>
      </c>
      <c r="C430" s="5" t="str">
        <f t="shared" si="1"/>
        <v>-001</v>
      </c>
      <c r="D430" s="5" t="str">
        <f>IFERROR(__xludf.DUMMYFUNCTION("IFERROR(REGEXEXTRACT(A430, ""x:([-+]?[0-9]*\.?[0-9]+)""), """")"),"")</f>
        <v/>
      </c>
      <c r="E430" s="5" t="str">
        <f>IFERROR(__xludf.DUMMYFUNCTION("IFERROR(REGEXEXTRACT(A430, ""y:([-+]?[0-9]*\.?[0-9]+)""), """")"),"")</f>
        <v/>
      </c>
    </row>
    <row r="431">
      <c r="A431" s="3"/>
      <c r="B431" s="4">
        <f>IFERROR(__xludf.DUMMYFUNCTION("IFERROR(VALUE(REGEXEXTRACT(A431, ""angle:(\d+)"")), -1)"),-1.0)</f>
        <v>-1</v>
      </c>
      <c r="C431" s="5" t="str">
        <f t="shared" si="1"/>
        <v>-001</v>
      </c>
      <c r="D431" s="5" t="str">
        <f>IFERROR(__xludf.DUMMYFUNCTION("IFERROR(REGEXEXTRACT(A431, ""x:([-+]?[0-9]*\.?[0-9]+)""), """")"),"")</f>
        <v/>
      </c>
      <c r="E431" s="5" t="str">
        <f>IFERROR(__xludf.DUMMYFUNCTION("IFERROR(REGEXEXTRACT(A431, ""y:([-+]?[0-9]*\.?[0-9]+)""), """")"),"")</f>
        <v/>
      </c>
    </row>
    <row r="432">
      <c r="A432" s="3"/>
      <c r="B432" s="4">
        <f>IFERROR(__xludf.DUMMYFUNCTION("IFERROR(VALUE(REGEXEXTRACT(A432, ""angle:(\d+)"")), -1)"),-1.0)</f>
        <v>-1</v>
      </c>
      <c r="C432" s="5" t="str">
        <f t="shared" si="1"/>
        <v>-001</v>
      </c>
      <c r="D432" s="5" t="str">
        <f>IFERROR(__xludf.DUMMYFUNCTION("IFERROR(REGEXEXTRACT(A432, ""x:([-+]?[0-9]*\.?[0-9]+)""), """")"),"")</f>
        <v/>
      </c>
      <c r="E432" s="5" t="str">
        <f>IFERROR(__xludf.DUMMYFUNCTION("IFERROR(REGEXEXTRACT(A432, ""y:([-+]?[0-9]*\.?[0-9]+)""), """")"),"")</f>
        <v/>
      </c>
    </row>
    <row r="433">
      <c r="A433" s="3"/>
      <c r="B433" s="4">
        <f>IFERROR(__xludf.DUMMYFUNCTION("IFERROR(VALUE(REGEXEXTRACT(A433, ""angle:(\d+)"")), -1)"),-1.0)</f>
        <v>-1</v>
      </c>
      <c r="C433" s="5" t="str">
        <f t="shared" si="1"/>
        <v>-001</v>
      </c>
      <c r="D433" s="5" t="str">
        <f>IFERROR(__xludf.DUMMYFUNCTION("IFERROR(REGEXEXTRACT(A433, ""x:([-+]?[0-9]*\.?[0-9]+)""), """")"),"")</f>
        <v/>
      </c>
      <c r="E433" s="5" t="str">
        <f>IFERROR(__xludf.DUMMYFUNCTION("IFERROR(REGEXEXTRACT(A433, ""y:([-+]?[0-9]*\.?[0-9]+)""), """")"),"")</f>
        <v/>
      </c>
    </row>
    <row r="434">
      <c r="A434" s="3"/>
      <c r="B434" s="4">
        <f>IFERROR(__xludf.DUMMYFUNCTION("IFERROR(VALUE(REGEXEXTRACT(A434, ""angle:(\d+)"")), -1)"),-1.0)</f>
        <v>-1</v>
      </c>
      <c r="C434" s="5" t="str">
        <f t="shared" si="1"/>
        <v>-001</v>
      </c>
      <c r="D434" s="5" t="str">
        <f>IFERROR(__xludf.DUMMYFUNCTION("IFERROR(REGEXEXTRACT(A434, ""x:([-+]?[0-9]*\.?[0-9]+)""), """")"),"")</f>
        <v/>
      </c>
      <c r="E434" s="5" t="str">
        <f>IFERROR(__xludf.DUMMYFUNCTION("IFERROR(REGEXEXTRACT(A434, ""y:([-+]?[0-9]*\.?[0-9]+)""), """")"),"")</f>
        <v/>
      </c>
    </row>
    <row r="435">
      <c r="A435" s="3"/>
      <c r="B435" s="4">
        <f>IFERROR(__xludf.DUMMYFUNCTION("IFERROR(VALUE(REGEXEXTRACT(A435, ""angle:(\d+)"")), -1)"),-1.0)</f>
        <v>-1</v>
      </c>
      <c r="C435" s="5" t="str">
        <f t="shared" si="1"/>
        <v>-001</v>
      </c>
      <c r="D435" s="5" t="str">
        <f>IFERROR(__xludf.DUMMYFUNCTION("IFERROR(REGEXEXTRACT(A435, ""x:([-+]?[0-9]*\.?[0-9]+)""), """")"),"")</f>
        <v/>
      </c>
      <c r="E435" s="5" t="str">
        <f>IFERROR(__xludf.DUMMYFUNCTION("IFERROR(REGEXEXTRACT(A435, ""y:([-+]?[0-9]*\.?[0-9]+)""), """")"),"")</f>
        <v/>
      </c>
    </row>
    <row r="436">
      <c r="A436" s="3"/>
      <c r="B436" s="4">
        <f>IFERROR(__xludf.DUMMYFUNCTION("IFERROR(VALUE(REGEXEXTRACT(A436, ""angle:(\d+)"")), -1)"),-1.0)</f>
        <v>-1</v>
      </c>
      <c r="C436" s="5" t="str">
        <f t="shared" si="1"/>
        <v>-001</v>
      </c>
      <c r="D436" s="5" t="str">
        <f>IFERROR(__xludf.DUMMYFUNCTION("IFERROR(REGEXEXTRACT(A436, ""x:([-+]?[0-9]*\.?[0-9]+)""), """")"),"")</f>
        <v/>
      </c>
      <c r="E436" s="5" t="str">
        <f>IFERROR(__xludf.DUMMYFUNCTION("IFERROR(REGEXEXTRACT(A436, ""y:([-+]?[0-9]*\.?[0-9]+)""), """")"),"")</f>
        <v/>
      </c>
    </row>
    <row r="437">
      <c r="A437" s="3"/>
      <c r="B437" s="4">
        <f>IFERROR(__xludf.DUMMYFUNCTION("IFERROR(VALUE(REGEXEXTRACT(A437, ""angle:(\d+)"")), -1)"),-1.0)</f>
        <v>-1</v>
      </c>
      <c r="C437" s="5" t="str">
        <f t="shared" si="1"/>
        <v>-001</v>
      </c>
      <c r="D437" s="5" t="str">
        <f>IFERROR(__xludf.DUMMYFUNCTION("IFERROR(REGEXEXTRACT(A437, ""x:([-+]?[0-9]*\.?[0-9]+)""), """")"),"")</f>
        <v/>
      </c>
      <c r="E437" s="5" t="str">
        <f>IFERROR(__xludf.DUMMYFUNCTION("IFERROR(REGEXEXTRACT(A437, ""y:([-+]?[0-9]*\.?[0-9]+)""), """")"),"")</f>
        <v/>
      </c>
    </row>
    <row r="438">
      <c r="A438" s="3"/>
      <c r="B438" s="4">
        <f>IFERROR(__xludf.DUMMYFUNCTION("IFERROR(VALUE(REGEXEXTRACT(A438, ""angle:(\d+)"")), -1)"),-1.0)</f>
        <v>-1</v>
      </c>
      <c r="C438" s="5" t="str">
        <f t="shared" si="1"/>
        <v>-001</v>
      </c>
      <c r="D438" s="5" t="str">
        <f>IFERROR(__xludf.DUMMYFUNCTION("IFERROR(REGEXEXTRACT(A438, ""x:([-+]?[0-9]*\.?[0-9]+)""), """")"),"")</f>
        <v/>
      </c>
      <c r="E438" s="5" t="str">
        <f>IFERROR(__xludf.DUMMYFUNCTION("IFERROR(REGEXEXTRACT(A438, ""y:([-+]?[0-9]*\.?[0-9]+)""), """")"),"")</f>
        <v/>
      </c>
    </row>
    <row r="439">
      <c r="A439" s="3"/>
      <c r="B439" s="4">
        <f>IFERROR(__xludf.DUMMYFUNCTION("IFERROR(VALUE(REGEXEXTRACT(A439, ""angle:(\d+)"")), -1)"),-1.0)</f>
        <v>-1</v>
      </c>
      <c r="C439" s="5" t="str">
        <f t="shared" si="1"/>
        <v>-001</v>
      </c>
      <c r="D439" s="5" t="str">
        <f>IFERROR(__xludf.DUMMYFUNCTION("IFERROR(REGEXEXTRACT(A439, ""x:([-+]?[0-9]*\.?[0-9]+)""), """")"),"")</f>
        <v/>
      </c>
      <c r="E439" s="5" t="str">
        <f>IFERROR(__xludf.DUMMYFUNCTION("IFERROR(REGEXEXTRACT(A439, ""y:([-+]?[0-9]*\.?[0-9]+)""), """")"),"")</f>
        <v/>
      </c>
    </row>
    <row r="440">
      <c r="A440" s="3"/>
      <c r="B440" s="4">
        <f>IFERROR(__xludf.DUMMYFUNCTION("IFERROR(VALUE(REGEXEXTRACT(A440, ""angle:(\d+)"")), -1)"),-1.0)</f>
        <v>-1</v>
      </c>
      <c r="C440" s="5" t="str">
        <f t="shared" si="1"/>
        <v>-001</v>
      </c>
      <c r="D440" s="5" t="str">
        <f>IFERROR(__xludf.DUMMYFUNCTION("IFERROR(REGEXEXTRACT(A440, ""x:([-+]?[0-9]*\.?[0-9]+)""), """")"),"")</f>
        <v/>
      </c>
      <c r="E440" s="5" t="str">
        <f>IFERROR(__xludf.DUMMYFUNCTION("IFERROR(REGEXEXTRACT(A440, ""y:([-+]?[0-9]*\.?[0-9]+)""), """")"),"")</f>
        <v/>
      </c>
    </row>
    <row r="441">
      <c r="A441" s="3"/>
      <c r="B441" s="4">
        <f>IFERROR(__xludf.DUMMYFUNCTION("IFERROR(VALUE(REGEXEXTRACT(A441, ""angle:(\d+)"")), -1)"),-1.0)</f>
        <v>-1</v>
      </c>
      <c r="C441" s="5" t="str">
        <f t="shared" si="1"/>
        <v>-001</v>
      </c>
      <c r="D441" s="5" t="str">
        <f>IFERROR(__xludf.DUMMYFUNCTION("IFERROR(REGEXEXTRACT(A441, ""x:([-+]?[0-9]*\.?[0-9]+)""), """")"),"")</f>
        <v/>
      </c>
      <c r="E441" s="5" t="str">
        <f>IFERROR(__xludf.DUMMYFUNCTION("IFERROR(REGEXEXTRACT(A441, ""y:([-+]?[0-9]*\.?[0-9]+)""), """")"),"")</f>
        <v/>
      </c>
    </row>
    <row r="442">
      <c r="A442" s="13"/>
      <c r="B442" s="4">
        <f>IFERROR(__xludf.DUMMYFUNCTION("IFERROR(VALUE(REGEXEXTRACT(A442, ""angle:(\d+)"")), -1)"),-1.0)</f>
        <v>-1</v>
      </c>
      <c r="C442" s="5" t="str">
        <f t="shared" si="1"/>
        <v>-001</v>
      </c>
      <c r="D442" s="5" t="str">
        <f>IFERROR(__xludf.DUMMYFUNCTION("IFERROR(REGEXEXTRACT(A442, ""x:([-+]?[0-9]*\.?[0-9]+)""), """")"),"")</f>
        <v/>
      </c>
      <c r="E442" s="5" t="str">
        <f>IFERROR(__xludf.DUMMYFUNCTION("IFERROR(REGEXEXTRACT(A442, ""y:([-+]?[0-9]*\.?[0-9]+)""), """")"),"")</f>
        <v/>
      </c>
    </row>
    <row r="443">
      <c r="A443" s="13"/>
      <c r="B443" s="4">
        <f>IFERROR(__xludf.DUMMYFUNCTION("IFERROR(VALUE(REGEXEXTRACT(A443, ""angle:(\d+)"")), -1)"),-1.0)</f>
        <v>-1</v>
      </c>
      <c r="C443" s="5" t="str">
        <f t="shared" si="1"/>
        <v>-001</v>
      </c>
      <c r="D443" s="5" t="str">
        <f>IFERROR(__xludf.DUMMYFUNCTION("IFERROR(REGEXEXTRACT(A443, ""x:([-+]?[0-9]*\.?[0-9]+)""), """")"),"")</f>
        <v/>
      </c>
      <c r="E443" s="5" t="str">
        <f>IFERROR(__xludf.DUMMYFUNCTION("IFERROR(REGEXEXTRACT(A443, ""y:([-+]?[0-9]*\.?[0-9]+)""), """")"),"")</f>
        <v/>
      </c>
    </row>
    <row r="444">
      <c r="A444" s="13"/>
      <c r="B444" s="4">
        <f>IFERROR(__xludf.DUMMYFUNCTION("IFERROR(VALUE(REGEXEXTRACT(A444, ""angle:(\d+)"")), -1)"),-1.0)</f>
        <v>-1</v>
      </c>
      <c r="C444" s="5" t="str">
        <f t="shared" si="1"/>
        <v>-001</v>
      </c>
      <c r="D444" s="5" t="str">
        <f>IFERROR(__xludf.DUMMYFUNCTION("IFERROR(REGEXEXTRACT(A444, ""x:([-+]?[0-9]*\.?[0-9]+)""), """")"),"")</f>
        <v/>
      </c>
      <c r="E444" s="5" t="str">
        <f>IFERROR(__xludf.DUMMYFUNCTION("IFERROR(REGEXEXTRACT(A444, ""y:([-+]?[0-9]*\.?[0-9]+)""), """")"),"")</f>
        <v/>
      </c>
    </row>
    <row r="445">
      <c r="A445" s="13"/>
      <c r="B445" s="4">
        <f>IFERROR(__xludf.DUMMYFUNCTION("IFERROR(VALUE(REGEXEXTRACT(A445, ""angle:(\d+)"")), -1)"),-1.0)</f>
        <v>-1</v>
      </c>
      <c r="C445" s="5" t="str">
        <f t="shared" si="1"/>
        <v>-001</v>
      </c>
      <c r="D445" s="5" t="str">
        <f>IFERROR(__xludf.DUMMYFUNCTION("IFERROR(REGEXEXTRACT(A445, ""x:([-+]?[0-9]*\.?[0-9]+)""), """")"),"")</f>
        <v/>
      </c>
      <c r="E445" s="5" t="str">
        <f>IFERROR(__xludf.DUMMYFUNCTION("IFERROR(REGEXEXTRACT(A445, ""y:([-+]?[0-9]*\.?[0-9]+)""), """")"),"")</f>
        <v/>
      </c>
    </row>
    <row r="446">
      <c r="A446" s="13"/>
      <c r="B446" s="4">
        <f>IFERROR(__xludf.DUMMYFUNCTION("IFERROR(VALUE(REGEXEXTRACT(A446, ""angle:(\d+)"")), -1)"),-1.0)</f>
        <v>-1</v>
      </c>
      <c r="C446" s="5" t="str">
        <f t="shared" si="1"/>
        <v>-001</v>
      </c>
      <c r="D446" s="5" t="str">
        <f>IFERROR(__xludf.DUMMYFUNCTION("IFERROR(REGEXEXTRACT(A446, ""x:([-+]?[0-9]*\.?[0-9]+)""), """")"),"")</f>
        <v/>
      </c>
      <c r="E446" s="5" t="str">
        <f>IFERROR(__xludf.DUMMYFUNCTION("IFERROR(REGEXEXTRACT(A446, ""y:([-+]?[0-9]*\.?[0-9]+)""), """")"),"")</f>
        <v/>
      </c>
    </row>
    <row r="447">
      <c r="A447" s="13"/>
      <c r="B447" s="4">
        <f>IFERROR(__xludf.DUMMYFUNCTION("IFERROR(VALUE(REGEXEXTRACT(A447, ""angle:(\d+)"")), -1)"),-1.0)</f>
        <v>-1</v>
      </c>
      <c r="C447" s="5" t="str">
        <f t="shared" si="1"/>
        <v>-001</v>
      </c>
      <c r="D447" s="5" t="str">
        <f>IFERROR(__xludf.DUMMYFUNCTION("IFERROR(REGEXEXTRACT(A447, ""x:([-+]?[0-9]*\.?[0-9]+)""), """")"),"")</f>
        <v/>
      </c>
      <c r="E447" s="5" t="str">
        <f>IFERROR(__xludf.DUMMYFUNCTION("IFERROR(REGEXEXTRACT(A447, ""y:([-+]?[0-9]*\.?[0-9]+)""), """")"),"")</f>
        <v/>
      </c>
    </row>
    <row r="448">
      <c r="A448" s="13"/>
      <c r="B448" s="4">
        <f>IFERROR(__xludf.DUMMYFUNCTION("IFERROR(VALUE(REGEXEXTRACT(A448, ""angle:(\d+)"")), -1)"),-1.0)</f>
        <v>-1</v>
      </c>
      <c r="C448" s="5" t="str">
        <f t="shared" si="1"/>
        <v>-001</v>
      </c>
      <c r="D448" s="5" t="str">
        <f>IFERROR(__xludf.DUMMYFUNCTION("IFERROR(REGEXEXTRACT(A448, ""x:([-+]?[0-9]*\.?[0-9]+)""), """")"),"")</f>
        <v/>
      </c>
      <c r="E448" s="5" t="str">
        <f>IFERROR(__xludf.DUMMYFUNCTION("IFERROR(REGEXEXTRACT(A448, ""y:([-+]?[0-9]*\.?[0-9]+)""), """")"),"")</f>
        <v/>
      </c>
    </row>
    <row r="449">
      <c r="A449" s="13"/>
      <c r="B449" s="4">
        <f>IFERROR(__xludf.DUMMYFUNCTION("IFERROR(VALUE(REGEXEXTRACT(A449, ""angle:(\d+)"")), -1)"),-1.0)</f>
        <v>-1</v>
      </c>
      <c r="C449" s="5" t="str">
        <f t="shared" si="1"/>
        <v>-001</v>
      </c>
      <c r="D449" s="5" t="str">
        <f>IFERROR(__xludf.DUMMYFUNCTION("IFERROR(REGEXEXTRACT(A449, ""x:([-+]?[0-9]*\.?[0-9]+)""), """")"),"")</f>
        <v/>
      </c>
      <c r="E449" s="5" t="str">
        <f>IFERROR(__xludf.DUMMYFUNCTION("IFERROR(REGEXEXTRACT(A449, ""y:([-+]?[0-9]*\.?[0-9]+)""), """")"),"")</f>
        <v/>
      </c>
    </row>
    <row r="450">
      <c r="A450" s="13"/>
      <c r="B450" s="4">
        <f>IFERROR(__xludf.DUMMYFUNCTION("IFERROR(VALUE(REGEXEXTRACT(A450, ""angle:(\d+)"")), -1)"),-1.0)</f>
        <v>-1</v>
      </c>
      <c r="C450" s="5" t="str">
        <f t="shared" si="1"/>
        <v>-001</v>
      </c>
      <c r="D450" s="5" t="str">
        <f>IFERROR(__xludf.DUMMYFUNCTION("IFERROR(REGEXEXTRACT(A450, ""x:([-+]?[0-9]*\.?[0-9]+)""), """")"),"")</f>
        <v/>
      </c>
      <c r="E450" s="5" t="str">
        <f>IFERROR(__xludf.DUMMYFUNCTION("IFERROR(REGEXEXTRACT(A450, ""y:([-+]?[0-9]*\.?[0-9]+)""), """")"),"")</f>
        <v/>
      </c>
    </row>
    <row r="451">
      <c r="A451" s="13"/>
      <c r="B451" s="4">
        <f>IFERROR(__xludf.DUMMYFUNCTION("IFERROR(VALUE(REGEXEXTRACT(A451, ""angle:(\d+)"")), -1)"),-1.0)</f>
        <v>-1</v>
      </c>
      <c r="C451" s="5" t="str">
        <f t="shared" si="1"/>
        <v>-001</v>
      </c>
      <c r="D451" s="5" t="str">
        <f>IFERROR(__xludf.DUMMYFUNCTION("IFERROR(REGEXEXTRACT(A451, ""x:([-+]?[0-9]*\.?[0-9]+)""), """")"),"")</f>
        <v/>
      </c>
      <c r="E451" s="5" t="str">
        <f>IFERROR(__xludf.DUMMYFUNCTION("IFERROR(REGEXEXTRACT(A451, ""y:([-+]?[0-9]*\.?[0-9]+)""), """")"),"")</f>
        <v/>
      </c>
    </row>
    <row r="452">
      <c r="A452" s="13"/>
      <c r="B452" s="4">
        <f>IFERROR(__xludf.DUMMYFUNCTION("IFERROR(VALUE(REGEXEXTRACT(A452, ""angle:(\d+)"")), -1)"),-1.0)</f>
        <v>-1</v>
      </c>
      <c r="C452" s="5" t="str">
        <f t="shared" si="1"/>
        <v>-001</v>
      </c>
      <c r="D452" s="5" t="str">
        <f>IFERROR(__xludf.DUMMYFUNCTION("IFERROR(REGEXEXTRACT(A452, ""x:([-+]?[0-9]*\.?[0-9]+)""), """")"),"")</f>
        <v/>
      </c>
      <c r="E452" s="5" t="str">
        <f>IFERROR(__xludf.DUMMYFUNCTION("IFERROR(REGEXEXTRACT(A452, ""y:([-+]?[0-9]*\.?[0-9]+)""), """")"),"")</f>
        <v/>
      </c>
    </row>
    <row r="453">
      <c r="A453" s="13"/>
      <c r="B453" s="4">
        <f>IFERROR(__xludf.DUMMYFUNCTION("IFERROR(VALUE(REGEXEXTRACT(A453, ""angle:(\d+)"")), -1)"),-1.0)</f>
        <v>-1</v>
      </c>
      <c r="C453" s="5" t="str">
        <f t="shared" si="1"/>
        <v>-001</v>
      </c>
      <c r="D453" s="5" t="str">
        <f>IFERROR(__xludf.DUMMYFUNCTION("IFERROR(REGEXEXTRACT(A453, ""x:([-+]?[0-9]*\.?[0-9]+)""), """")"),"")</f>
        <v/>
      </c>
      <c r="E453" s="5" t="str">
        <f>IFERROR(__xludf.DUMMYFUNCTION("IFERROR(REGEXEXTRACT(A453, ""y:([-+]?[0-9]*\.?[0-9]+)""), """")"),"")</f>
        <v/>
      </c>
    </row>
    <row r="454">
      <c r="A454" s="13"/>
      <c r="B454" s="4">
        <f>IFERROR(__xludf.DUMMYFUNCTION("IFERROR(VALUE(REGEXEXTRACT(A454, ""angle:(\d+)"")), -1)"),-1.0)</f>
        <v>-1</v>
      </c>
      <c r="C454" s="5" t="str">
        <f t="shared" si="1"/>
        <v>-001</v>
      </c>
      <c r="D454" s="5" t="str">
        <f>IFERROR(__xludf.DUMMYFUNCTION("IFERROR(REGEXEXTRACT(A454, ""x:([-+]?[0-9]*\.?[0-9]+)""), """")"),"")</f>
        <v/>
      </c>
      <c r="E454" s="5" t="str">
        <f>IFERROR(__xludf.DUMMYFUNCTION("IFERROR(REGEXEXTRACT(A454, ""y:([-+]?[0-9]*\.?[0-9]+)""), """")"),"")</f>
        <v/>
      </c>
    </row>
    <row r="455">
      <c r="A455" s="13"/>
      <c r="B455" s="4">
        <f>IFERROR(__xludf.DUMMYFUNCTION("IFERROR(VALUE(REGEXEXTRACT(A455, ""angle:(\d+)"")), -1)"),-1.0)</f>
        <v>-1</v>
      </c>
      <c r="C455" s="5" t="str">
        <f t="shared" si="1"/>
        <v>-001</v>
      </c>
      <c r="D455" s="5" t="str">
        <f>IFERROR(__xludf.DUMMYFUNCTION("IFERROR(REGEXEXTRACT(A455, ""x:([-+]?[0-9]*\.?[0-9]+)""), """")"),"")</f>
        <v/>
      </c>
      <c r="E455" s="5" t="str">
        <f>IFERROR(__xludf.DUMMYFUNCTION("IFERROR(REGEXEXTRACT(A455, ""y:([-+]?[0-9]*\.?[0-9]+)""), """")"),"")</f>
        <v/>
      </c>
    </row>
    <row r="456">
      <c r="A456" s="13"/>
      <c r="B456" s="4">
        <f>IFERROR(__xludf.DUMMYFUNCTION("IFERROR(VALUE(REGEXEXTRACT(A456, ""angle:(\d+)"")), -1)"),-1.0)</f>
        <v>-1</v>
      </c>
      <c r="C456" s="5" t="str">
        <f t="shared" si="1"/>
        <v>-001</v>
      </c>
      <c r="D456" s="5" t="str">
        <f>IFERROR(__xludf.DUMMYFUNCTION("IFERROR(REGEXEXTRACT(A456, ""x:([-+]?[0-9]*\.?[0-9]+)""), """")"),"")</f>
        <v/>
      </c>
      <c r="E456" s="5" t="str">
        <f>IFERROR(__xludf.DUMMYFUNCTION("IFERROR(REGEXEXTRACT(A456, ""y:([-+]?[0-9]*\.?[0-9]+)""), """")"),"")</f>
        <v/>
      </c>
    </row>
    <row r="457">
      <c r="A457" s="13"/>
      <c r="B457" s="4">
        <f>IFERROR(__xludf.DUMMYFUNCTION("IFERROR(VALUE(REGEXEXTRACT(A457, ""angle:(\d+)"")), -1)"),-1.0)</f>
        <v>-1</v>
      </c>
      <c r="C457" s="5" t="str">
        <f t="shared" si="1"/>
        <v>-001</v>
      </c>
      <c r="D457" s="5" t="str">
        <f>IFERROR(__xludf.DUMMYFUNCTION("IFERROR(REGEXEXTRACT(A457, ""x:([-+]?[0-9]*\.?[0-9]+)""), """")"),"")</f>
        <v/>
      </c>
      <c r="E457" s="5" t="str">
        <f>IFERROR(__xludf.DUMMYFUNCTION("IFERROR(REGEXEXTRACT(A457, ""y:([-+]?[0-9]*\.?[0-9]+)""), """")"),"")</f>
        <v/>
      </c>
    </row>
    <row r="458">
      <c r="A458" s="13"/>
      <c r="B458" s="4">
        <f>IFERROR(__xludf.DUMMYFUNCTION("IFERROR(VALUE(REGEXEXTRACT(A458, ""angle:(\d+)"")), -1)"),-1.0)</f>
        <v>-1</v>
      </c>
      <c r="C458" s="5" t="str">
        <f t="shared" si="1"/>
        <v>-001</v>
      </c>
      <c r="D458" s="5" t="str">
        <f>IFERROR(__xludf.DUMMYFUNCTION("IFERROR(REGEXEXTRACT(A458, ""x:([-+]?[0-9]*\.?[0-9]+)""), """")"),"")</f>
        <v/>
      </c>
      <c r="E458" s="5" t="str">
        <f>IFERROR(__xludf.DUMMYFUNCTION("IFERROR(REGEXEXTRACT(A458, ""y:([-+]?[0-9]*\.?[0-9]+)""), """")"),"")</f>
        <v/>
      </c>
    </row>
    <row r="459">
      <c r="A459" s="13"/>
      <c r="B459" s="4">
        <f>IFERROR(__xludf.DUMMYFUNCTION("IFERROR(VALUE(REGEXEXTRACT(A459, ""angle:(\d+)"")), -1)"),-1.0)</f>
        <v>-1</v>
      </c>
      <c r="C459" s="5" t="str">
        <f t="shared" si="1"/>
        <v>-001</v>
      </c>
      <c r="D459" s="5" t="str">
        <f>IFERROR(__xludf.DUMMYFUNCTION("IFERROR(REGEXEXTRACT(A459, ""x:([-+]?[0-9]*\.?[0-9]+)""), """")"),"")</f>
        <v/>
      </c>
      <c r="E459" s="5" t="str">
        <f>IFERROR(__xludf.DUMMYFUNCTION("IFERROR(REGEXEXTRACT(A459, ""y:([-+]?[0-9]*\.?[0-9]+)""), """")"),"")</f>
        <v/>
      </c>
    </row>
    <row r="460">
      <c r="A460" s="13"/>
      <c r="B460" s="4">
        <f>IFERROR(__xludf.DUMMYFUNCTION("IFERROR(VALUE(REGEXEXTRACT(A460, ""angle:(\d+)"")), -1)"),-1.0)</f>
        <v>-1</v>
      </c>
      <c r="C460" s="5" t="str">
        <f t="shared" si="1"/>
        <v>-001</v>
      </c>
      <c r="D460" s="5" t="str">
        <f>IFERROR(__xludf.DUMMYFUNCTION("IFERROR(REGEXEXTRACT(A460, ""x:([-+]?[0-9]*\.?[0-9]+)""), """")"),"")</f>
        <v/>
      </c>
      <c r="E460" s="5" t="str">
        <f>IFERROR(__xludf.DUMMYFUNCTION("IFERROR(REGEXEXTRACT(A460, ""y:([-+]?[0-9]*\.?[0-9]+)""), """")"),"")</f>
        <v/>
      </c>
    </row>
    <row r="461">
      <c r="A461" s="13"/>
      <c r="B461" s="4">
        <f>IFERROR(__xludf.DUMMYFUNCTION("IFERROR(VALUE(REGEXEXTRACT(A461, ""angle:(\d+)"")), -1)"),-1.0)</f>
        <v>-1</v>
      </c>
      <c r="C461" s="5" t="str">
        <f t="shared" si="1"/>
        <v>-001</v>
      </c>
      <c r="D461" s="5" t="str">
        <f>IFERROR(__xludf.DUMMYFUNCTION("IFERROR(REGEXEXTRACT(A461, ""x:([-+]?[0-9]*\.?[0-9]+)""), """")"),"")</f>
        <v/>
      </c>
      <c r="E461" s="5" t="str">
        <f>IFERROR(__xludf.DUMMYFUNCTION("IFERROR(REGEXEXTRACT(A461, ""y:([-+]?[0-9]*\.?[0-9]+)""), """")"),"")</f>
        <v/>
      </c>
    </row>
    <row r="462">
      <c r="A462" s="13"/>
      <c r="B462" s="4">
        <f>IFERROR(__xludf.DUMMYFUNCTION("IFERROR(VALUE(REGEXEXTRACT(A462, ""angle:(\d+)"")), -1)"),-1.0)</f>
        <v>-1</v>
      </c>
      <c r="C462" s="5" t="str">
        <f t="shared" si="1"/>
        <v>-001</v>
      </c>
      <c r="D462" s="5" t="str">
        <f>IFERROR(__xludf.DUMMYFUNCTION("IFERROR(REGEXEXTRACT(A462, ""x:([-+]?[0-9]*\.?[0-9]+)""), """")"),"")</f>
        <v/>
      </c>
      <c r="E462" s="5" t="str">
        <f>IFERROR(__xludf.DUMMYFUNCTION("IFERROR(REGEXEXTRACT(A462, ""y:([-+]?[0-9]*\.?[0-9]+)""), """")"),"")</f>
        <v/>
      </c>
    </row>
    <row r="463">
      <c r="A463" s="13"/>
      <c r="B463" s="4">
        <f>IFERROR(__xludf.DUMMYFUNCTION("IFERROR(VALUE(REGEXEXTRACT(A463, ""angle:(\d+)"")), -1)"),-1.0)</f>
        <v>-1</v>
      </c>
      <c r="C463" s="5" t="str">
        <f t="shared" si="1"/>
        <v>-001</v>
      </c>
      <c r="D463" s="5" t="str">
        <f>IFERROR(__xludf.DUMMYFUNCTION("IFERROR(REGEXEXTRACT(A463, ""x:([-+]?[0-9]*\.?[0-9]+)""), """")"),"")</f>
        <v/>
      </c>
      <c r="E463" s="5" t="str">
        <f>IFERROR(__xludf.DUMMYFUNCTION("IFERROR(REGEXEXTRACT(A463, ""y:([-+]?[0-9]*\.?[0-9]+)""), """")"),"")</f>
        <v/>
      </c>
    </row>
    <row r="464">
      <c r="A464" s="13"/>
      <c r="B464" s="4">
        <f>IFERROR(__xludf.DUMMYFUNCTION("IFERROR(VALUE(REGEXEXTRACT(A464, ""angle:(\d+)"")), -1)"),-1.0)</f>
        <v>-1</v>
      </c>
      <c r="C464" s="5" t="str">
        <f t="shared" si="1"/>
        <v>-001</v>
      </c>
      <c r="D464" s="5" t="str">
        <f>IFERROR(__xludf.DUMMYFUNCTION("IFERROR(REGEXEXTRACT(A464, ""x:([-+]?[0-9]*\.?[0-9]+)""), """")"),"")</f>
        <v/>
      </c>
      <c r="E464" s="5" t="str">
        <f>IFERROR(__xludf.DUMMYFUNCTION("IFERROR(REGEXEXTRACT(A464, ""y:([-+]?[0-9]*\.?[0-9]+)""), """")"),"")</f>
        <v/>
      </c>
    </row>
    <row r="465">
      <c r="A465" s="13"/>
      <c r="B465" s="4">
        <f>IFERROR(__xludf.DUMMYFUNCTION("IFERROR(VALUE(REGEXEXTRACT(A465, ""angle:(\d+)"")), -1)"),-1.0)</f>
        <v>-1</v>
      </c>
      <c r="C465" s="5" t="str">
        <f t="shared" si="1"/>
        <v>-001</v>
      </c>
      <c r="D465" s="5" t="str">
        <f>IFERROR(__xludf.DUMMYFUNCTION("IFERROR(REGEXEXTRACT(A465, ""x:([-+]?[0-9]*\.?[0-9]+)""), """")"),"")</f>
        <v/>
      </c>
      <c r="E465" s="5" t="str">
        <f>IFERROR(__xludf.DUMMYFUNCTION("IFERROR(REGEXEXTRACT(A465, ""y:([-+]?[0-9]*\.?[0-9]+)""), """")"),"")</f>
        <v/>
      </c>
    </row>
    <row r="466">
      <c r="A466" s="13"/>
      <c r="B466" s="4">
        <f>IFERROR(__xludf.DUMMYFUNCTION("IFERROR(VALUE(REGEXEXTRACT(A466, ""angle:(\d+)"")), -1)"),-1.0)</f>
        <v>-1</v>
      </c>
      <c r="C466" s="5" t="str">
        <f t="shared" si="1"/>
        <v>-001</v>
      </c>
      <c r="D466" s="5" t="str">
        <f>IFERROR(__xludf.DUMMYFUNCTION("IFERROR(REGEXEXTRACT(A466, ""x:([-+]?[0-9]*\.?[0-9]+)""), """")"),"")</f>
        <v/>
      </c>
      <c r="E466" s="5" t="str">
        <f>IFERROR(__xludf.DUMMYFUNCTION("IFERROR(REGEXEXTRACT(A466, ""y:([-+]?[0-9]*\.?[0-9]+)""), """")"),"")</f>
        <v/>
      </c>
    </row>
    <row r="467">
      <c r="A467" s="13"/>
      <c r="B467" s="4">
        <f>IFERROR(__xludf.DUMMYFUNCTION("IFERROR(VALUE(REGEXEXTRACT(A467, ""angle:(\d+)"")), -1)"),-1.0)</f>
        <v>-1</v>
      </c>
      <c r="C467" s="5" t="str">
        <f t="shared" si="1"/>
        <v>-001</v>
      </c>
      <c r="D467" s="5" t="str">
        <f>IFERROR(__xludf.DUMMYFUNCTION("IFERROR(REGEXEXTRACT(A467, ""x:([-+]?[0-9]*\.?[0-9]+)""), """")"),"")</f>
        <v/>
      </c>
      <c r="E467" s="5" t="str">
        <f>IFERROR(__xludf.DUMMYFUNCTION("IFERROR(REGEXEXTRACT(A467, ""y:([-+]?[0-9]*\.?[0-9]+)""), """")"),"")</f>
        <v/>
      </c>
    </row>
    <row r="468">
      <c r="A468" s="13"/>
      <c r="B468" s="4">
        <f>IFERROR(__xludf.DUMMYFUNCTION("IFERROR(VALUE(REGEXEXTRACT(A468, ""angle:(\d+)"")), -1)"),-1.0)</f>
        <v>-1</v>
      </c>
      <c r="C468" s="5" t="str">
        <f t="shared" si="1"/>
        <v>-001</v>
      </c>
      <c r="D468" s="5" t="str">
        <f>IFERROR(__xludf.DUMMYFUNCTION("IFERROR(REGEXEXTRACT(A468, ""x:([-+]?[0-9]*\.?[0-9]+)""), """")"),"")</f>
        <v/>
      </c>
      <c r="E468" s="5" t="str">
        <f>IFERROR(__xludf.DUMMYFUNCTION("IFERROR(REGEXEXTRACT(A468, ""y:([-+]?[0-9]*\.?[0-9]+)""), """")"),"")</f>
        <v/>
      </c>
    </row>
    <row r="469">
      <c r="A469" s="13"/>
      <c r="B469" s="4">
        <f>IFERROR(__xludf.DUMMYFUNCTION("IFERROR(VALUE(REGEXEXTRACT(A469, ""angle:(\d+)"")), -1)"),-1.0)</f>
        <v>-1</v>
      </c>
      <c r="C469" s="5" t="str">
        <f t="shared" si="1"/>
        <v>-001</v>
      </c>
      <c r="D469" s="5" t="str">
        <f>IFERROR(__xludf.DUMMYFUNCTION("IFERROR(REGEXEXTRACT(A469, ""x:([-+]?[0-9]*\.?[0-9]+)""), """")"),"")</f>
        <v/>
      </c>
      <c r="E469" s="5" t="str">
        <f>IFERROR(__xludf.DUMMYFUNCTION("IFERROR(REGEXEXTRACT(A469, ""y:([-+]?[0-9]*\.?[0-9]+)""), """")"),"")</f>
        <v/>
      </c>
    </row>
    <row r="470">
      <c r="A470" s="13"/>
      <c r="B470" s="4">
        <f>IFERROR(__xludf.DUMMYFUNCTION("IFERROR(VALUE(REGEXEXTRACT(A470, ""angle:(\d+)"")), -1)"),-1.0)</f>
        <v>-1</v>
      </c>
      <c r="C470" s="5" t="str">
        <f t="shared" si="1"/>
        <v>-001</v>
      </c>
      <c r="D470" s="5" t="str">
        <f>IFERROR(__xludf.DUMMYFUNCTION("IFERROR(REGEXEXTRACT(A470, ""x:([-+]?[0-9]*\.?[0-9]+)""), """")"),"")</f>
        <v/>
      </c>
      <c r="E470" s="5" t="str">
        <f>IFERROR(__xludf.DUMMYFUNCTION("IFERROR(REGEXEXTRACT(A470, ""y:([-+]?[0-9]*\.?[0-9]+)""), """")"),"")</f>
        <v/>
      </c>
    </row>
    <row r="471">
      <c r="A471" s="13"/>
      <c r="B471" s="4">
        <f>IFERROR(__xludf.DUMMYFUNCTION("IFERROR(VALUE(REGEXEXTRACT(A471, ""angle:(\d+)"")), -1)"),-1.0)</f>
        <v>-1</v>
      </c>
      <c r="C471" s="5" t="str">
        <f t="shared" si="1"/>
        <v>-001</v>
      </c>
      <c r="D471" s="5" t="str">
        <f>IFERROR(__xludf.DUMMYFUNCTION("IFERROR(REGEXEXTRACT(A471, ""x:([-+]?[0-9]*\.?[0-9]+)""), """")"),"")</f>
        <v/>
      </c>
      <c r="E471" s="5" t="str">
        <f>IFERROR(__xludf.DUMMYFUNCTION("IFERROR(REGEXEXTRACT(A471, ""y:([-+]?[0-9]*\.?[0-9]+)""), """")"),"")</f>
        <v/>
      </c>
    </row>
    <row r="472">
      <c r="A472" s="13"/>
      <c r="B472" s="4">
        <f>IFERROR(__xludf.DUMMYFUNCTION("IFERROR(VALUE(REGEXEXTRACT(A472, ""angle:(\d+)"")), -1)"),-1.0)</f>
        <v>-1</v>
      </c>
      <c r="C472" s="5" t="str">
        <f t="shared" si="1"/>
        <v>-001</v>
      </c>
      <c r="D472" s="5" t="str">
        <f>IFERROR(__xludf.DUMMYFUNCTION("IFERROR(REGEXEXTRACT(A472, ""x:([-+]?[0-9]*\.?[0-9]+)""), """")"),"")</f>
        <v/>
      </c>
      <c r="E472" s="5" t="str">
        <f>IFERROR(__xludf.DUMMYFUNCTION("IFERROR(REGEXEXTRACT(A472, ""y:([-+]?[0-9]*\.?[0-9]+)""), """")"),"")</f>
        <v/>
      </c>
    </row>
    <row r="473">
      <c r="A473" s="13"/>
      <c r="B473" s="4">
        <f>IFERROR(__xludf.DUMMYFUNCTION("IFERROR(VALUE(REGEXEXTRACT(A473, ""angle:(\d+)"")), -1)"),-1.0)</f>
        <v>-1</v>
      </c>
      <c r="C473" s="5" t="str">
        <f t="shared" si="1"/>
        <v>-001</v>
      </c>
      <c r="D473" s="5" t="str">
        <f>IFERROR(__xludf.DUMMYFUNCTION("IFERROR(REGEXEXTRACT(A473, ""x:([-+]?[0-9]*\.?[0-9]+)""), """")"),"")</f>
        <v/>
      </c>
      <c r="E473" s="5" t="str">
        <f>IFERROR(__xludf.DUMMYFUNCTION("IFERROR(REGEXEXTRACT(A473, ""y:([-+]?[0-9]*\.?[0-9]+)""), """")"),"")</f>
        <v/>
      </c>
    </row>
    <row r="474">
      <c r="A474" s="13"/>
      <c r="B474" s="4">
        <f>IFERROR(__xludf.DUMMYFUNCTION("IFERROR(VALUE(REGEXEXTRACT(A474, ""angle:(\d+)"")), -1)"),-1.0)</f>
        <v>-1</v>
      </c>
      <c r="C474" s="5" t="str">
        <f t="shared" si="1"/>
        <v>-001</v>
      </c>
      <c r="D474" s="5" t="str">
        <f>IFERROR(__xludf.DUMMYFUNCTION("IFERROR(REGEXEXTRACT(A474, ""x:([-+]?[0-9]*\.?[0-9]+)""), """")"),"")</f>
        <v/>
      </c>
      <c r="E474" s="5" t="str">
        <f>IFERROR(__xludf.DUMMYFUNCTION("IFERROR(REGEXEXTRACT(A474, ""y:([-+]?[0-9]*\.?[0-9]+)""), """")"),"")</f>
        <v/>
      </c>
    </row>
    <row r="475">
      <c r="A475" s="13"/>
      <c r="B475" s="4">
        <f>IFERROR(__xludf.DUMMYFUNCTION("IFERROR(VALUE(REGEXEXTRACT(A475, ""angle:(\d+)"")), -1)"),-1.0)</f>
        <v>-1</v>
      </c>
      <c r="C475" s="5" t="str">
        <f t="shared" si="1"/>
        <v>-001</v>
      </c>
      <c r="D475" s="5" t="str">
        <f>IFERROR(__xludf.DUMMYFUNCTION("IFERROR(REGEXEXTRACT(A475, ""x:([-+]?[0-9]*\.?[0-9]+)""), """")"),"")</f>
        <v/>
      </c>
      <c r="E475" s="5" t="str">
        <f>IFERROR(__xludf.DUMMYFUNCTION("IFERROR(REGEXEXTRACT(A475, ""y:([-+]?[0-9]*\.?[0-9]+)""), """")"),"")</f>
        <v/>
      </c>
    </row>
    <row r="476">
      <c r="A476" s="13"/>
      <c r="B476" s="4">
        <f>IFERROR(__xludf.DUMMYFUNCTION("IFERROR(VALUE(REGEXEXTRACT(A476, ""angle:(\d+)"")), -1)"),-1.0)</f>
        <v>-1</v>
      </c>
      <c r="C476" s="5" t="str">
        <f t="shared" si="1"/>
        <v>-001</v>
      </c>
      <c r="D476" s="5" t="str">
        <f>IFERROR(__xludf.DUMMYFUNCTION("IFERROR(REGEXEXTRACT(A476, ""x:([-+]?[0-9]*\.?[0-9]+)""), """")"),"")</f>
        <v/>
      </c>
      <c r="E476" s="5" t="str">
        <f>IFERROR(__xludf.DUMMYFUNCTION("IFERROR(REGEXEXTRACT(A476, ""y:([-+]?[0-9]*\.?[0-9]+)""), """")"),"")</f>
        <v/>
      </c>
    </row>
    <row r="477">
      <c r="A477" s="13"/>
      <c r="B477" s="4">
        <f>IFERROR(__xludf.DUMMYFUNCTION("IFERROR(VALUE(REGEXEXTRACT(A477, ""angle:(\d+)"")), -1)"),-1.0)</f>
        <v>-1</v>
      </c>
      <c r="C477" s="5" t="str">
        <f t="shared" si="1"/>
        <v>-001</v>
      </c>
      <c r="D477" s="5" t="str">
        <f>IFERROR(__xludf.DUMMYFUNCTION("IFERROR(REGEXEXTRACT(A477, ""x:([-+]?[0-9]*\.?[0-9]+)""), """")"),"")</f>
        <v/>
      </c>
      <c r="E477" s="5" t="str">
        <f>IFERROR(__xludf.DUMMYFUNCTION("IFERROR(REGEXEXTRACT(A477, ""y:([-+]?[0-9]*\.?[0-9]+)""), """")"),"")</f>
        <v/>
      </c>
    </row>
    <row r="478">
      <c r="A478" s="13"/>
      <c r="B478" s="4">
        <f>IFERROR(__xludf.DUMMYFUNCTION("IFERROR(VALUE(REGEXEXTRACT(A478, ""angle:(\d+)"")), -1)"),-1.0)</f>
        <v>-1</v>
      </c>
      <c r="C478" s="5" t="str">
        <f t="shared" si="1"/>
        <v>-001</v>
      </c>
      <c r="D478" s="5" t="str">
        <f>IFERROR(__xludf.DUMMYFUNCTION("IFERROR(REGEXEXTRACT(A478, ""x:([-+]?[0-9]*\.?[0-9]+)""), """")"),"")</f>
        <v/>
      </c>
      <c r="E478" s="5" t="str">
        <f>IFERROR(__xludf.DUMMYFUNCTION("IFERROR(REGEXEXTRACT(A478, ""y:([-+]?[0-9]*\.?[0-9]+)""), """")"),"")</f>
        <v/>
      </c>
    </row>
    <row r="479">
      <c r="A479" s="13"/>
      <c r="B479" s="4">
        <f>IFERROR(__xludf.DUMMYFUNCTION("IFERROR(VALUE(REGEXEXTRACT(A479, ""angle:(\d+)"")), -1)"),-1.0)</f>
        <v>-1</v>
      </c>
      <c r="C479" s="5" t="str">
        <f t="shared" si="1"/>
        <v>-001</v>
      </c>
      <c r="D479" s="5" t="str">
        <f>IFERROR(__xludf.DUMMYFUNCTION("IFERROR(REGEXEXTRACT(A479, ""x:([-+]?[0-9]*\.?[0-9]+)""), """")"),"")</f>
        <v/>
      </c>
      <c r="E479" s="5" t="str">
        <f>IFERROR(__xludf.DUMMYFUNCTION("IFERROR(REGEXEXTRACT(A479, ""y:([-+]?[0-9]*\.?[0-9]+)""), """")"),"")</f>
        <v/>
      </c>
    </row>
    <row r="480">
      <c r="A480" s="13"/>
      <c r="B480" s="4">
        <f>IFERROR(__xludf.DUMMYFUNCTION("IFERROR(VALUE(REGEXEXTRACT(A480, ""angle:(\d+)"")), -1)"),-1.0)</f>
        <v>-1</v>
      </c>
      <c r="C480" s="5" t="str">
        <f t="shared" si="1"/>
        <v>-001</v>
      </c>
      <c r="D480" s="5" t="str">
        <f>IFERROR(__xludf.DUMMYFUNCTION("IFERROR(REGEXEXTRACT(A480, ""x:([-+]?[0-9]*\.?[0-9]+)""), """")"),"")</f>
        <v/>
      </c>
      <c r="E480" s="5" t="str">
        <f>IFERROR(__xludf.DUMMYFUNCTION("IFERROR(REGEXEXTRACT(A480, ""y:([-+]?[0-9]*\.?[0-9]+)""), """")"),"")</f>
        <v/>
      </c>
    </row>
    <row r="481">
      <c r="A481" s="13"/>
      <c r="B481" s="4">
        <f>IFERROR(__xludf.DUMMYFUNCTION("IFERROR(VALUE(REGEXEXTRACT(A481, ""angle:(\d+)"")), -1)"),-1.0)</f>
        <v>-1</v>
      </c>
      <c r="C481" s="5" t="str">
        <f t="shared" si="1"/>
        <v>-001</v>
      </c>
      <c r="D481" s="5" t="str">
        <f>IFERROR(__xludf.DUMMYFUNCTION("IFERROR(REGEXEXTRACT(A481, ""x:([-+]?[0-9]*\.?[0-9]+)""), """")"),"")</f>
        <v/>
      </c>
      <c r="E481" s="5" t="str">
        <f>IFERROR(__xludf.DUMMYFUNCTION("IFERROR(REGEXEXTRACT(A481, ""y:([-+]?[0-9]*\.?[0-9]+)""), """")"),"")</f>
        <v/>
      </c>
    </row>
    <row r="482">
      <c r="A482" s="13"/>
      <c r="B482" s="4">
        <f>IFERROR(__xludf.DUMMYFUNCTION("IFERROR(VALUE(REGEXEXTRACT(A482, ""angle:(\d+)"")), -1)"),-1.0)</f>
        <v>-1</v>
      </c>
      <c r="C482" s="5" t="str">
        <f t="shared" si="1"/>
        <v>-001</v>
      </c>
      <c r="D482" s="5" t="str">
        <f>IFERROR(__xludf.DUMMYFUNCTION("IFERROR(REGEXEXTRACT(A482, ""x:([-+]?[0-9]*\.?[0-9]+)""), """")"),"")</f>
        <v/>
      </c>
      <c r="E482" s="5" t="str">
        <f>IFERROR(__xludf.DUMMYFUNCTION("IFERROR(REGEXEXTRACT(A482, ""y:([-+]?[0-9]*\.?[0-9]+)""), """")"),"")</f>
        <v/>
      </c>
    </row>
    <row r="483">
      <c r="A483" s="13"/>
      <c r="B483" s="4">
        <f>IFERROR(__xludf.DUMMYFUNCTION("IFERROR(VALUE(REGEXEXTRACT(A483, ""angle:(\d+)"")), -1)"),-1.0)</f>
        <v>-1</v>
      </c>
      <c r="C483" s="5" t="str">
        <f t="shared" si="1"/>
        <v>-001</v>
      </c>
      <c r="D483" s="5" t="str">
        <f>IFERROR(__xludf.DUMMYFUNCTION("IFERROR(REGEXEXTRACT(A483, ""x:([-+]?[0-9]*\.?[0-9]+)""), """")"),"")</f>
        <v/>
      </c>
      <c r="E483" s="5" t="str">
        <f>IFERROR(__xludf.DUMMYFUNCTION("IFERROR(REGEXEXTRACT(A483, ""y:([-+]?[0-9]*\.?[0-9]+)""), """")"),"")</f>
        <v/>
      </c>
    </row>
    <row r="484">
      <c r="A484" s="13"/>
      <c r="B484" s="4">
        <f>IFERROR(__xludf.DUMMYFUNCTION("IFERROR(VALUE(REGEXEXTRACT(A484, ""angle:(\d+)"")), -1)"),-1.0)</f>
        <v>-1</v>
      </c>
      <c r="C484" s="5" t="str">
        <f t="shared" si="1"/>
        <v>-001</v>
      </c>
      <c r="D484" s="5" t="str">
        <f>IFERROR(__xludf.DUMMYFUNCTION("IFERROR(REGEXEXTRACT(A484, ""x:([-+]?[0-9]*\.?[0-9]+)""), """")"),"")</f>
        <v/>
      </c>
      <c r="E484" s="5" t="str">
        <f>IFERROR(__xludf.DUMMYFUNCTION("IFERROR(REGEXEXTRACT(A484, ""y:([-+]?[0-9]*\.?[0-9]+)""), """")"),"")</f>
        <v/>
      </c>
    </row>
    <row r="485">
      <c r="A485" s="13"/>
      <c r="B485" s="4">
        <f>IFERROR(__xludf.DUMMYFUNCTION("IFERROR(VALUE(REGEXEXTRACT(A485, ""angle:(\d+)"")), -1)"),-1.0)</f>
        <v>-1</v>
      </c>
      <c r="C485" s="5" t="str">
        <f t="shared" si="1"/>
        <v>-001</v>
      </c>
      <c r="D485" s="5" t="str">
        <f>IFERROR(__xludf.DUMMYFUNCTION("IFERROR(REGEXEXTRACT(A485, ""x:([-+]?[0-9]*\.?[0-9]+)""), """")"),"")</f>
        <v/>
      </c>
      <c r="E485" s="5" t="str">
        <f>IFERROR(__xludf.DUMMYFUNCTION("IFERROR(REGEXEXTRACT(A485, ""y:([-+]?[0-9]*\.?[0-9]+)""), """")"),"")</f>
        <v/>
      </c>
    </row>
    <row r="486">
      <c r="A486" s="13"/>
      <c r="B486" s="4">
        <f>IFERROR(__xludf.DUMMYFUNCTION("IFERROR(VALUE(REGEXEXTRACT(A486, ""angle:(\d+)"")), -1)"),-1.0)</f>
        <v>-1</v>
      </c>
      <c r="C486" s="5" t="str">
        <f t="shared" si="1"/>
        <v>-001</v>
      </c>
      <c r="D486" s="5" t="str">
        <f>IFERROR(__xludf.DUMMYFUNCTION("IFERROR(REGEXEXTRACT(A486, ""x:([-+]?[0-9]*\.?[0-9]+)""), """")"),"")</f>
        <v/>
      </c>
      <c r="E486" s="5" t="str">
        <f>IFERROR(__xludf.DUMMYFUNCTION("IFERROR(REGEXEXTRACT(A486, ""y:([-+]?[0-9]*\.?[0-9]+)""), """")"),"")</f>
        <v/>
      </c>
    </row>
    <row r="487">
      <c r="A487" s="13"/>
      <c r="B487" s="4">
        <f>IFERROR(__xludf.DUMMYFUNCTION("IFERROR(VALUE(REGEXEXTRACT(A487, ""angle:(\d+)"")), -1)"),-1.0)</f>
        <v>-1</v>
      </c>
      <c r="C487" s="5" t="str">
        <f t="shared" si="1"/>
        <v>-001</v>
      </c>
      <c r="D487" s="5" t="str">
        <f>IFERROR(__xludf.DUMMYFUNCTION("IFERROR(REGEXEXTRACT(A487, ""x:([-+]?[0-9]*\.?[0-9]+)""), """")"),"")</f>
        <v/>
      </c>
      <c r="E487" s="5" t="str">
        <f>IFERROR(__xludf.DUMMYFUNCTION("IFERROR(REGEXEXTRACT(A487, ""y:([-+]?[0-9]*\.?[0-9]+)""), """")"),"")</f>
        <v/>
      </c>
    </row>
    <row r="488">
      <c r="A488" s="13"/>
      <c r="B488" s="4">
        <f>IFERROR(__xludf.DUMMYFUNCTION("IFERROR(VALUE(REGEXEXTRACT(A488, ""angle:(\d+)"")), -1)"),-1.0)</f>
        <v>-1</v>
      </c>
      <c r="C488" s="5" t="str">
        <f t="shared" si="1"/>
        <v>-001</v>
      </c>
      <c r="D488" s="5" t="str">
        <f>IFERROR(__xludf.DUMMYFUNCTION("IFERROR(REGEXEXTRACT(A488, ""x:([-+]?[0-9]*\.?[0-9]+)""), """")"),"")</f>
        <v/>
      </c>
      <c r="E488" s="5" t="str">
        <f>IFERROR(__xludf.DUMMYFUNCTION("IFERROR(REGEXEXTRACT(A488, ""y:([-+]?[0-9]*\.?[0-9]+)""), """")"),"")</f>
        <v/>
      </c>
    </row>
    <row r="489">
      <c r="A489" s="13"/>
      <c r="B489" s="4">
        <f>IFERROR(__xludf.DUMMYFUNCTION("IFERROR(VALUE(REGEXEXTRACT(A489, ""angle:(\d+)"")), -1)"),-1.0)</f>
        <v>-1</v>
      </c>
      <c r="C489" s="5" t="str">
        <f t="shared" si="1"/>
        <v>-001</v>
      </c>
      <c r="D489" s="5" t="str">
        <f>IFERROR(__xludf.DUMMYFUNCTION("IFERROR(REGEXEXTRACT(A489, ""x:([-+]?[0-9]*\.?[0-9]+)""), """")"),"")</f>
        <v/>
      </c>
      <c r="E489" s="5" t="str">
        <f>IFERROR(__xludf.DUMMYFUNCTION("IFERROR(REGEXEXTRACT(A489, ""y:([-+]?[0-9]*\.?[0-9]+)""), """")"),"")</f>
        <v/>
      </c>
    </row>
    <row r="490">
      <c r="A490" s="13"/>
      <c r="B490" s="4">
        <f>IFERROR(__xludf.DUMMYFUNCTION("IFERROR(VALUE(REGEXEXTRACT(A490, ""angle:(\d+)"")), -1)"),-1.0)</f>
        <v>-1</v>
      </c>
      <c r="C490" s="5" t="str">
        <f t="shared" si="1"/>
        <v>-001</v>
      </c>
      <c r="D490" s="5" t="str">
        <f>IFERROR(__xludf.DUMMYFUNCTION("IFERROR(REGEXEXTRACT(A490, ""x:([-+]?[0-9]*\.?[0-9]+)""), """")"),"")</f>
        <v/>
      </c>
      <c r="E490" s="5" t="str">
        <f>IFERROR(__xludf.DUMMYFUNCTION("IFERROR(REGEXEXTRACT(A490, ""y:([-+]?[0-9]*\.?[0-9]+)""), """")"),"")</f>
        <v/>
      </c>
    </row>
    <row r="491">
      <c r="A491" s="13"/>
      <c r="B491" s="4">
        <f>IFERROR(__xludf.DUMMYFUNCTION("IFERROR(VALUE(REGEXEXTRACT(A491, ""angle:(\d+)"")), -1)"),-1.0)</f>
        <v>-1</v>
      </c>
      <c r="C491" s="5" t="str">
        <f t="shared" si="1"/>
        <v>-001</v>
      </c>
      <c r="D491" s="5" t="str">
        <f>IFERROR(__xludf.DUMMYFUNCTION("IFERROR(REGEXEXTRACT(A491, ""x:([-+]?[0-9]*\.?[0-9]+)""), """")"),"")</f>
        <v/>
      </c>
      <c r="E491" s="5" t="str">
        <f>IFERROR(__xludf.DUMMYFUNCTION("IFERROR(REGEXEXTRACT(A491, ""y:([-+]?[0-9]*\.?[0-9]+)""), """")"),"")</f>
        <v/>
      </c>
    </row>
    <row r="492">
      <c r="A492" s="13"/>
      <c r="B492" s="4">
        <f>IFERROR(__xludf.DUMMYFUNCTION("IFERROR(VALUE(REGEXEXTRACT(A492, ""angle:(\d+)"")), -1)"),-1.0)</f>
        <v>-1</v>
      </c>
      <c r="C492" s="5" t="str">
        <f t="shared" si="1"/>
        <v>-001</v>
      </c>
      <c r="D492" s="5" t="str">
        <f>IFERROR(__xludf.DUMMYFUNCTION("IFERROR(REGEXEXTRACT(A492, ""x:([-+]?[0-9]*\.?[0-9]+)""), """")"),"")</f>
        <v/>
      </c>
      <c r="E492" s="5" t="str">
        <f>IFERROR(__xludf.DUMMYFUNCTION("IFERROR(REGEXEXTRACT(A492, ""y:([-+]?[0-9]*\.?[0-9]+)""), """")"),"")</f>
        <v/>
      </c>
    </row>
    <row r="493">
      <c r="A493" s="13"/>
      <c r="B493" s="4">
        <f>IFERROR(__xludf.DUMMYFUNCTION("IFERROR(VALUE(REGEXEXTRACT(A493, ""angle:(\d+)"")), -1)"),-1.0)</f>
        <v>-1</v>
      </c>
      <c r="C493" s="5" t="str">
        <f t="shared" si="1"/>
        <v>-001</v>
      </c>
      <c r="D493" s="5" t="str">
        <f>IFERROR(__xludf.DUMMYFUNCTION("IFERROR(REGEXEXTRACT(A493, ""x:([-+]?[0-9]*\.?[0-9]+)""), """")"),"")</f>
        <v/>
      </c>
      <c r="E493" s="5" t="str">
        <f>IFERROR(__xludf.DUMMYFUNCTION("IFERROR(REGEXEXTRACT(A493, ""y:([-+]?[0-9]*\.?[0-9]+)""), """")"),"")</f>
        <v/>
      </c>
    </row>
    <row r="494">
      <c r="A494" s="13"/>
      <c r="B494" s="4">
        <f>IFERROR(__xludf.DUMMYFUNCTION("IFERROR(VALUE(REGEXEXTRACT(A494, ""angle:(\d+)"")), -1)"),-1.0)</f>
        <v>-1</v>
      </c>
      <c r="C494" s="5" t="str">
        <f t="shared" si="1"/>
        <v>-001</v>
      </c>
      <c r="D494" s="5" t="str">
        <f>IFERROR(__xludf.DUMMYFUNCTION("IFERROR(REGEXEXTRACT(A494, ""x:([-+]?[0-9]*\.?[0-9]+)""), """")"),"")</f>
        <v/>
      </c>
      <c r="E494" s="5" t="str">
        <f>IFERROR(__xludf.DUMMYFUNCTION("IFERROR(REGEXEXTRACT(A494, ""y:([-+]?[0-9]*\.?[0-9]+)""), """")"),"")</f>
        <v/>
      </c>
    </row>
    <row r="495">
      <c r="A495" s="13"/>
      <c r="B495" s="4">
        <f>IFERROR(__xludf.DUMMYFUNCTION("IFERROR(VALUE(REGEXEXTRACT(A495, ""angle:(\d+)"")), -1)"),-1.0)</f>
        <v>-1</v>
      </c>
      <c r="C495" s="5" t="str">
        <f t="shared" si="1"/>
        <v>-001</v>
      </c>
      <c r="D495" s="5" t="str">
        <f>IFERROR(__xludf.DUMMYFUNCTION("IFERROR(REGEXEXTRACT(A495, ""x:([-+]?[0-9]*\.?[0-9]+)""), """")"),"")</f>
        <v/>
      </c>
      <c r="E495" s="5" t="str">
        <f>IFERROR(__xludf.DUMMYFUNCTION("IFERROR(REGEXEXTRACT(A495, ""y:([-+]?[0-9]*\.?[0-9]+)""), """")"),"")</f>
        <v/>
      </c>
    </row>
    <row r="496">
      <c r="A496" s="13"/>
      <c r="B496" s="4">
        <f>IFERROR(__xludf.DUMMYFUNCTION("IFERROR(VALUE(REGEXEXTRACT(A496, ""angle:(\d+)"")), -1)"),-1.0)</f>
        <v>-1</v>
      </c>
      <c r="C496" s="5" t="str">
        <f t="shared" si="1"/>
        <v>-001</v>
      </c>
      <c r="D496" s="5" t="str">
        <f>IFERROR(__xludf.DUMMYFUNCTION("IFERROR(REGEXEXTRACT(A496, ""x:([-+]?[0-9]*\.?[0-9]+)""), """")"),"")</f>
        <v/>
      </c>
      <c r="E496" s="5" t="str">
        <f>IFERROR(__xludf.DUMMYFUNCTION("IFERROR(REGEXEXTRACT(A496, ""y:([-+]?[0-9]*\.?[0-9]+)""), """")"),"")</f>
        <v/>
      </c>
    </row>
    <row r="497">
      <c r="A497" s="13"/>
      <c r="B497" s="4">
        <f>IFERROR(__xludf.DUMMYFUNCTION("IFERROR(VALUE(REGEXEXTRACT(A497, ""angle:(\d+)"")), -1)"),-1.0)</f>
        <v>-1</v>
      </c>
      <c r="C497" s="5" t="str">
        <f t="shared" si="1"/>
        <v>-001</v>
      </c>
      <c r="D497" s="5" t="str">
        <f>IFERROR(__xludf.DUMMYFUNCTION("IFERROR(REGEXEXTRACT(A497, ""x:([-+]?[0-9]*\.?[0-9]+)""), """")"),"")</f>
        <v/>
      </c>
      <c r="E497" s="5" t="str">
        <f>IFERROR(__xludf.DUMMYFUNCTION("IFERROR(REGEXEXTRACT(A497, ""y:([-+]?[0-9]*\.?[0-9]+)""), """")"),"")</f>
        <v/>
      </c>
    </row>
    <row r="498">
      <c r="A498" s="13"/>
      <c r="B498" s="4">
        <f>IFERROR(__xludf.DUMMYFUNCTION("IFERROR(VALUE(REGEXEXTRACT(A498, ""angle:(\d+)"")), -1)"),-1.0)</f>
        <v>-1</v>
      </c>
      <c r="C498" s="5" t="str">
        <f t="shared" si="1"/>
        <v>-001</v>
      </c>
      <c r="D498" s="5" t="str">
        <f>IFERROR(__xludf.DUMMYFUNCTION("IFERROR(REGEXEXTRACT(A498, ""x:([-+]?[0-9]*\.?[0-9]+)""), """")"),"")</f>
        <v/>
      </c>
      <c r="E498" s="5" t="str">
        <f>IFERROR(__xludf.DUMMYFUNCTION("IFERROR(REGEXEXTRACT(A498, ""y:([-+]?[0-9]*\.?[0-9]+)""), """")"),"")</f>
        <v/>
      </c>
    </row>
    <row r="499">
      <c r="A499" s="13"/>
      <c r="B499" s="4">
        <f>IFERROR(__xludf.DUMMYFUNCTION("IFERROR(VALUE(REGEXEXTRACT(A499, ""angle:(\d+)"")), -1)"),-1.0)</f>
        <v>-1</v>
      </c>
      <c r="C499" s="5" t="str">
        <f t="shared" si="1"/>
        <v>-001</v>
      </c>
      <c r="D499" s="5" t="str">
        <f>IFERROR(__xludf.DUMMYFUNCTION("IFERROR(REGEXEXTRACT(A499, ""x:([-+]?[0-9]*\.?[0-9]+)""), """")"),"")</f>
        <v/>
      </c>
      <c r="E499" s="5" t="str">
        <f>IFERROR(__xludf.DUMMYFUNCTION("IFERROR(REGEXEXTRACT(A499, ""y:([-+]?[0-9]*\.?[0-9]+)""), """")"),"")</f>
        <v/>
      </c>
    </row>
    <row r="500">
      <c r="A500" s="13"/>
      <c r="B500" s="4">
        <f>IFERROR(__xludf.DUMMYFUNCTION("IFERROR(VALUE(REGEXEXTRACT(A500, ""angle:(\d+)"")), -1)"),-1.0)</f>
        <v>-1</v>
      </c>
      <c r="C500" s="5" t="str">
        <f t="shared" si="1"/>
        <v>-001</v>
      </c>
      <c r="D500" s="5" t="str">
        <f>IFERROR(__xludf.DUMMYFUNCTION("IFERROR(REGEXEXTRACT(A500, ""x:([-+]?[0-9]*\.?[0-9]+)""), """")"),"")</f>
        <v/>
      </c>
      <c r="E500" s="5" t="str">
        <f>IFERROR(__xludf.DUMMYFUNCTION("IFERROR(REGEXEXTRACT(A500, ""y:([-+]?[0-9]*\.?[0-9]+)""), """")"),"")</f>
        <v/>
      </c>
    </row>
    <row r="501">
      <c r="A501" s="13"/>
      <c r="B501" s="4">
        <f>IFERROR(__xludf.DUMMYFUNCTION("IFERROR(VALUE(REGEXEXTRACT(A501, ""angle:(\d+)"")), -1)"),-1.0)</f>
        <v>-1</v>
      </c>
      <c r="C501" s="5" t="str">
        <f t="shared" si="1"/>
        <v>-001</v>
      </c>
      <c r="D501" s="5" t="str">
        <f>IFERROR(__xludf.DUMMYFUNCTION("IFERROR(REGEXEXTRACT(A501, ""x:([-+]?[0-9]*\.?[0-9]+)""), """")"),"")</f>
        <v/>
      </c>
      <c r="E501" s="5" t="str">
        <f>IFERROR(__xludf.DUMMYFUNCTION("IFERROR(REGEXEXTRACT(A501, ""y:([-+]?[0-9]*\.?[0-9]+)""), """")"),"")</f>
        <v/>
      </c>
    </row>
    <row r="502">
      <c r="A502" s="13"/>
      <c r="B502" s="4">
        <f>IFERROR(__xludf.DUMMYFUNCTION("IFERROR(VALUE(REGEXEXTRACT(A502, ""angle:(\d+)"")), -1)"),-1.0)</f>
        <v>-1</v>
      </c>
      <c r="C502" s="5" t="str">
        <f t="shared" si="1"/>
        <v>-001</v>
      </c>
      <c r="D502" s="5" t="str">
        <f>IFERROR(__xludf.DUMMYFUNCTION("IFERROR(REGEXEXTRACT(A502, ""x:([-+]?[0-9]*\.?[0-9]+)""), """")"),"")</f>
        <v/>
      </c>
      <c r="E502" s="5" t="str">
        <f>IFERROR(__xludf.DUMMYFUNCTION("IFERROR(REGEXEXTRACT(A502, ""y:([-+]?[0-9]*\.?[0-9]+)""), """")"),"")</f>
        <v/>
      </c>
    </row>
    <row r="503">
      <c r="A503" s="13"/>
      <c r="B503" s="4">
        <f>IFERROR(__xludf.DUMMYFUNCTION("IFERROR(VALUE(REGEXEXTRACT(A503, ""angle:(\d+)"")), -1)"),-1.0)</f>
        <v>-1</v>
      </c>
      <c r="C503" s="5" t="str">
        <f t="shared" si="1"/>
        <v>-001</v>
      </c>
      <c r="D503" s="5" t="str">
        <f>IFERROR(__xludf.DUMMYFUNCTION("IFERROR(REGEXEXTRACT(A503, ""x:([-+]?[0-9]*\.?[0-9]+)""), """")"),"")</f>
        <v/>
      </c>
      <c r="E503" s="5" t="str">
        <f>IFERROR(__xludf.DUMMYFUNCTION("IFERROR(REGEXEXTRACT(A503, ""y:([-+]?[0-9]*\.?[0-9]+)""), """")"),"")</f>
        <v/>
      </c>
    </row>
    <row r="504">
      <c r="A504" s="13"/>
      <c r="B504" s="4">
        <f>IFERROR(__xludf.DUMMYFUNCTION("IFERROR(VALUE(REGEXEXTRACT(A504, ""angle:(\d+)"")), -1)"),-1.0)</f>
        <v>-1</v>
      </c>
      <c r="C504" s="5" t="str">
        <f t="shared" si="1"/>
        <v>-001</v>
      </c>
      <c r="D504" s="5" t="str">
        <f>IFERROR(__xludf.DUMMYFUNCTION("IFERROR(REGEXEXTRACT(A504, ""x:([-+]?[0-9]*\.?[0-9]+)""), """")"),"")</f>
        <v/>
      </c>
      <c r="E504" s="5" t="str">
        <f>IFERROR(__xludf.DUMMYFUNCTION("IFERROR(REGEXEXTRACT(A504, ""y:([-+]?[0-9]*\.?[0-9]+)""), """")"),"")</f>
        <v/>
      </c>
    </row>
    <row r="505">
      <c r="A505" s="13"/>
      <c r="B505" s="4">
        <f>IFERROR(__xludf.DUMMYFUNCTION("IFERROR(VALUE(REGEXEXTRACT(A505, ""angle:(\d+)"")), -1)"),-1.0)</f>
        <v>-1</v>
      </c>
      <c r="C505" s="5" t="str">
        <f t="shared" si="1"/>
        <v>-001</v>
      </c>
      <c r="D505" s="5" t="str">
        <f>IFERROR(__xludf.DUMMYFUNCTION("IFERROR(REGEXEXTRACT(A505, ""x:([-+]?[0-9]*\.?[0-9]+)""), """")"),"")</f>
        <v/>
      </c>
      <c r="E505" s="5" t="str">
        <f>IFERROR(__xludf.DUMMYFUNCTION("IFERROR(REGEXEXTRACT(A505, ""y:([-+]?[0-9]*\.?[0-9]+)""), """")"),"")</f>
        <v/>
      </c>
    </row>
    <row r="506">
      <c r="A506" s="13"/>
      <c r="B506" s="4">
        <f>IFERROR(__xludf.DUMMYFUNCTION("IFERROR(VALUE(REGEXEXTRACT(A506, ""angle:(\d+)"")), -1)"),-1.0)</f>
        <v>-1</v>
      </c>
      <c r="C506" s="5" t="str">
        <f t="shared" si="1"/>
        <v>-001</v>
      </c>
      <c r="D506" s="5" t="str">
        <f>IFERROR(__xludf.DUMMYFUNCTION("IFERROR(REGEXEXTRACT(A506, ""x:([-+]?[0-9]*\.?[0-9]+)""), """")"),"")</f>
        <v/>
      </c>
      <c r="E506" s="5" t="str">
        <f>IFERROR(__xludf.DUMMYFUNCTION("IFERROR(REGEXEXTRACT(A506, ""y:([-+]?[0-9]*\.?[0-9]+)""), """")"),"")</f>
        <v/>
      </c>
    </row>
    <row r="507">
      <c r="A507" s="13"/>
      <c r="B507" s="4">
        <f>IFERROR(__xludf.DUMMYFUNCTION("IFERROR(VALUE(REGEXEXTRACT(A507, ""angle:(\d+)"")), -1)"),-1.0)</f>
        <v>-1</v>
      </c>
      <c r="C507" s="5" t="str">
        <f t="shared" si="1"/>
        <v>-001</v>
      </c>
      <c r="D507" s="5" t="str">
        <f>IFERROR(__xludf.DUMMYFUNCTION("IFERROR(REGEXEXTRACT(A507, ""x:([-+]?[0-9]*\.?[0-9]+)""), """")"),"")</f>
        <v/>
      </c>
      <c r="E507" s="5" t="str">
        <f>IFERROR(__xludf.DUMMYFUNCTION("IFERROR(REGEXEXTRACT(A507, ""y:([-+]?[0-9]*\.?[0-9]+)""), """")"),"")</f>
        <v/>
      </c>
    </row>
    <row r="508">
      <c r="A508" s="13"/>
      <c r="B508" s="4">
        <f>IFERROR(__xludf.DUMMYFUNCTION("IFERROR(VALUE(REGEXEXTRACT(A508, ""angle:(\d+)"")), -1)"),-1.0)</f>
        <v>-1</v>
      </c>
      <c r="C508" s="5" t="str">
        <f t="shared" si="1"/>
        <v>-001</v>
      </c>
      <c r="D508" s="5" t="str">
        <f>IFERROR(__xludf.DUMMYFUNCTION("IFERROR(REGEXEXTRACT(A508, ""x:([-+]?[0-9]*\.?[0-9]+)""), """")"),"")</f>
        <v/>
      </c>
      <c r="E508" s="5" t="str">
        <f>IFERROR(__xludf.DUMMYFUNCTION("IFERROR(REGEXEXTRACT(A508, ""y:([-+]?[0-9]*\.?[0-9]+)""), """")"),"")</f>
        <v/>
      </c>
    </row>
    <row r="509">
      <c r="A509" s="13"/>
      <c r="B509" s="4">
        <f>IFERROR(__xludf.DUMMYFUNCTION("IFERROR(VALUE(REGEXEXTRACT(A509, ""angle:(\d+)"")), -1)"),-1.0)</f>
        <v>-1</v>
      </c>
      <c r="C509" s="5" t="str">
        <f t="shared" si="1"/>
        <v>-001</v>
      </c>
      <c r="D509" s="5" t="str">
        <f>IFERROR(__xludf.DUMMYFUNCTION("IFERROR(REGEXEXTRACT(A509, ""x:([-+]?[0-9]*\.?[0-9]+)""), """")"),"")</f>
        <v/>
      </c>
      <c r="E509" s="5" t="str">
        <f>IFERROR(__xludf.DUMMYFUNCTION("IFERROR(REGEXEXTRACT(A509, ""y:([-+]?[0-9]*\.?[0-9]+)""), """")"),"")</f>
        <v/>
      </c>
    </row>
    <row r="510">
      <c r="A510" s="13"/>
      <c r="B510" s="4">
        <f>IFERROR(__xludf.DUMMYFUNCTION("IFERROR(VALUE(REGEXEXTRACT(A510, ""angle:(\d+)"")), -1)"),-1.0)</f>
        <v>-1</v>
      </c>
      <c r="C510" s="5" t="str">
        <f t="shared" si="1"/>
        <v>-001</v>
      </c>
      <c r="D510" s="5" t="str">
        <f>IFERROR(__xludf.DUMMYFUNCTION("IFERROR(REGEXEXTRACT(A510, ""x:([-+]?[0-9]*\.?[0-9]+)""), """")"),"")</f>
        <v/>
      </c>
      <c r="E510" s="5" t="str">
        <f>IFERROR(__xludf.DUMMYFUNCTION("IFERROR(REGEXEXTRACT(A510, ""y:([-+]?[0-9]*\.?[0-9]+)""), """")"),"")</f>
        <v/>
      </c>
    </row>
    <row r="511">
      <c r="A511" s="13"/>
      <c r="B511" s="4">
        <f>IFERROR(__xludf.DUMMYFUNCTION("IFERROR(VALUE(REGEXEXTRACT(A511, ""angle:(\d+)"")), -1)"),-1.0)</f>
        <v>-1</v>
      </c>
      <c r="C511" s="5" t="str">
        <f t="shared" si="1"/>
        <v>-001</v>
      </c>
      <c r="D511" s="5" t="str">
        <f>IFERROR(__xludf.DUMMYFUNCTION("IFERROR(REGEXEXTRACT(A511, ""x:([-+]?[0-9]*\.?[0-9]+)""), """")"),"")</f>
        <v/>
      </c>
      <c r="E511" s="5" t="str">
        <f>IFERROR(__xludf.DUMMYFUNCTION("IFERROR(REGEXEXTRACT(A511, ""y:([-+]?[0-9]*\.?[0-9]+)""), """")"),"")</f>
        <v/>
      </c>
    </row>
    <row r="512">
      <c r="A512" s="13"/>
      <c r="B512" s="4">
        <f>IFERROR(__xludf.DUMMYFUNCTION("IFERROR(VALUE(REGEXEXTRACT(A512, ""angle:(\d+)"")), -1)"),-1.0)</f>
        <v>-1</v>
      </c>
      <c r="C512" s="5" t="str">
        <f t="shared" si="1"/>
        <v>-001</v>
      </c>
      <c r="D512" s="5" t="str">
        <f>IFERROR(__xludf.DUMMYFUNCTION("IFERROR(REGEXEXTRACT(A512, ""x:([-+]?[0-9]*\.?[0-9]+)""), """")"),"")</f>
        <v/>
      </c>
      <c r="E512" s="5" t="str">
        <f>IFERROR(__xludf.DUMMYFUNCTION("IFERROR(REGEXEXTRACT(A512, ""y:([-+]?[0-9]*\.?[0-9]+)""), """")"),"")</f>
        <v/>
      </c>
    </row>
    <row r="513">
      <c r="A513" s="13"/>
      <c r="B513" s="4">
        <f>IFERROR(__xludf.DUMMYFUNCTION("IFERROR(VALUE(REGEXEXTRACT(A513, ""angle:(\d+)"")), -1)"),-1.0)</f>
        <v>-1</v>
      </c>
      <c r="C513" s="5" t="str">
        <f t="shared" si="1"/>
        <v>-001</v>
      </c>
      <c r="D513" s="5" t="str">
        <f>IFERROR(__xludf.DUMMYFUNCTION("IFERROR(REGEXEXTRACT(A513, ""x:([-+]?[0-9]*\.?[0-9]+)""), """")"),"")</f>
        <v/>
      </c>
      <c r="E513" s="5" t="str">
        <f>IFERROR(__xludf.DUMMYFUNCTION("IFERROR(REGEXEXTRACT(A513, ""y:([-+]?[0-9]*\.?[0-9]+)""), """")"),"")</f>
        <v/>
      </c>
    </row>
    <row r="514">
      <c r="A514" s="13"/>
      <c r="B514" s="4">
        <f>IFERROR(__xludf.DUMMYFUNCTION("IFERROR(VALUE(REGEXEXTRACT(A514, ""angle:(\d+)"")), -1)"),-1.0)</f>
        <v>-1</v>
      </c>
      <c r="C514" s="5" t="str">
        <f t="shared" si="1"/>
        <v>-001</v>
      </c>
      <c r="D514" s="5" t="str">
        <f>IFERROR(__xludf.DUMMYFUNCTION("IFERROR(REGEXEXTRACT(A514, ""x:([-+]?[0-9]*\.?[0-9]+)""), """")"),"")</f>
        <v/>
      </c>
      <c r="E514" s="5" t="str">
        <f>IFERROR(__xludf.DUMMYFUNCTION("IFERROR(REGEXEXTRACT(A514, ""y:([-+]?[0-9]*\.?[0-9]+)""), """")"),"")</f>
        <v/>
      </c>
    </row>
    <row r="515">
      <c r="A515" s="13"/>
      <c r="B515" s="4">
        <f>IFERROR(__xludf.DUMMYFUNCTION("IFERROR(VALUE(REGEXEXTRACT(A515, ""angle:(\d+)"")), -1)"),-1.0)</f>
        <v>-1</v>
      </c>
      <c r="C515" s="5" t="str">
        <f t="shared" si="1"/>
        <v>-001</v>
      </c>
      <c r="D515" s="5" t="str">
        <f>IFERROR(__xludf.DUMMYFUNCTION("IFERROR(REGEXEXTRACT(A515, ""x:([-+]?[0-9]*\.?[0-9]+)""), """")"),"")</f>
        <v/>
      </c>
      <c r="E515" s="5" t="str">
        <f>IFERROR(__xludf.DUMMYFUNCTION("IFERROR(REGEXEXTRACT(A515, ""y:([-+]?[0-9]*\.?[0-9]+)""), """")"),"")</f>
        <v/>
      </c>
    </row>
    <row r="516">
      <c r="A516" s="13"/>
      <c r="B516" s="4">
        <f>IFERROR(__xludf.DUMMYFUNCTION("IFERROR(VALUE(REGEXEXTRACT(A516, ""angle:(\d+)"")), -1)"),-1.0)</f>
        <v>-1</v>
      </c>
      <c r="C516" s="5" t="str">
        <f t="shared" si="1"/>
        <v>-001</v>
      </c>
      <c r="D516" s="5" t="str">
        <f>IFERROR(__xludf.DUMMYFUNCTION("IFERROR(REGEXEXTRACT(A516, ""x:([-+]?[0-9]*\.?[0-9]+)""), """")"),"")</f>
        <v/>
      </c>
      <c r="E516" s="5" t="str">
        <f>IFERROR(__xludf.DUMMYFUNCTION("IFERROR(REGEXEXTRACT(A516, ""y:([-+]?[0-9]*\.?[0-9]+)""), """")"),"")</f>
        <v/>
      </c>
    </row>
    <row r="517">
      <c r="A517" s="13"/>
      <c r="B517" s="4">
        <f>IFERROR(__xludf.DUMMYFUNCTION("IFERROR(VALUE(REGEXEXTRACT(A517, ""angle:(\d+)"")), -1)"),-1.0)</f>
        <v>-1</v>
      </c>
      <c r="C517" s="5" t="str">
        <f t="shared" si="1"/>
        <v>-001</v>
      </c>
      <c r="D517" s="5" t="str">
        <f>IFERROR(__xludf.DUMMYFUNCTION("IFERROR(REGEXEXTRACT(A517, ""x:([-+]?[0-9]*\.?[0-9]+)""), """")"),"")</f>
        <v/>
      </c>
      <c r="E517" s="5" t="str">
        <f>IFERROR(__xludf.DUMMYFUNCTION("IFERROR(REGEXEXTRACT(A517, ""y:([-+]?[0-9]*\.?[0-9]+)""), """")"),"")</f>
        <v/>
      </c>
    </row>
    <row r="518">
      <c r="A518" s="13"/>
      <c r="B518" s="4">
        <f>IFERROR(__xludf.DUMMYFUNCTION("IFERROR(VALUE(REGEXEXTRACT(A518, ""angle:(\d+)"")), -1)"),-1.0)</f>
        <v>-1</v>
      </c>
      <c r="C518" s="5" t="str">
        <f t="shared" si="1"/>
        <v>-001</v>
      </c>
      <c r="D518" s="5" t="str">
        <f>IFERROR(__xludf.DUMMYFUNCTION("IFERROR(REGEXEXTRACT(A518, ""x:([-+]?[0-9]*\.?[0-9]+)""), """")"),"")</f>
        <v/>
      </c>
      <c r="E518" s="5" t="str">
        <f>IFERROR(__xludf.DUMMYFUNCTION("IFERROR(REGEXEXTRACT(A518, ""y:([-+]?[0-9]*\.?[0-9]+)""), """")"),"")</f>
        <v/>
      </c>
    </row>
    <row r="519">
      <c r="A519" s="13"/>
      <c r="B519" s="4">
        <f>IFERROR(__xludf.DUMMYFUNCTION("IFERROR(VALUE(REGEXEXTRACT(A519, ""angle:(\d+)"")), -1)"),-1.0)</f>
        <v>-1</v>
      </c>
      <c r="C519" s="5" t="str">
        <f t="shared" si="1"/>
        <v>-001</v>
      </c>
      <c r="D519" s="5" t="str">
        <f>IFERROR(__xludf.DUMMYFUNCTION("IFERROR(REGEXEXTRACT(A519, ""x:([-+]?[0-9]*\.?[0-9]+)""), """")"),"")</f>
        <v/>
      </c>
      <c r="E519" s="5" t="str">
        <f>IFERROR(__xludf.DUMMYFUNCTION("IFERROR(REGEXEXTRACT(A519, ""y:([-+]?[0-9]*\.?[0-9]+)""), """")"),"")</f>
        <v/>
      </c>
    </row>
    <row r="520">
      <c r="A520" s="13"/>
      <c r="B520" s="4">
        <f>IFERROR(__xludf.DUMMYFUNCTION("IFERROR(VALUE(REGEXEXTRACT(A520, ""angle:(\d+)"")), -1)"),-1.0)</f>
        <v>-1</v>
      </c>
      <c r="C520" s="5" t="str">
        <f t="shared" si="1"/>
        <v>-001</v>
      </c>
      <c r="D520" s="5" t="str">
        <f>IFERROR(__xludf.DUMMYFUNCTION("IFERROR(REGEXEXTRACT(A520, ""x:([-+]?[0-9]*\.?[0-9]+)""), """")"),"")</f>
        <v/>
      </c>
      <c r="E520" s="5" t="str">
        <f>IFERROR(__xludf.DUMMYFUNCTION("IFERROR(REGEXEXTRACT(A520, ""y:([-+]?[0-9]*\.?[0-9]+)""), """")"),"")</f>
        <v/>
      </c>
    </row>
    <row r="521">
      <c r="A521" s="13"/>
      <c r="B521" s="4">
        <f>IFERROR(__xludf.DUMMYFUNCTION("IFERROR(VALUE(REGEXEXTRACT(A521, ""angle:(\d+)"")), -1)"),-1.0)</f>
        <v>-1</v>
      </c>
      <c r="C521" s="5" t="str">
        <f t="shared" si="1"/>
        <v>-001</v>
      </c>
      <c r="D521" s="5" t="str">
        <f>IFERROR(__xludf.DUMMYFUNCTION("IFERROR(REGEXEXTRACT(A521, ""x:([-+]?[0-9]*\.?[0-9]+)""), """")"),"")</f>
        <v/>
      </c>
      <c r="E521" s="5" t="str">
        <f>IFERROR(__xludf.DUMMYFUNCTION("IFERROR(REGEXEXTRACT(A521, ""y:([-+]?[0-9]*\.?[0-9]+)""), """")"),"")</f>
        <v/>
      </c>
    </row>
    <row r="522">
      <c r="A522" s="13"/>
      <c r="B522" s="4">
        <f>IFERROR(__xludf.DUMMYFUNCTION("IFERROR(VALUE(REGEXEXTRACT(A522, ""angle:(\d+)"")), -1)"),-1.0)</f>
        <v>-1</v>
      </c>
      <c r="C522" s="5" t="str">
        <f t="shared" si="1"/>
        <v>-001</v>
      </c>
      <c r="D522" s="5" t="str">
        <f>IFERROR(__xludf.DUMMYFUNCTION("IFERROR(REGEXEXTRACT(A522, ""x:([-+]?[0-9]*\.?[0-9]+)""), """")"),"")</f>
        <v/>
      </c>
      <c r="E522" s="5" t="str">
        <f>IFERROR(__xludf.DUMMYFUNCTION("IFERROR(REGEXEXTRACT(A522, ""y:([-+]?[0-9]*\.?[0-9]+)""), """")"),"")</f>
        <v/>
      </c>
    </row>
    <row r="523">
      <c r="A523" s="13"/>
      <c r="B523" s="4">
        <f>IFERROR(__xludf.DUMMYFUNCTION("IFERROR(VALUE(REGEXEXTRACT(A523, ""angle:(\d+)"")), -1)"),-1.0)</f>
        <v>-1</v>
      </c>
      <c r="C523" s="5" t="str">
        <f t="shared" si="1"/>
        <v>-001</v>
      </c>
      <c r="D523" s="5" t="str">
        <f>IFERROR(__xludf.DUMMYFUNCTION("IFERROR(REGEXEXTRACT(A523, ""x:([-+]?[0-9]*\.?[0-9]+)""), """")"),"")</f>
        <v/>
      </c>
      <c r="E523" s="5" t="str">
        <f>IFERROR(__xludf.DUMMYFUNCTION("IFERROR(REGEXEXTRACT(A523, ""y:([-+]?[0-9]*\.?[0-9]+)""), """")"),"")</f>
        <v/>
      </c>
    </row>
    <row r="524">
      <c r="A524" s="13"/>
      <c r="B524" s="4">
        <f>IFERROR(__xludf.DUMMYFUNCTION("IFERROR(VALUE(REGEXEXTRACT(A524, ""angle:(\d+)"")), -1)"),-1.0)</f>
        <v>-1</v>
      </c>
      <c r="C524" s="5" t="str">
        <f t="shared" si="1"/>
        <v>-001</v>
      </c>
      <c r="D524" s="5" t="str">
        <f>IFERROR(__xludf.DUMMYFUNCTION("IFERROR(REGEXEXTRACT(A524, ""x:([-+]?[0-9]*\.?[0-9]+)""), """")"),"")</f>
        <v/>
      </c>
      <c r="E524" s="5" t="str">
        <f>IFERROR(__xludf.DUMMYFUNCTION("IFERROR(REGEXEXTRACT(A524, ""y:([-+]?[0-9]*\.?[0-9]+)""), """")"),"")</f>
        <v/>
      </c>
    </row>
    <row r="525">
      <c r="A525" s="13"/>
      <c r="B525" s="4">
        <f>IFERROR(__xludf.DUMMYFUNCTION("IFERROR(VALUE(REGEXEXTRACT(A525, ""angle:(\d+)"")), -1)"),-1.0)</f>
        <v>-1</v>
      </c>
      <c r="C525" s="5" t="str">
        <f t="shared" si="1"/>
        <v>-001</v>
      </c>
      <c r="D525" s="5" t="str">
        <f>IFERROR(__xludf.DUMMYFUNCTION("IFERROR(REGEXEXTRACT(A525, ""x:([-+]?[0-9]*\.?[0-9]+)""), """")"),"")</f>
        <v/>
      </c>
      <c r="E525" s="5" t="str">
        <f>IFERROR(__xludf.DUMMYFUNCTION("IFERROR(REGEXEXTRACT(A525, ""y:([-+]?[0-9]*\.?[0-9]+)""), """")"),"")</f>
        <v/>
      </c>
    </row>
    <row r="526">
      <c r="A526" s="13"/>
      <c r="B526" s="4">
        <f>IFERROR(__xludf.DUMMYFUNCTION("IFERROR(VALUE(REGEXEXTRACT(A526, ""angle:(\d+)"")), -1)"),-1.0)</f>
        <v>-1</v>
      </c>
      <c r="C526" s="5" t="str">
        <f t="shared" si="1"/>
        <v>-001</v>
      </c>
      <c r="D526" s="5" t="str">
        <f>IFERROR(__xludf.DUMMYFUNCTION("IFERROR(REGEXEXTRACT(A526, ""x:([-+]?[0-9]*\.?[0-9]+)""), """")"),"")</f>
        <v/>
      </c>
      <c r="E526" s="5" t="str">
        <f>IFERROR(__xludf.DUMMYFUNCTION("IFERROR(REGEXEXTRACT(A526, ""y:([-+]?[0-9]*\.?[0-9]+)""), """")"),"")</f>
        <v/>
      </c>
    </row>
    <row r="527">
      <c r="A527" s="13"/>
      <c r="B527" s="4">
        <f>IFERROR(__xludf.DUMMYFUNCTION("IFERROR(VALUE(REGEXEXTRACT(A527, ""angle:(\d+)"")), -1)"),-1.0)</f>
        <v>-1</v>
      </c>
      <c r="C527" s="5" t="str">
        <f t="shared" si="1"/>
        <v>-001</v>
      </c>
      <c r="D527" s="5" t="str">
        <f>IFERROR(__xludf.DUMMYFUNCTION("IFERROR(REGEXEXTRACT(A527, ""x:([-+]?[0-9]*\.?[0-9]+)""), """")"),"")</f>
        <v/>
      </c>
      <c r="E527" s="5" t="str">
        <f>IFERROR(__xludf.DUMMYFUNCTION("IFERROR(REGEXEXTRACT(A527, ""y:([-+]?[0-9]*\.?[0-9]+)""), """")"),"")</f>
        <v/>
      </c>
    </row>
    <row r="528">
      <c r="A528" s="13"/>
      <c r="B528" s="4">
        <f>IFERROR(__xludf.DUMMYFUNCTION("IFERROR(VALUE(REGEXEXTRACT(A528, ""angle:(\d+)"")), -1)"),-1.0)</f>
        <v>-1</v>
      </c>
      <c r="C528" s="5" t="str">
        <f t="shared" si="1"/>
        <v>-001</v>
      </c>
      <c r="D528" s="5" t="str">
        <f>IFERROR(__xludf.DUMMYFUNCTION("IFERROR(REGEXEXTRACT(A528, ""x:([-+]?[0-9]*\.?[0-9]+)""), """")"),"")</f>
        <v/>
      </c>
      <c r="E528" s="5" t="str">
        <f>IFERROR(__xludf.DUMMYFUNCTION("IFERROR(REGEXEXTRACT(A528, ""y:([-+]?[0-9]*\.?[0-9]+)""), """")"),"")</f>
        <v/>
      </c>
    </row>
    <row r="529">
      <c r="A529" s="13"/>
      <c r="B529" s="4">
        <f>IFERROR(__xludf.DUMMYFUNCTION("IFERROR(VALUE(REGEXEXTRACT(A529, ""angle:(\d+)"")), -1)"),-1.0)</f>
        <v>-1</v>
      </c>
      <c r="C529" s="5" t="str">
        <f t="shared" si="1"/>
        <v>-001</v>
      </c>
      <c r="D529" s="5" t="str">
        <f>IFERROR(__xludf.DUMMYFUNCTION("IFERROR(REGEXEXTRACT(A529, ""x:([-+]?[0-9]*\.?[0-9]+)""), """")"),"")</f>
        <v/>
      </c>
      <c r="E529" s="5" t="str">
        <f>IFERROR(__xludf.DUMMYFUNCTION("IFERROR(REGEXEXTRACT(A529, ""y:([-+]?[0-9]*\.?[0-9]+)""), """")"),"")</f>
        <v/>
      </c>
    </row>
    <row r="530">
      <c r="A530" s="13"/>
      <c r="B530" s="4">
        <f>IFERROR(__xludf.DUMMYFUNCTION("IFERROR(VALUE(REGEXEXTRACT(A530, ""angle:(\d+)"")), -1)"),-1.0)</f>
        <v>-1</v>
      </c>
      <c r="C530" s="5" t="str">
        <f t="shared" si="1"/>
        <v>-001</v>
      </c>
      <c r="D530" s="5" t="str">
        <f>IFERROR(__xludf.DUMMYFUNCTION("IFERROR(REGEXEXTRACT(A530, ""x:([-+]?[0-9]*\.?[0-9]+)""), """")"),"")</f>
        <v/>
      </c>
      <c r="E530" s="5" t="str">
        <f>IFERROR(__xludf.DUMMYFUNCTION("IFERROR(REGEXEXTRACT(A530, ""y:([-+]?[0-9]*\.?[0-9]+)""), """")"),"")</f>
        <v/>
      </c>
    </row>
    <row r="531">
      <c r="A531" s="13"/>
      <c r="B531" s="4">
        <f>IFERROR(__xludf.DUMMYFUNCTION("IFERROR(VALUE(REGEXEXTRACT(A531, ""angle:(\d+)"")), -1)"),-1.0)</f>
        <v>-1</v>
      </c>
      <c r="C531" s="5" t="str">
        <f t="shared" si="1"/>
        <v>-001</v>
      </c>
      <c r="D531" s="5" t="str">
        <f>IFERROR(__xludf.DUMMYFUNCTION("IFERROR(REGEXEXTRACT(A531, ""x:([-+]?[0-9]*\.?[0-9]+)""), """")"),"")</f>
        <v/>
      </c>
      <c r="E531" s="5" t="str">
        <f>IFERROR(__xludf.DUMMYFUNCTION("IFERROR(REGEXEXTRACT(A531, ""y:([-+]?[0-9]*\.?[0-9]+)""), """")"),"")</f>
        <v/>
      </c>
    </row>
    <row r="532">
      <c r="A532" s="13"/>
      <c r="B532" s="4">
        <f>IFERROR(__xludf.DUMMYFUNCTION("IFERROR(VALUE(REGEXEXTRACT(A532, ""angle:(\d+)"")), -1)"),-1.0)</f>
        <v>-1</v>
      </c>
      <c r="C532" s="5" t="str">
        <f t="shared" si="1"/>
        <v>-001</v>
      </c>
      <c r="D532" s="5" t="str">
        <f>IFERROR(__xludf.DUMMYFUNCTION("IFERROR(REGEXEXTRACT(A532, ""x:([-+]?[0-9]*\.?[0-9]+)""), """")"),"")</f>
        <v/>
      </c>
      <c r="E532" s="5" t="str">
        <f>IFERROR(__xludf.DUMMYFUNCTION("IFERROR(REGEXEXTRACT(A532, ""y:([-+]?[0-9]*\.?[0-9]+)""), """")"),"")</f>
        <v/>
      </c>
    </row>
    <row r="533">
      <c r="A533" s="13"/>
      <c r="B533" s="4">
        <f>IFERROR(__xludf.DUMMYFUNCTION("IFERROR(VALUE(REGEXEXTRACT(A533, ""angle:(\d+)"")), -1)"),-1.0)</f>
        <v>-1</v>
      </c>
      <c r="C533" s="5" t="str">
        <f t="shared" si="1"/>
        <v>-001</v>
      </c>
      <c r="D533" s="5" t="str">
        <f>IFERROR(__xludf.DUMMYFUNCTION("IFERROR(REGEXEXTRACT(A533, ""x:([-+]?[0-9]*\.?[0-9]+)""), """")"),"")</f>
        <v/>
      </c>
      <c r="E533" s="5" t="str">
        <f>IFERROR(__xludf.DUMMYFUNCTION("IFERROR(REGEXEXTRACT(A533, ""y:([-+]?[0-9]*\.?[0-9]+)""), """")"),"")</f>
        <v/>
      </c>
    </row>
    <row r="534">
      <c r="A534" s="13"/>
      <c r="B534" s="4">
        <f>IFERROR(__xludf.DUMMYFUNCTION("IFERROR(VALUE(REGEXEXTRACT(A534, ""angle:(\d+)"")), -1)"),-1.0)</f>
        <v>-1</v>
      </c>
      <c r="C534" s="5" t="str">
        <f t="shared" si="1"/>
        <v>-001</v>
      </c>
      <c r="D534" s="5" t="str">
        <f>IFERROR(__xludf.DUMMYFUNCTION("IFERROR(REGEXEXTRACT(A534, ""x:([-+]?[0-9]*\.?[0-9]+)""), """")"),"")</f>
        <v/>
      </c>
      <c r="E534" s="5" t="str">
        <f>IFERROR(__xludf.DUMMYFUNCTION("IFERROR(REGEXEXTRACT(A534, ""y:([-+]?[0-9]*\.?[0-9]+)""), """")"),"")</f>
        <v/>
      </c>
    </row>
    <row r="535">
      <c r="A535" s="13"/>
      <c r="B535" s="4">
        <f>IFERROR(__xludf.DUMMYFUNCTION("IFERROR(VALUE(REGEXEXTRACT(A535, ""angle:(\d+)"")), -1)"),-1.0)</f>
        <v>-1</v>
      </c>
      <c r="C535" s="5" t="str">
        <f t="shared" si="1"/>
        <v>-001</v>
      </c>
      <c r="D535" s="5" t="str">
        <f>IFERROR(__xludf.DUMMYFUNCTION("IFERROR(REGEXEXTRACT(A535, ""x:([-+]?[0-9]*\.?[0-9]+)""), """")"),"")</f>
        <v/>
      </c>
      <c r="E535" s="5" t="str">
        <f>IFERROR(__xludf.DUMMYFUNCTION("IFERROR(REGEXEXTRACT(A535, ""y:([-+]?[0-9]*\.?[0-9]+)""), """")"),"")</f>
        <v/>
      </c>
    </row>
    <row r="536">
      <c r="A536" s="13"/>
      <c r="B536" s="4">
        <f>IFERROR(__xludf.DUMMYFUNCTION("IFERROR(VALUE(REGEXEXTRACT(A536, ""angle:(\d+)"")), -1)"),-1.0)</f>
        <v>-1</v>
      </c>
      <c r="C536" s="5" t="str">
        <f t="shared" si="1"/>
        <v>-001</v>
      </c>
      <c r="D536" s="5" t="str">
        <f>IFERROR(__xludf.DUMMYFUNCTION("IFERROR(REGEXEXTRACT(A536, ""x:([-+]?[0-9]*\.?[0-9]+)""), """")"),"")</f>
        <v/>
      </c>
      <c r="E536" s="5" t="str">
        <f>IFERROR(__xludf.DUMMYFUNCTION("IFERROR(REGEXEXTRACT(A536, ""y:([-+]?[0-9]*\.?[0-9]+)""), """")"),"")</f>
        <v/>
      </c>
    </row>
    <row r="537">
      <c r="A537" s="13"/>
      <c r="B537" s="4">
        <f>IFERROR(__xludf.DUMMYFUNCTION("IFERROR(VALUE(REGEXEXTRACT(A537, ""angle:(\d+)"")), -1)"),-1.0)</f>
        <v>-1</v>
      </c>
      <c r="C537" s="5" t="str">
        <f t="shared" si="1"/>
        <v>-001</v>
      </c>
      <c r="D537" s="5" t="str">
        <f>IFERROR(__xludf.DUMMYFUNCTION("IFERROR(REGEXEXTRACT(A537, ""x:([-+]?[0-9]*\.?[0-9]+)""), """")"),"")</f>
        <v/>
      </c>
      <c r="E537" s="5" t="str">
        <f>IFERROR(__xludf.DUMMYFUNCTION("IFERROR(REGEXEXTRACT(A537, ""y:([-+]?[0-9]*\.?[0-9]+)""), """")"),"")</f>
        <v/>
      </c>
    </row>
    <row r="538">
      <c r="A538" s="13"/>
      <c r="B538" s="4">
        <f>IFERROR(__xludf.DUMMYFUNCTION("IFERROR(VALUE(REGEXEXTRACT(A538, ""angle:(\d+)"")), -1)"),-1.0)</f>
        <v>-1</v>
      </c>
      <c r="C538" s="5" t="str">
        <f t="shared" si="1"/>
        <v>-001</v>
      </c>
      <c r="D538" s="5" t="str">
        <f>IFERROR(__xludf.DUMMYFUNCTION("IFERROR(REGEXEXTRACT(A538, ""x:([-+]?[0-9]*\.?[0-9]+)""), """")"),"")</f>
        <v/>
      </c>
      <c r="E538" s="5" t="str">
        <f>IFERROR(__xludf.DUMMYFUNCTION("IFERROR(REGEXEXTRACT(A538, ""y:([-+]?[0-9]*\.?[0-9]+)""), """")"),"")</f>
        <v/>
      </c>
    </row>
    <row r="539">
      <c r="A539" s="13"/>
      <c r="B539" s="4">
        <f>IFERROR(__xludf.DUMMYFUNCTION("IFERROR(VALUE(REGEXEXTRACT(A539, ""angle:(\d+)"")), -1)"),-1.0)</f>
        <v>-1</v>
      </c>
      <c r="C539" s="5" t="str">
        <f t="shared" si="1"/>
        <v>-001</v>
      </c>
      <c r="D539" s="5" t="str">
        <f>IFERROR(__xludf.DUMMYFUNCTION("IFERROR(REGEXEXTRACT(A539, ""x:([-+]?[0-9]*\.?[0-9]+)""), """")"),"")</f>
        <v/>
      </c>
      <c r="E539" s="5" t="str">
        <f>IFERROR(__xludf.DUMMYFUNCTION("IFERROR(REGEXEXTRACT(A539, ""y:([-+]?[0-9]*\.?[0-9]+)""), """")"),"")</f>
        <v/>
      </c>
    </row>
    <row r="540">
      <c r="A540" s="13"/>
      <c r="B540" s="4">
        <f>IFERROR(__xludf.DUMMYFUNCTION("IFERROR(VALUE(REGEXEXTRACT(A540, ""angle:(\d+)"")), -1)"),-1.0)</f>
        <v>-1</v>
      </c>
      <c r="C540" s="5" t="str">
        <f t="shared" si="1"/>
        <v>-001</v>
      </c>
      <c r="D540" s="5" t="str">
        <f>IFERROR(__xludf.DUMMYFUNCTION("IFERROR(REGEXEXTRACT(A540, ""x:([-+]?[0-9]*\.?[0-9]+)""), """")"),"")</f>
        <v/>
      </c>
      <c r="E540" s="5" t="str">
        <f>IFERROR(__xludf.DUMMYFUNCTION("IFERROR(REGEXEXTRACT(A540, ""y:([-+]?[0-9]*\.?[0-9]+)""), """")"),"")</f>
        <v/>
      </c>
    </row>
    <row r="541">
      <c r="A541" s="13"/>
      <c r="B541" s="4">
        <f>IFERROR(__xludf.DUMMYFUNCTION("IFERROR(VALUE(REGEXEXTRACT(A541, ""angle:(\d+)"")), -1)"),-1.0)</f>
        <v>-1</v>
      </c>
      <c r="C541" s="5" t="str">
        <f t="shared" si="1"/>
        <v>-001</v>
      </c>
      <c r="D541" s="5" t="str">
        <f>IFERROR(__xludf.DUMMYFUNCTION("IFERROR(REGEXEXTRACT(A541, ""x:([-+]?[0-9]*\.?[0-9]+)""), """")"),"")</f>
        <v/>
      </c>
      <c r="E541" s="5" t="str">
        <f>IFERROR(__xludf.DUMMYFUNCTION("IFERROR(REGEXEXTRACT(A541, ""y:([-+]?[0-9]*\.?[0-9]+)""), """")"),"")</f>
        <v/>
      </c>
    </row>
    <row r="542">
      <c r="A542" s="13"/>
      <c r="B542" s="4">
        <f>IFERROR(__xludf.DUMMYFUNCTION("IFERROR(VALUE(REGEXEXTRACT(A542, ""angle:(\d+)"")), -1)"),-1.0)</f>
        <v>-1</v>
      </c>
      <c r="C542" s="5" t="str">
        <f t="shared" si="1"/>
        <v>-001</v>
      </c>
      <c r="D542" s="5" t="str">
        <f>IFERROR(__xludf.DUMMYFUNCTION("IFERROR(REGEXEXTRACT(A542, ""x:([-+]?[0-9]*\.?[0-9]+)""), """")"),"")</f>
        <v/>
      </c>
      <c r="E542" s="5" t="str">
        <f>IFERROR(__xludf.DUMMYFUNCTION("IFERROR(REGEXEXTRACT(A542, ""y:([-+]?[0-9]*\.?[0-9]+)""), """")"),"")</f>
        <v/>
      </c>
    </row>
    <row r="543">
      <c r="A543" s="13"/>
      <c r="B543" s="4">
        <f>IFERROR(__xludf.DUMMYFUNCTION("IFERROR(VALUE(REGEXEXTRACT(A543, ""angle:(\d+)"")), -1)"),-1.0)</f>
        <v>-1</v>
      </c>
      <c r="C543" s="5" t="str">
        <f t="shared" si="1"/>
        <v>-001</v>
      </c>
      <c r="D543" s="5" t="str">
        <f>IFERROR(__xludf.DUMMYFUNCTION("IFERROR(REGEXEXTRACT(A543, ""x:([-+]?[0-9]*\.?[0-9]+)""), """")"),"")</f>
        <v/>
      </c>
      <c r="E543" s="5" t="str">
        <f>IFERROR(__xludf.DUMMYFUNCTION("IFERROR(REGEXEXTRACT(A543, ""y:([-+]?[0-9]*\.?[0-9]+)""), """")"),"")</f>
        <v/>
      </c>
    </row>
    <row r="544">
      <c r="A544" s="13"/>
      <c r="B544" s="4">
        <f>IFERROR(__xludf.DUMMYFUNCTION("IFERROR(VALUE(REGEXEXTRACT(A544, ""angle:(\d+)"")), -1)"),-1.0)</f>
        <v>-1</v>
      </c>
      <c r="C544" s="5" t="str">
        <f t="shared" si="1"/>
        <v>-001</v>
      </c>
      <c r="D544" s="5" t="str">
        <f>IFERROR(__xludf.DUMMYFUNCTION("IFERROR(REGEXEXTRACT(A544, ""x:([-+]?[0-9]*\.?[0-9]+)""), """")"),"")</f>
        <v/>
      </c>
      <c r="E544" s="5" t="str">
        <f>IFERROR(__xludf.DUMMYFUNCTION("IFERROR(REGEXEXTRACT(A544, ""y:([-+]?[0-9]*\.?[0-9]+)""), """")"),"")</f>
        <v/>
      </c>
    </row>
    <row r="545">
      <c r="A545" s="13"/>
      <c r="B545" s="4">
        <f>IFERROR(__xludf.DUMMYFUNCTION("IFERROR(VALUE(REGEXEXTRACT(A545, ""angle:(\d+)"")), -1)"),-1.0)</f>
        <v>-1</v>
      </c>
      <c r="C545" s="5" t="str">
        <f t="shared" si="1"/>
        <v>-001</v>
      </c>
      <c r="D545" s="5" t="str">
        <f>IFERROR(__xludf.DUMMYFUNCTION("IFERROR(REGEXEXTRACT(A545, ""x:([-+]?[0-9]*\.?[0-9]+)""), """")"),"")</f>
        <v/>
      </c>
      <c r="E545" s="5" t="str">
        <f>IFERROR(__xludf.DUMMYFUNCTION("IFERROR(REGEXEXTRACT(A545, ""y:([-+]?[0-9]*\.?[0-9]+)""), """")"),"")</f>
        <v/>
      </c>
    </row>
    <row r="546">
      <c r="A546" s="13"/>
      <c r="B546" s="4">
        <f>IFERROR(__xludf.DUMMYFUNCTION("IFERROR(VALUE(REGEXEXTRACT(A546, ""angle:(\d+)"")), -1)"),-1.0)</f>
        <v>-1</v>
      </c>
      <c r="C546" s="5" t="str">
        <f t="shared" si="1"/>
        <v>-001</v>
      </c>
      <c r="D546" s="5" t="str">
        <f>IFERROR(__xludf.DUMMYFUNCTION("IFERROR(REGEXEXTRACT(A546, ""x:([-+]?[0-9]*\.?[0-9]+)""), """")"),"")</f>
        <v/>
      </c>
      <c r="E546" s="5" t="str">
        <f>IFERROR(__xludf.DUMMYFUNCTION("IFERROR(REGEXEXTRACT(A546, ""y:([-+]?[0-9]*\.?[0-9]+)""), """")"),"")</f>
        <v/>
      </c>
    </row>
    <row r="547">
      <c r="A547" s="13"/>
      <c r="B547" s="4">
        <f>IFERROR(__xludf.DUMMYFUNCTION("IFERROR(VALUE(REGEXEXTRACT(A547, ""angle:(\d+)"")), -1)"),-1.0)</f>
        <v>-1</v>
      </c>
      <c r="C547" s="5" t="str">
        <f t="shared" si="1"/>
        <v>-001</v>
      </c>
      <c r="D547" s="5" t="str">
        <f>IFERROR(__xludf.DUMMYFUNCTION("IFERROR(REGEXEXTRACT(A547, ""x:([-+]?[0-9]*\.?[0-9]+)""), """")"),"")</f>
        <v/>
      </c>
      <c r="E547" s="5" t="str">
        <f>IFERROR(__xludf.DUMMYFUNCTION("IFERROR(REGEXEXTRACT(A547, ""y:([-+]?[0-9]*\.?[0-9]+)""), """")"),"")</f>
        <v/>
      </c>
    </row>
    <row r="548">
      <c r="A548" s="13"/>
      <c r="B548" s="4">
        <f>IFERROR(__xludf.DUMMYFUNCTION("IFERROR(VALUE(REGEXEXTRACT(A548, ""angle:(\d+)"")), -1)"),-1.0)</f>
        <v>-1</v>
      </c>
      <c r="C548" s="5" t="str">
        <f t="shared" si="1"/>
        <v>-001</v>
      </c>
      <c r="D548" s="5" t="str">
        <f>IFERROR(__xludf.DUMMYFUNCTION("IFERROR(REGEXEXTRACT(A548, ""x:([-+]?[0-9]*\.?[0-9]+)""), """")"),"")</f>
        <v/>
      </c>
      <c r="E548" s="5" t="str">
        <f>IFERROR(__xludf.DUMMYFUNCTION("IFERROR(REGEXEXTRACT(A548, ""y:([-+]?[0-9]*\.?[0-9]+)""), """")"),"")</f>
        <v/>
      </c>
    </row>
    <row r="549">
      <c r="A549" s="13"/>
      <c r="B549" s="4">
        <f>IFERROR(__xludf.DUMMYFUNCTION("IFERROR(VALUE(REGEXEXTRACT(A549, ""angle:(\d+)"")), -1)"),-1.0)</f>
        <v>-1</v>
      </c>
      <c r="C549" s="5" t="str">
        <f t="shared" si="1"/>
        <v>-001</v>
      </c>
      <c r="D549" s="5" t="str">
        <f>IFERROR(__xludf.DUMMYFUNCTION("IFERROR(REGEXEXTRACT(A549, ""x:([-+]?[0-9]*\.?[0-9]+)""), """")"),"")</f>
        <v/>
      </c>
      <c r="E549" s="5" t="str">
        <f>IFERROR(__xludf.DUMMYFUNCTION("IFERROR(REGEXEXTRACT(A549, ""y:([-+]?[0-9]*\.?[0-9]+)""), """")"),"")</f>
        <v/>
      </c>
    </row>
    <row r="550">
      <c r="A550" s="13"/>
      <c r="B550" s="4">
        <f>IFERROR(__xludf.DUMMYFUNCTION("IFERROR(VALUE(REGEXEXTRACT(A550, ""angle:(\d+)"")), -1)"),-1.0)</f>
        <v>-1</v>
      </c>
      <c r="C550" s="5" t="str">
        <f t="shared" si="1"/>
        <v>-001</v>
      </c>
      <c r="D550" s="5" t="str">
        <f>IFERROR(__xludf.DUMMYFUNCTION("IFERROR(REGEXEXTRACT(A550, ""x:([-+]?[0-9]*\.?[0-9]+)""), """")"),"")</f>
        <v/>
      </c>
      <c r="E550" s="5" t="str">
        <f>IFERROR(__xludf.DUMMYFUNCTION("IFERROR(REGEXEXTRACT(A550, ""y:([-+]?[0-9]*\.?[0-9]+)""), """")"),"")</f>
        <v/>
      </c>
    </row>
    <row r="551">
      <c r="A551" s="13"/>
      <c r="B551" s="4">
        <f>IFERROR(__xludf.DUMMYFUNCTION("IFERROR(VALUE(REGEXEXTRACT(A551, ""angle:(\d+)"")), -1)"),-1.0)</f>
        <v>-1</v>
      </c>
      <c r="C551" s="5" t="str">
        <f t="shared" si="1"/>
        <v>-001</v>
      </c>
      <c r="D551" s="5" t="str">
        <f>IFERROR(__xludf.DUMMYFUNCTION("IFERROR(REGEXEXTRACT(A551, ""x:([-+]?[0-9]*\.?[0-9]+)""), """")"),"")</f>
        <v/>
      </c>
      <c r="E551" s="5" t="str">
        <f>IFERROR(__xludf.DUMMYFUNCTION("IFERROR(REGEXEXTRACT(A551, ""y:([-+]?[0-9]*\.?[0-9]+)""), """")"),"")</f>
        <v/>
      </c>
    </row>
    <row r="552">
      <c r="A552" s="13"/>
      <c r="B552" s="4">
        <f>IFERROR(__xludf.DUMMYFUNCTION("IFERROR(VALUE(REGEXEXTRACT(A552, ""angle:(\d+)"")), -1)"),-1.0)</f>
        <v>-1</v>
      </c>
      <c r="C552" s="5" t="str">
        <f t="shared" si="1"/>
        <v>-001</v>
      </c>
      <c r="D552" s="5" t="str">
        <f>IFERROR(__xludf.DUMMYFUNCTION("IFERROR(REGEXEXTRACT(A552, ""x:([-+]?[0-9]*\.?[0-9]+)""), """")"),"")</f>
        <v/>
      </c>
      <c r="E552" s="5" t="str">
        <f>IFERROR(__xludf.DUMMYFUNCTION("IFERROR(REGEXEXTRACT(A552, ""y:([-+]?[0-9]*\.?[0-9]+)""), """")"),"")</f>
        <v/>
      </c>
    </row>
    <row r="553">
      <c r="A553" s="13"/>
      <c r="B553" s="4">
        <f>IFERROR(__xludf.DUMMYFUNCTION("IFERROR(VALUE(REGEXEXTRACT(A553, ""angle:(\d+)"")), -1)"),-1.0)</f>
        <v>-1</v>
      </c>
      <c r="C553" s="5" t="str">
        <f t="shared" si="1"/>
        <v>-001</v>
      </c>
      <c r="D553" s="5" t="str">
        <f>IFERROR(__xludf.DUMMYFUNCTION("IFERROR(REGEXEXTRACT(A553, ""x:([-+]?[0-9]*\.?[0-9]+)""), """")"),"")</f>
        <v/>
      </c>
      <c r="E553" s="5" t="str">
        <f>IFERROR(__xludf.DUMMYFUNCTION("IFERROR(REGEXEXTRACT(A553, ""y:([-+]?[0-9]*\.?[0-9]+)""), """")"),"")</f>
        <v/>
      </c>
    </row>
    <row r="554">
      <c r="A554" s="13"/>
      <c r="B554" s="4">
        <f>IFERROR(__xludf.DUMMYFUNCTION("IFERROR(VALUE(REGEXEXTRACT(A554, ""angle:(\d+)"")), -1)"),-1.0)</f>
        <v>-1</v>
      </c>
      <c r="C554" s="5" t="str">
        <f t="shared" si="1"/>
        <v>-001</v>
      </c>
      <c r="D554" s="5" t="str">
        <f>IFERROR(__xludf.DUMMYFUNCTION("IFERROR(REGEXEXTRACT(A554, ""x:([-+]?[0-9]*\.?[0-9]+)""), """")"),"")</f>
        <v/>
      </c>
      <c r="E554" s="5" t="str">
        <f>IFERROR(__xludf.DUMMYFUNCTION("IFERROR(REGEXEXTRACT(A554, ""y:([-+]?[0-9]*\.?[0-9]+)""), """")"),"")</f>
        <v/>
      </c>
    </row>
    <row r="555">
      <c r="A555" s="13"/>
      <c r="B555" s="4">
        <f>IFERROR(__xludf.DUMMYFUNCTION("IFERROR(VALUE(REGEXEXTRACT(A555, ""angle:(\d+)"")), -1)"),-1.0)</f>
        <v>-1</v>
      </c>
      <c r="C555" s="5" t="str">
        <f t="shared" si="1"/>
        <v>-001</v>
      </c>
      <c r="D555" s="5" t="str">
        <f>IFERROR(__xludf.DUMMYFUNCTION("IFERROR(REGEXEXTRACT(A555, ""x:([-+]?[0-9]*\.?[0-9]+)""), """")"),"")</f>
        <v/>
      </c>
      <c r="E555" s="5" t="str">
        <f>IFERROR(__xludf.DUMMYFUNCTION("IFERROR(REGEXEXTRACT(A555, ""y:([-+]?[0-9]*\.?[0-9]+)""), """")"),"")</f>
        <v/>
      </c>
    </row>
    <row r="556">
      <c r="A556" s="13"/>
      <c r="B556" s="4">
        <f>IFERROR(__xludf.DUMMYFUNCTION("IFERROR(VALUE(REGEXEXTRACT(A556, ""angle:(\d+)"")), -1)"),-1.0)</f>
        <v>-1</v>
      </c>
      <c r="C556" s="5" t="str">
        <f t="shared" si="1"/>
        <v>-001</v>
      </c>
      <c r="D556" s="5" t="str">
        <f>IFERROR(__xludf.DUMMYFUNCTION("IFERROR(REGEXEXTRACT(A556, ""x:([-+]?[0-9]*\.?[0-9]+)""), """")"),"")</f>
        <v/>
      </c>
      <c r="E556" s="5" t="str">
        <f>IFERROR(__xludf.DUMMYFUNCTION("IFERROR(REGEXEXTRACT(A556, ""y:([-+]?[0-9]*\.?[0-9]+)""), """")"),"")</f>
        <v/>
      </c>
    </row>
    <row r="557">
      <c r="A557" s="13"/>
      <c r="B557" s="4">
        <f>IFERROR(__xludf.DUMMYFUNCTION("IFERROR(VALUE(REGEXEXTRACT(A557, ""angle:(\d+)"")), -1)"),-1.0)</f>
        <v>-1</v>
      </c>
      <c r="C557" s="5" t="str">
        <f t="shared" si="1"/>
        <v>-001</v>
      </c>
      <c r="D557" s="5" t="str">
        <f>IFERROR(__xludf.DUMMYFUNCTION("IFERROR(REGEXEXTRACT(A557, ""x:([-+]?[0-9]*\.?[0-9]+)""), """")"),"")</f>
        <v/>
      </c>
      <c r="E557" s="5" t="str">
        <f>IFERROR(__xludf.DUMMYFUNCTION("IFERROR(REGEXEXTRACT(A557, ""y:([-+]?[0-9]*\.?[0-9]+)""), """")"),"")</f>
        <v/>
      </c>
    </row>
    <row r="558">
      <c r="A558" s="13"/>
      <c r="B558" s="4">
        <f>IFERROR(__xludf.DUMMYFUNCTION("IFERROR(VALUE(REGEXEXTRACT(A558, ""angle:(\d+)"")), -1)"),-1.0)</f>
        <v>-1</v>
      </c>
      <c r="C558" s="5" t="str">
        <f t="shared" si="1"/>
        <v>-001</v>
      </c>
      <c r="D558" s="5" t="str">
        <f>IFERROR(__xludf.DUMMYFUNCTION("IFERROR(REGEXEXTRACT(A558, ""x:([-+]?[0-9]*\.?[0-9]+)""), """")"),"")</f>
        <v/>
      </c>
      <c r="E558" s="5" t="str">
        <f>IFERROR(__xludf.DUMMYFUNCTION("IFERROR(REGEXEXTRACT(A558, ""y:([-+]?[0-9]*\.?[0-9]+)""), """")"),"")</f>
        <v/>
      </c>
    </row>
    <row r="559">
      <c r="A559" s="13"/>
      <c r="B559" s="4">
        <f>IFERROR(__xludf.DUMMYFUNCTION("IFERROR(VALUE(REGEXEXTRACT(A559, ""angle:(\d+)"")), -1)"),-1.0)</f>
        <v>-1</v>
      </c>
      <c r="C559" s="5" t="str">
        <f t="shared" si="1"/>
        <v>-001</v>
      </c>
      <c r="D559" s="5" t="str">
        <f>IFERROR(__xludf.DUMMYFUNCTION("IFERROR(REGEXEXTRACT(A559, ""x:([-+]?[0-9]*\.?[0-9]+)""), """")"),"")</f>
        <v/>
      </c>
      <c r="E559" s="5" t="str">
        <f>IFERROR(__xludf.DUMMYFUNCTION("IFERROR(REGEXEXTRACT(A559, ""y:([-+]?[0-9]*\.?[0-9]+)""), """")"),"")</f>
        <v/>
      </c>
    </row>
    <row r="560">
      <c r="A560" s="13"/>
      <c r="B560" s="4">
        <f>IFERROR(__xludf.DUMMYFUNCTION("IFERROR(VALUE(REGEXEXTRACT(A560, ""angle:(\d+)"")), -1)"),-1.0)</f>
        <v>-1</v>
      </c>
      <c r="C560" s="5" t="str">
        <f t="shared" si="1"/>
        <v>-001</v>
      </c>
      <c r="D560" s="5" t="str">
        <f>IFERROR(__xludf.DUMMYFUNCTION("IFERROR(REGEXEXTRACT(A560, ""x:([-+]?[0-9]*\.?[0-9]+)""), """")"),"")</f>
        <v/>
      </c>
      <c r="E560" s="5" t="str">
        <f>IFERROR(__xludf.DUMMYFUNCTION("IFERROR(REGEXEXTRACT(A560, ""y:([-+]?[0-9]*\.?[0-9]+)""), """")"),"")</f>
        <v/>
      </c>
    </row>
    <row r="561">
      <c r="A561" s="13"/>
      <c r="B561" s="4">
        <f>IFERROR(__xludf.DUMMYFUNCTION("IFERROR(VALUE(REGEXEXTRACT(A561, ""angle:(\d+)"")), -1)"),-1.0)</f>
        <v>-1</v>
      </c>
      <c r="C561" s="5" t="str">
        <f t="shared" si="1"/>
        <v>-001</v>
      </c>
      <c r="D561" s="5" t="str">
        <f>IFERROR(__xludf.DUMMYFUNCTION("IFERROR(REGEXEXTRACT(A561, ""x:([-+]?[0-9]*\.?[0-9]+)""), """")"),"")</f>
        <v/>
      </c>
      <c r="E561" s="5" t="str">
        <f>IFERROR(__xludf.DUMMYFUNCTION("IFERROR(REGEXEXTRACT(A561, ""y:([-+]?[0-9]*\.?[0-9]+)""), """")"),"")</f>
        <v/>
      </c>
    </row>
    <row r="562">
      <c r="A562" s="13"/>
      <c r="B562" s="4">
        <f>IFERROR(__xludf.DUMMYFUNCTION("IFERROR(VALUE(REGEXEXTRACT(A562, ""angle:(\d+)"")), -1)"),-1.0)</f>
        <v>-1</v>
      </c>
      <c r="C562" s="5" t="str">
        <f t="shared" si="1"/>
        <v>-001</v>
      </c>
      <c r="D562" s="5" t="str">
        <f>IFERROR(__xludf.DUMMYFUNCTION("IFERROR(REGEXEXTRACT(A562, ""x:([-+]?[0-9]*\.?[0-9]+)""), """")"),"")</f>
        <v/>
      </c>
      <c r="E562" s="5" t="str">
        <f>IFERROR(__xludf.DUMMYFUNCTION("IFERROR(REGEXEXTRACT(A562, ""y:([-+]?[0-9]*\.?[0-9]+)""), """")"),"")</f>
        <v/>
      </c>
    </row>
    <row r="563">
      <c r="A563" s="13"/>
      <c r="B563" s="4">
        <f>IFERROR(__xludf.DUMMYFUNCTION("IFERROR(VALUE(REGEXEXTRACT(A563, ""angle:(\d+)"")), -1)"),-1.0)</f>
        <v>-1</v>
      </c>
      <c r="C563" s="5" t="str">
        <f t="shared" si="1"/>
        <v>-001</v>
      </c>
      <c r="D563" s="5" t="str">
        <f>IFERROR(__xludf.DUMMYFUNCTION("IFERROR(REGEXEXTRACT(A563, ""x:([-+]?[0-9]*\.?[0-9]+)""), """")"),"")</f>
        <v/>
      </c>
      <c r="E563" s="5" t="str">
        <f>IFERROR(__xludf.DUMMYFUNCTION("IFERROR(REGEXEXTRACT(A563, ""y:([-+]?[0-9]*\.?[0-9]+)""), """")"),"")</f>
        <v/>
      </c>
    </row>
    <row r="564">
      <c r="A564" s="13"/>
      <c r="B564" s="4">
        <f>IFERROR(__xludf.DUMMYFUNCTION("IFERROR(VALUE(REGEXEXTRACT(A564, ""angle:(\d+)"")), -1)"),-1.0)</f>
        <v>-1</v>
      </c>
      <c r="C564" s="5" t="str">
        <f t="shared" si="1"/>
        <v>-001</v>
      </c>
      <c r="D564" s="5" t="str">
        <f>IFERROR(__xludf.DUMMYFUNCTION("IFERROR(REGEXEXTRACT(A564, ""x:([-+]?[0-9]*\.?[0-9]+)""), """")"),"")</f>
        <v/>
      </c>
      <c r="E564" s="5" t="str">
        <f>IFERROR(__xludf.DUMMYFUNCTION("IFERROR(REGEXEXTRACT(A564, ""y:([-+]?[0-9]*\.?[0-9]+)""), """")"),"")</f>
        <v/>
      </c>
    </row>
    <row r="565">
      <c r="A565" s="13"/>
      <c r="B565" s="4">
        <f>IFERROR(__xludf.DUMMYFUNCTION("IFERROR(VALUE(REGEXEXTRACT(A565, ""angle:(\d+)"")), -1)"),-1.0)</f>
        <v>-1</v>
      </c>
      <c r="C565" s="5" t="str">
        <f t="shared" si="1"/>
        <v>-001</v>
      </c>
      <c r="D565" s="5" t="str">
        <f>IFERROR(__xludf.DUMMYFUNCTION("IFERROR(REGEXEXTRACT(A565, ""x:([-+]?[0-9]*\.?[0-9]+)""), """")"),"")</f>
        <v/>
      </c>
      <c r="E565" s="5" t="str">
        <f>IFERROR(__xludf.DUMMYFUNCTION("IFERROR(REGEXEXTRACT(A565, ""y:([-+]?[0-9]*\.?[0-9]+)""), """")"),"")</f>
        <v/>
      </c>
    </row>
    <row r="566">
      <c r="A566" s="13"/>
      <c r="B566" s="4">
        <f>IFERROR(__xludf.DUMMYFUNCTION("IFERROR(VALUE(REGEXEXTRACT(A566, ""angle:(\d+)"")), -1)"),-1.0)</f>
        <v>-1</v>
      </c>
      <c r="C566" s="5" t="str">
        <f t="shared" si="1"/>
        <v>-001</v>
      </c>
      <c r="D566" s="5" t="str">
        <f>IFERROR(__xludf.DUMMYFUNCTION("IFERROR(REGEXEXTRACT(A566, ""x:([-+]?[0-9]*\.?[0-9]+)""), """")"),"")</f>
        <v/>
      </c>
      <c r="E566" s="5" t="str">
        <f>IFERROR(__xludf.DUMMYFUNCTION("IFERROR(REGEXEXTRACT(A566, ""y:([-+]?[0-9]*\.?[0-9]+)""), """")"),"")</f>
        <v/>
      </c>
    </row>
    <row r="567">
      <c r="A567" s="13"/>
      <c r="B567" s="4">
        <f>IFERROR(__xludf.DUMMYFUNCTION("IFERROR(VALUE(REGEXEXTRACT(A567, ""angle:(\d+)"")), -1)"),-1.0)</f>
        <v>-1</v>
      </c>
      <c r="C567" s="5" t="str">
        <f t="shared" si="1"/>
        <v>-001</v>
      </c>
      <c r="D567" s="5" t="str">
        <f>IFERROR(__xludf.DUMMYFUNCTION("IFERROR(REGEXEXTRACT(A567, ""x:([-+]?[0-9]*\.?[0-9]+)""), """")"),"")</f>
        <v/>
      </c>
      <c r="E567" s="5" t="str">
        <f>IFERROR(__xludf.DUMMYFUNCTION("IFERROR(REGEXEXTRACT(A567, ""y:([-+]?[0-9]*\.?[0-9]+)""), """")"),"")</f>
        <v/>
      </c>
    </row>
    <row r="568">
      <c r="A568" s="13"/>
      <c r="B568" s="4">
        <f>IFERROR(__xludf.DUMMYFUNCTION("IFERROR(VALUE(REGEXEXTRACT(A568, ""angle:(\d+)"")), -1)"),-1.0)</f>
        <v>-1</v>
      </c>
      <c r="C568" s="5" t="str">
        <f t="shared" si="1"/>
        <v>-001</v>
      </c>
      <c r="D568" s="5" t="str">
        <f>IFERROR(__xludf.DUMMYFUNCTION("IFERROR(REGEXEXTRACT(A568, ""x:([-+]?[0-9]*\.?[0-9]+)""), """")"),"")</f>
        <v/>
      </c>
      <c r="E568" s="5" t="str">
        <f>IFERROR(__xludf.DUMMYFUNCTION("IFERROR(REGEXEXTRACT(A568, ""y:([-+]?[0-9]*\.?[0-9]+)""), """")"),"")</f>
        <v/>
      </c>
    </row>
    <row r="569">
      <c r="A569" s="13"/>
      <c r="B569" s="4">
        <f>IFERROR(__xludf.DUMMYFUNCTION("IFERROR(VALUE(REGEXEXTRACT(A569, ""angle:(\d+)"")), -1)"),-1.0)</f>
        <v>-1</v>
      </c>
      <c r="C569" s="5" t="str">
        <f t="shared" si="1"/>
        <v>-001</v>
      </c>
      <c r="D569" s="5" t="str">
        <f>IFERROR(__xludf.DUMMYFUNCTION("IFERROR(REGEXEXTRACT(A569, ""x:([-+]?[0-9]*\.?[0-9]+)""), """")"),"")</f>
        <v/>
      </c>
      <c r="E569" s="5" t="str">
        <f>IFERROR(__xludf.DUMMYFUNCTION("IFERROR(REGEXEXTRACT(A569, ""y:([-+]?[0-9]*\.?[0-9]+)""), """")"),"")</f>
        <v/>
      </c>
    </row>
    <row r="570">
      <c r="A570" s="13"/>
      <c r="B570" s="4">
        <f>IFERROR(__xludf.DUMMYFUNCTION("IFERROR(VALUE(REGEXEXTRACT(A570, ""angle:(\d+)"")), -1)"),-1.0)</f>
        <v>-1</v>
      </c>
      <c r="C570" s="5" t="str">
        <f t="shared" si="1"/>
        <v>-001</v>
      </c>
      <c r="D570" s="5" t="str">
        <f>IFERROR(__xludf.DUMMYFUNCTION("IFERROR(REGEXEXTRACT(A570, ""x:([-+]?[0-9]*\.?[0-9]+)""), """")"),"")</f>
        <v/>
      </c>
      <c r="E570" s="5" t="str">
        <f>IFERROR(__xludf.DUMMYFUNCTION("IFERROR(REGEXEXTRACT(A570, ""y:([-+]?[0-9]*\.?[0-9]+)""), """")"),"")</f>
        <v/>
      </c>
    </row>
    <row r="571">
      <c r="A571" s="13"/>
      <c r="B571" s="4">
        <f>IFERROR(__xludf.DUMMYFUNCTION("IFERROR(VALUE(REGEXEXTRACT(A571, ""angle:(\d+)"")), -1)"),-1.0)</f>
        <v>-1</v>
      </c>
      <c r="C571" s="5" t="str">
        <f t="shared" si="1"/>
        <v>-001</v>
      </c>
      <c r="D571" s="5" t="str">
        <f>IFERROR(__xludf.DUMMYFUNCTION("IFERROR(REGEXEXTRACT(A571, ""x:([-+]?[0-9]*\.?[0-9]+)""), """")"),"")</f>
        <v/>
      </c>
      <c r="E571" s="5" t="str">
        <f>IFERROR(__xludf.DUMMYFUNCTION("IFERROR(REGEXEXTRACT(A571, ""y:([-+]?[0-9]*\.?[0-9]+)""), """")"),"")</f>
        <v/>
      </c>
    </row>
    <row r="572">
      <c r="A572" s="13"/>
      <c r="B572" s="4">
        <f>IFERROR(__xludf.DUMMYFUNCTION("IFERROR(VALUE(REGEXEXTRACT(A572, ""angle:(\d+)"")), -1)"),-1.0)</f>
        <v>-1</v>
      </c>
      <c r="C572" s="5" t="str">
        <f t="shared" si="1"/>
        <v>-001</v>
      </c>
      <c r="D572" s="5" t="str">
        <f>IFERROR(__xludf.DUMMYFUNCTION("IFERROR(REGEXEXTRACT(A572, ""x:([-+]?[0-9]*\.?[0-9]+)""), """")"),"")</f>
        <v/>
      </c>
      <c r="E572" s="5" t="str">
        <f>IFERROR(__xludf.DUMMYFUNCTION("IFERROR(REGEXEXTRACT(A572, ""y:([-+]?[0-9]*\.?[0-9]+)""), """")"),"")</f>
        <v/>
      </c>
    </row>
    <row r="573">
      <c r="A573" s="13"/>
      <c r="B573" s="4">
        <f>IFERROR(__xludf.DUMMYFUNCTION("IFERROR(VALUE(REGEXEXTRACT(A573, ""angle:(\d+)"")), -1)"),-1.0)</f>
        <v>-1</v>
      </c>
      <c r="C573" s="5" t="str">
        <f t="shared" si="1"/>
        <v>-001</v>
      </c>
      <c r="D573" s="5" t="str">
        <f>IFERROR(__xludf.DUMMYFUNCTION("IFERROR(REGEXEXTRACT(A573, ""x:([-+]?[0-9]*\.?[0-9]+)""), """")"),"")</f>
        <v/>
      </c>
      <c r="E573" s="5" t="str">
        <f>IFERROR(__xludf.DUMMYFUNCTION("IFERROR(REGEXEXTRACT(A573, ""y:([-+]?[0-9]*\.?[0-9]+)""), """")"),"")</f>
        <v/>
      </c>
    </row>
    <row r="574">
      <c r="A574" s="13"/>
      <c r="B574" s="4">
        <f>IFERROR(__xludf.DUMMYFUNCTION("IFERROR(VALUE(REGEXEXTRACT(A574, ""angle:(\d+)"")), -1)"),-1.0)</f>
        <v>-1</v>
      </c>
      <c r="C574" s="5" t="str">
        <f t="shared" si="1"/>
        <v>-001</v>
      </c>
      <c r="D574" s="5" t="str">
        <f>IFERROR(__xludf.DUMMYFUNCTION("IFERROR(REGEXEXTRACT(A574, ""x:([-+]?[0-9]*\.?[0-9]+)""), """")"),"")</f>
        <v/>
      </c>
      <c r="E574" s="5" t="str">
        <f>IFERROR(__xludf.DUMMYFUNCTION("IFERROR(REGEXEXTRACT(A574, ""y:([-+]?[0-9]*\.?[0-9]+)""), """")"),"")</f>
        <v/>
      </c>
    </row>
    <row r="575">
      <c r="A575" s="13"/>
      <c r="B575" s="4">
        <f>IFERROR(__xludf.DUMMYFUNCTION("IFERROR(VALUE(REGEXEXTRACT(A575, ""angle:(\d+)"")), -1)"),-1.0)</f>
        <v>-1</v>
      </c>
      <c r="C575" s="5" t="str">
        <f t="shared" si="1"/>
        <v>-001</v>
      </c>
      <c r="D575" s="5" t="str">
        <f>IFERROR(__xludf.DUMMYFUNCTION("IFERROR(REGEXEXTRACT(A575, ""x:([-+]?[0-9]*\.?[0-9]+)""), """")"),"")</f>
        <v/>
      </c>
      <c r="E575" s="5" t="str">
        <f>IFERROR(__xludf.DUMMYFUNCTION("IFERROR(REGEXEXTRACT(A575, ""y:([-+]?[0-9]*\.?[0-9]+)""), """")"),"")</f>
        <v/>
      </c>
    </row>
    <row r="576">
      <c r="A576" s="13"/>
      <c r="B576" s="4">
        <f>IFERROR(__xludf.DUMMYFUNCTION("IFERROR(VALUE(REGEXEXTRACT(A576, ""angle:(\d+)"")), -1)"),-1.0)</f>
        <v>-1</v>
      </c>
      <c r="C576" s="5" t="str">
        <f t="shared" si="1"/>
        <v>-001</v>
      </c>
      <c r="D576" s="5" t="str">
        <f>IFERROR(__xludf.DUMMYFUNCTION("IFERROR(REGEXEXTRACT(A576, ""x:([-+]?[0-9]*\.?[0-9]+)""), """")"),"")</f>
        <v/>
      </c>
      <c r="E576" s="5" t="str">
        <f>IFERROR(__xludf.DUMMYFUNCTION("IFERROR(REGEXEXTRACT(A576, ""y:([-+]?[0-9]*\.?[0-9]+)""), """")"),"")</f>
        <v/>
      </c>
    </row>
    <row r="577">
      <c r="A577" s="13"/>
      <c r="B577" s="4">
        <f>IFERROR(__xludf.DUMMYFUNCTION("IFERROR(VALUE(REGEXEXTRACT(A577, ""angle:(\d+)"")), -1)"),-1.0)</f>
        <v>-1</v>
      </c>
      <c r="C577" s="5" t="str">
        <f t="shared" si="1"/>
        <v>-001</v>
      </c>
      <c r="D577" s="5" t="str">
        <f>IFERROR(__xludf.DUMMYFUNCTION("IFERROR(REGEXEXTRACT(A577, ""x:([-+]?[0-9]*\.?[0-9]+)""), """")"),"")</f>
        <v/>
      </c>
      <c r="E577" s="5" t="str">
        <f>IFERROR(__xludf.DUMMYFUNCTION("IFERROR(REGEXEXTRACT(A577, ""y:([-+]?[0-9]*\.?[0-9]+)""), """")"),"")</f>
        <v/>
      </c>
    </row>
    <row r="578">
      <c r="A578" s="13"/>
      <c r="B578" s="4">
        <f>IFERROR(__xludf.DUMMYFUNCTION("IFERROR(VALUE(REGEXEXTRACT(A578, ""angle:(\d+)"")), -1)"),-1.0)</f>
        <v>-1</v>
      </c>
      <c r="C578" s="5" t="str">
        <f t="shared" si="1"/>
        <v>-001</v>
      </c>
      <c r="D578" s="5" t="str">
        <f>IFERROR(__xludf.DUMMYFUNCTION("IFERROR(REGEXEXTRACT(A578, ""x:([-+]?[0-9]*\.?[0-9]+)""), """")"),"")</f>
        <v/>
      </c>
      <c r="E578" s="5" t="str">
        <f>IFERROR(__xludf.DUMMYFUNCTION("IFERROR(REGEXEXTRACT(A578, ""y:([-+]?[0-9]*\.?[0-9]+)""), """")"),"")</f>
        <v/>
      </c>
    </row>
    <row r="579">
      <c r="A579" s="13"/>
      <c r="B579" s="4">
        <f>IFERROR(__xludf.DUMMYFUNCTION("IFERROR(VALUE(REGEXEXTRACT(A579, ""angle:(\d+)"")), -1)"),-1.0)</f>
        <v>-1</v>
      </c>
      <c r="C579" s="5" t="str">
        <f t="shared" si="1"/>
        <v>-001</v>
      </c>
      <c r="D579" s="5" t="str">
        <f>IFERROR(__xludf.DUMMYFUNCTION("IFERROR(REGEXEXTRACT(A579, ""x:([-+]?[0-9]*\.?[0-9]+)""), """")"),"")</f>
        <v/>
      </c>
      <c r="E579" s="5" t="str">
        <f>IFERROR(__xludf.DUMMYFUNCTION("IFERROR(REGEXEXTRACT(A579, ""y:([-+]?[0-9]*\.?[0-9]+)""), """")"),"")</f>
        <v/>
      </c>
    </row>
    <row r="580">
      <c r="A580" s="13"/>
      <c r="B580" s="4">
        <f>IFERROR(__xludf.DUMMYFUNCTION("IFERROR(VALUE(REGEXEXTRACT(A580, ""angle:(\d+)"")), -1)"),-1.0)</f>
        <v>-1</v>
      </c>
      <c r="C580" s="5" t="str">
        <f t="shared" si="1"/>
        <v>-001</v>
      </c>
      <c r="D580" s="5" t="str">
        <f>IFERROR(__xludf.DUMMYFUNCTION("IFERROR(REGEXEXTRACT(A580, ""x:([-+]?[0-9]*\.?[0-9]+)""), """")"),"")</f>
        <v/>
      </c>
      <c r="E580" s="5" t="str">
        <f>IFERROR(__xludf.DUMMYFUNCTION("IFERROR(REGEXEXTRACT(A580, ""y:([-+]?[0-9]*\.?[0-9]+)""), """")"),"")</f>
        <v/>
      </c>
    </row>
    <row r="581">
      <c r="A581" s="13"/>
      <c r="B581" s="4">
        <f>IFERROR(__xludf.DUMMYFUNCTION("IFERROR(VALUE(REGEXEXTRACT(A581, ""angle:(\d+)"")), -1)"),-1.0)</f>
        <v>-1</v>
      </c>
      <c r="C581" s="5" t="str">
        <f t="shared" si="1"/>
        <v>-001</v>
      </c>
      <c r="D581" s="5" t="str">
        <f>IFERROR(__xludf.DUMMYFUNCTION("IFERROR(REGEXEXTRACT(A581, ""x:([-+]?[0-9]*\.?[0-9]+)""), """")"),"")</f>
        <v/>
      </c>
      <c r="E581" s="5" t="str">
        <f>IFERROR(__xludf.DUMMYFUNCTION("IFERROR(REGEXEXTRACT(A581, ""y:([-+]?[0-9]*\.?[0-9]+)""), """")"),"")</f>
        <v/>
      </c>
    </row>
    <row r="582">
      <c r="A582" s="13"/>
      <c r="B582" s="4">
        <f>IFERROR(__xludf.DUMMYFUNCTION("IFERROR(VALUE(REGEXEXTRACT(A582, ""angle:(\d+)"")), -1)"),-1.0)</f>
        <v>-1</v>
      </c>
      <c r="C582" s="5" t="str">
        <f t="shared" si="1"/>
        <v>-001</v>
      </c>
      <c r="D582" s="5" t="str">
        <f>IFERROR(__xludf.DUMMYFUNCTION("IFERROR(REGEXEXTRACT(A582, ""x:([-+]?[0-9]*\.?[0-9]+)""), """")"),"")</f>
        <v/>
      </c>
      <c r="E582" s="5" t="str">
        <f>IFERROR(__xludf.DUMMYFUNCTION("IFERROR(REGEXEXTRACT(A582, ""y:([-+]?[0-9]*\.?[0-9]+)""), """")"),"")</f>
        <v/>
      </c>
    </row>
    <row r="583">
      <c r="A583" s="13"/>
      <c r="B583" s="4">
        <f>IFERROR(__xludf.DUMMYFUNCTION("IFERROR(VALUE(REGEXEXTRACT(A583, ""angle:(\d+)"")), -1)"),-1.0)</f>
        <v>-1</v>
      </c>
      <c r="C583" s="5" t="str">
        <f t="shared" si="1"/>
        <v>-001</v>
      </c>
      <c r="D583" s="5" t="str">
        <f>IFERROR(__xludf.DUMMYFUNCTION("IFERROR(REGEXEXTRACT(A583, ""x:([-+]?[0-9]*\.?[0-9]+)""), """")"),"")</f>
        <v/>
      </c>
      <c r="E583" s="5" t="str">
        <f>IFERROR(__xludf.DUMMYFUNCTION("IFERROR(REGEXEXTRACT(A583, ""y:([-+]?[0-9]*\.?[0-9]+)""), """")"),"")</f>
        <v/>
      </c>
    </row>
    <row r="584">
      <c r="A584" s="13"/>
      <c r="B584" s="4">
        <f>IFERROR(__xludf.DUMMYFUNCTION("IFERROR(VALUE(REGEXEXTRACT(A584, ""angle:(\d+)"")), -1)"),-1.0)</f>
        <v>-1</v>
      </c>
      <c r="C584" s="5" t="str">
        <f t="shared" si="1"/>
        <v>-001</v>
      </c>
      <c r="D584" s="5" t="str">
        <f>IFERROR(__xludf.DUMMYFUNCTION("IFERROR(REGEXEXTRACT(A584, ""x:([-+]?[0-9]*\.?[0-9]+)""), """")"),"")</f>
        <v/>
      </c>
      <c r="E584" s="5" t="str">
        <f>IFERROR(__xludf.DUMMYFUNCTION("IFERROR(REGEXEXTRACT(A584, ""y:([-+]?[0-9]*\.?[0-9]+)""), """")"),"")</f>
        <v/>
      </c>
    </row>
    <row r="585">
      <c r="A585" s="13"/>
      <c r="B585" s="4">
        <f>IFERROR(__xludf.DUMMYFUNCTION("IFERROR(VALUE(REGEXEXTRACT(A585, ""angle:(\d+)"")), -1)"),-1.0)</f>
        <v>-1</v>
      </c>
      <c r="C585" s="5" t="str">
        <f t="shared" si="1"/>
        <v>-001</v>
      </c>
      <c r="D585" s="5" t="str">
        <f>IFERROR(__xludf.DUMMYFUNCTION("IFERROR(REGEXEXTRACT(A585, ""x:([-+]?[0-9]*\.?[0-9]+)""), """")"),"")</f>
        <v/>
      </c>
      <c r="E585" s="5" t="str">
        <f>IFERROR(__xludf.DUMMYFUNCTION("IFERROR(REGEXEXTRACT(A585, ""y:([-+]?[0-9]*\.?[0-9]+)""), """")"),"")</f>
        <v/>
      </c>
    </row>
    <row r="586">
      <c r="A586" s="13"/>
      <c r="B586" s="4">
        <f>IFERROR(__xludf.DUMMYFUNCTION("IFERROR(VALUE(REGEXEXTRACT(A586, ""angle:(\d+)"")), -1)"),-1.0)</f>
        <v>-1</v>
      </c>
      <c r="C586" s="5" t="str">
        <f t="shared" si="1"/>
        <v>-001</v>
      </c>
      <c r="D586" s="5" t="str">
        <f>IFERROR(__xludf.DUMMYFUNCTION("IFERROR(REGEXEXTRACT(A586, ""x:([-+]?[0-9]*\.?[0-9]+)""), """")"),"")</f>
        <v/>
      </c>
      <c r="E586" s="5" t="str">
        <f>IFERROR(__xludf.DUMMYFUNCTION("IFERROR(REGEXEXTRACT(A586, ""y:([-+]?[0-9]*\.?[0-9]+)""), """")"),"")</f>
        <v/>
      </c>
    </row>
    <row r="587">
      <c r="A587" s="13"/>
      <c r="B587" s="4">
        <f>IFERROR(__xludf.DUMMYFUNCTION("IFERROR(VALUE(REGEXEXTRACT(A587, ""angle:(\d+)"")), -1)"),-1.0)</f>
        <v>-1</v>
      </c>
      <c r="C587" s="5" t="str">
        <f t="shared" si="1"/>
        <v>-001</v>
      </c>
      <c r="D587" s="5" t="str">
        <f>IFERROR(__xludf.DUMMYFUNCTION("IFERROR(REGEXEXTRACT(A587, ""x:([-+]?[0-9]*\.?[0-9]+)""), """")"),"")</f>
        <v/>
      </c>
      <c r="E587" s="5" t="str">
        <f>IFERROR(__xludf.DUMMYFUNCTION("IFERROR(REGEXEXTRACT(A587, ""y:([-+]?[0-9]*\.?[0-9]+)""), """")"),"")</f>
        <v/>
      </c>
    </row>
    <row r="588">
      <c r="A588" s="13"/>
      <c r="B588" s="4">
        <f>IFERROR(__xludf.DUMMYFUNCTION("IFERROR(VALUE(REGEXEXTRACT(A588, ""angle:(\d+)"")), -1)"),-1.0)</f>
        <v>-1</v>
      </c>
      <c r="C588" s="5" t="str">
        <f t="shared" si="1"/>
        <v>-001</v>
      </c>
      <c r="D588" s="5" t="str">
        <f>IFERROR(__xludf.DUMMYFUNCTION("IFERROR(REGEXEXTRACT(A588, ""x:([-+]?[0-9]*\.?[0-9]+)""), """")"),"")</f>
        <v/>
      </c>
      <c r="E588" s="5" t="str">
        <f>IFERROR(__xludf.DUMMYFUNCTION("IFERROR(REGEXEXTRACT(A588, ""y:([-+]?[0-9]*\.?[0-9]+)""), """")"),"")</f>
        <v/>
      </c>
    </row>
    <row r="589">
      <c r="A589" s="13"/>
      <c r="B589" s="4">
        <f>IFERROR(__xludf.DUMMYFUNCTION("IFERROR(VALUE(REGEXEXTRACT(A589, ""angle:(\d+)"")), -1)"),-1.0)</f>
        <v>-1</v>
      </c>
      <c r="C589" s="5" t="str">
        <f t="shared" si="1"/>
        <v>-001</v>
      </c>
      <c r="D589" s="5" t="str">
        <f>IFERROR(__xludf.DUMMYFUNCTION("IFERROR(REGEXEXTRACT(A589, ""x:([-+]?[0-9]*\.?[0-9]+)""), """")"),"")</f>
        <v/>
      </c>
      <c r="E589" s="5" t="str">
        <f>IFERROR(__xludf.DUMMYFUNCTION("IFERROR(REGEXEXTRACT(A589, ""y:([-+]?[0-9]*\.?[0-9]+)""), """")"),"")</f>
        <v/>
      </c>
    </row>
    <row r="590">
      <c r="A590" s="13"/>
      <c r="B590" s="4">
        <f>IFERROR(__xludf.DUMMYFUNCTION("IFERROR(VALUE(REGEXEXTRACT(A590, ""angle:(\d+)"")), -1)"),-1.0)</f>
        <v>-1</v>
      </c>
      <c r="C590" s="5" t="str">
        <f t="shared" si="1"/>
        <v>-001</v>
      </c>
      <c r="D590" s="5" t="str">
        <f>IFERROR(__xludf.DUMMYFUNCTION("IFERROR(REGEXEXTRACT(A590, ""x:([-+]?[0-9]*\.?[0-9]+)""), """")"),"")</f>
        <v/>
      </c>
      <c r="E590" s="5" t="str">
        <f>IFERROR(__xludf.DUMMYFUNCTION("IFERROR(REGEXEXTRACT(A590, ""y:([-+]?[0-9]*\.?[0-9]+)""), """")"),"")</f>
        <v/>
      </c>
    </row>
    <row r="591">
      <c r="A591" s="13"/>
      <c r="B591" s="4">
        <f>IFERROR(__xludf.DUMMYFUNCTION("IFERROR(VALUE(REGEXEXTRACT(A591, ""angle:(\d+)"")), -1)"),-1.0)</f>
        <v>-1</v>
      </c>
      <c r="C591" s="5" t="str">
        <f t="shared" si="1"/>
        <v>-001</v>
      </c>
      <c r="D591" s="5" t="str">
        <f>IFERROR(__xludf.DUMMYFUNCTION("IFERROR(REGEXEXTRACT(A591, ""x:([-+]?[0-9]*\.?[0-9]+)""), """")"),"")</f>
        <v/>
      </c>
      <c r="E591" s="5" t="str">
        <f>IFERROR(__xludf.DUMMYFUNCTION("IFERROR(REGEXEXTRACT(A591, ""y:([-+]?[0-9]*\.?[0-9]+)""), """")"),"")</f>
        <v/>
      </c>
    </row>
    <row r="592">
      <c r="A592" s="13"/>
      <c r="B592" s="4">
        <f>IFERROR(__xludf.DUMMYFUNCTION("IFERROR(VALUE(REGEXEXTRACT(A592, ""angle:(\d+)"")), -1)"),-1.0)</f>
        <v>-1</v>
      </c>
      <c r="C592" s="5" t="str">
        <f t="shared" si="1"/>
        <v>-001</v>
      </c>
      <c r="D592" s="5" t="str">
        <f>IFERROR(__xludf.DUMMYFUNCTION("IFERROR(REGEXEXTRACT(A592, ""x:([-+]?[0-9]*\.?[0-9]+)""), """")"),"")</f>
        <v/>
      </c>
      <c r="E592" s="5" t="str">
        <f>IFERROR(__xludf.DUMMYFUNCTION("IFERROR(REGEXEXTRACT(A592, ""y:([-+]?[0-9]*\.?[0-9]+)""), """")"),"")</f>
        <v/>
      </c>
    </row>
    <row r="593">
      <c r="A593" s="13"/>
      <c r="B593" s="4">
        <f>IFERROR(__xludf.DUMMYFUNCTION("IFERROR(VALUE(REGEXEXTRACT(A593, ""angle:(\d+)"")), -1)"),-1.0)</f>
        <v>-1</v>
      </c>
      <c r="C593" s="5" t="str">
        <f t="shared" si="1"/>
        <v>-001</v>
      </c>
      <c r="D593" s="5" t="str">
        <f>IFERROR(__xludf.DUMMYFUNCTION("IFERROR(REGEXEXTRACT(A593, ""x:([-+]?[0-9]*\.?[0-9]+)""), """")"),"")</f>
        <v/>
      </c>
      <c r="E593" s="5" t="str">
        <f>IFERROR(__xludf.DUMMYFUNCTION("IFERROR(REGEXEXTRACT(A593, ""y:([-+]?[0-9]*\.?[0-9]+)""), """")"),"")</f>
        <v/>
      </c>
    </row>
    <row r="594">
      <c r="A594" s="13"/>
      <c r="B594" s="4">
        <f>IFERROR(__xludf.DUMMYFUNCTION("IFERROR(VALUE(REGEXEXTRACT(A594, ""angle:(\d+)"")), -1)"),-1.0)</f>
        <v>-1</v>
      </c>
      <c r="C594" s="5" t="str">
        <f t="shared" si="1"/>
        <v>-001</v>
      </c>
      <c r="D594" s="5" t="str">
        <f>IFERROR(__xludf.DUMMYFUNCTION("IFERROR(REGEXEXTRACT(A594, ""x:([-+]?[0-9]*\.?[0-9]+)""), """")"),"")</f>
        <v/>
      </c>
      <c r="E594" s="5" t="str">
        <f>IFERROR(__xludf.DUMMYFUNCTION("IFERROR(REGEXEXTRACT(A594, ""y:([-+]?[0-9]*\.?[0-9]+)""), """")"),"")</f>
        <v/>
      </c>
    </row>
    <row r="595">
      <c r="A595" s="13"/>
      <c r="B595" s="4">
        <f>IFERROR(__xludf.DUMMYFUNCTION("IFERROR(VALUE(REGEXEXTRACT(A595, ""angle:(\d+)"")), -1)"),-1.0)</f>
        <v>-1</v>
      </c>
      <c r="C595" s="5" t="str">
        <f t="shared" si="1"/>
        <v>-001</v>
      </c>
      <c r="D595" s="5" t="str">
        <f>IFERROR(__xludf.DUMMYFUNCTION("IFERROR(REGEXEXTRACT(A595, ""x:([-+]?[0-9]*\.?[0-9]+)""), """")"),"")</f>
        <v/>
      </c>
      <c r="E595" s="5" t="str">
        <f>IFERROR(__xludf.DUMMYFUNCTION("IFERROR(REGEXEXTRACT(A595, ""y:([-+]?[0-9]*\.?[0-9]+)""), """")"),"")</f>
        <v/>
      </c>
    </row>
    <row r="596">
      <c r="A596" s="13"/>
      <c r="B596" s="4">
        <f>IFERROR(__xludf.DUMMYFUNCTION("IFERROR(VALUE(REGEXEXTRACT(A596, ""angle:(\d+)"")), -1)"),-1.0)</f>
        <v>-1</v>
      </c>
      <c r="C596" s="5" t="str">
        <f t="shared" si="1"/>
        <v>-001</v>
      </c>
      <c r="D596" s="5" t="str">
        <f>IFERROR(__xludf.DUMMYFUNCTION("IFERROR(REGEXEXTRACT(A596, ""x:([-+]?[0-9]*\.?[0-9]+)""), """")"),"")</f>
        <v/>
      </c>
      <c r="E596" s="5" t="str">
        <f>IFERROR(__xludf.DUMMYFUNCTION("IFERROR(REGEXEXTRACT(A596, ""y:([-+]?[0-9]*\.?[0-9]+)""), """")"),"")</f>
        <v/>
      </c>
    </row>
    <row r="597">
      <c r="A597" s="13"/>
      <c r="B597" s="4">
        <f>IFERROR(__xludf.DUMMYFUNCTION("IFERROR(VALUE(REGEXEXTRACT(A597, ""angle:(\d+)"")), -1)"),-1.0)</f>
        <v>-1</v>
      </c>
      <c r="C597" s="5" t="str">
        <f t="shared" si="1"/>
        <v>-001</v>
      </c>
      <c r="D597" s="5" t="str">
        <f>IFERROR(__xludf.DUMMYFUNCTION("IFERROR(REGEXEXTRACT(A597, ""x:([-+]?[0-9]*\.?[0-9]+)""), """")"),"")</f>
        <v/>
      </c>
      <c r="E597" s="5" t="str">
        <f>IFERROR(__xludf.DUMMYFUNCTION("IFERROR(REGEXEXTRACT(A597, ""y:([-+]?[0-9]*\.?[0-9]+)""), """")"),"")</f>
        <v/>
      </c>
    </row>
    <row r="598">
      <c r="A598" s="13"/>
      <c r="B598" s="4">
        <f>IFERROR(__xludf.DUMMYFUNCTION("IFERROR(VALUE(REGEXEXTRACT(A598, ""angle:(\d+)"")), -1)"),-1.0)</f>
        <v>-1</v>
      </c>
      <c r="C598" s="5" t="str">
        <f t="shared" si="1"/>
        <v>-001</v>
      </c>
      <c r="D598" s="5" t="str">
        <f>IFERROR(__xludf.DUMMYFUNCTION("IFERROR(REGEXEXTRACT(A598, ""x:([-+]?[0-9]*\.?[0-9]+)""), """")"),"")</f>
        <v/>
      </c>
      <c r="E598" s="5" t="str">
        <f>IFERROR(__xludf.DUMMYFUNCTION("IFERROR(REGEXEXTRACT(A598, ""y:([-+]?[0-9]*\.?[0-9]+)""), """")"),"")</f>
        <v/>
      </c>
    </row>
    <row r="599">
      <c r="A599" s="13"/>
      <c r="B599" s="4">
        <f>IFERROR(__xludf.DUMMYFUNCTION("IFERROR(VALUE(REGEXEXTRACT(A599, ""angle:(\d+)"")), -1)"),-1.0)</f>
        <v>-1</v>
      </c>
      <c r="C599" s="5" t="str">
        <f t="shared" si="1"/>
        <v>-001</v>
      </c>
      <c r="D599" s="5" t="str">
        <f>IFERROR(__xludf.DUMMYFUNCTION("IFERROR(REGEXEXTRACT(A599, ""x:([-+]?[0-9]*\.?[0-9]+)""), """")"),"")</f>
        <v/>
      </c>
      <c r="E599" s="5" t="str">
        <f>IFERROR(__xludf.DUMMYFUNCTION("IFERROR(REGEXEXTRACT(A599, ""y:([-+]?[0-9]*\.?[0-9]+)""), """")"),"")</f>
        <v/>
      </c>
    </row>
    <row r="600">
      <c r="A600" s="13"/>
      <c r="B600" s="4">
        <f>IFERROR(__xludf.DUMMYFUNCTION("IFERROR(VALUE(REGEXEXTRACT(A600, ""angle:(\d+)"")), -1)"),-1.0)</f>
        <v>-1</v>
      </c>
      <c r="C600" s="5" t="str">
        <f t="shared" si="1"/>
        <v>-001</v>
      </c>
      <c r="D600" s="5" t="str">
        <f>IFERROR(__xludf.DUMMYFUNCTION("IFERROR(REGEXEXTRACT(A600, ""x:([-+]?[0-9]*\.?[0-9]+)""), """")"),"")</f>
        <v/>
      </c>
      <c r="E600" s="5" t="str">
        <f>IFERROR(__xludf.DUMMYFUNCTION("IFERROR(REGEXEXTRACT(A600, ""y:([-+]?[0-9]*\.?[0-9]+)""), """")"),"")</f>
        <v/>
      </c>
    </row>
    <row r="601">
      <c r="A601" s="13"/>
      <c r="B601" s="4">
        <f>IFERROR(__xludf.DUMMYFUNCTION("IFERROR(VALUE(REGEXEXTRACT(A601, ""angle:(\d+)"")), -1)"),-1.0)</f>
        <v>-1</v>
      </c>
      <c r="C601" s="5" t="str">
        <f t="shared" si="1"/>
        <v>-001</v>
      </c>
      <c r="D601" s="5" t="str">
        <f>IFERROR(__xludf.DUMMYFUNCTION("IFERROR(REGEXEXTRACT(A601, ""x:([-+]?[0-9]*\.?[0-9]+)""), """")"),"")</f>
        <v/>
      </c>
      <c r="E601" s="5" t="str">
        <f>IFERROR(__xludf.DUMMYFUNCTION("IFERROR(REGEXEXTRACT(A601, ""y:([-+]?[0-9]*\.?[0-9]+)""), """")"),"")</f>
        <v/>
      </c>
    </row>
    <row r="602">
      <c r="A602" s="13"/>
      <c r="B602" s="4">
        <f>IFERROR(__xludf.DUMMYFUNCTION("IFERROR(VALUE(REGEXEXTRACT(A602, ""angle:(\d+)"")), -1)"),-1.0)</f>
        <v>-1</v>
      </c>
      <c r="C602" s="5" t="str">
        <f t="shared" si="1"/>
        <v>-001</v>
      </c>
      <c r="D602" s="5" t="str">
        <f>IFERROR(__xludf.DUMMYFUNCTION("IFERROR(REGEXEXTRACT(A602, ""x:([-+]?[0-9]*\.?[0-9]+)""), """")"),"")</f>
        <v/>
      </c>
      <c r="E602" s="5" t="str">
        <f>IFERROR(__xludf.DUMMYFUNCTION("IFERROR(REGEXEXTRACT(A602, ""y:([-+]?[0-9]*\.?[0-9]+)""), """")"),"")</f>
        <v/>
      </c>
    </row>
    <row r="603">
      <c r="A603" s="13"/>
      <c r="B603" s="4">
        <f>IFERROR(__xludf.DUMMYFUNCTION("IFERROR(VALUE(REGEXEXTRACT(A603, ""angle:(\d+)"")), -1)"),-1.0)</f>
        <v>-1</v>
      </c>
      <c r="C603" s="5" t="str">
        <f t="shared" si="1"/>
        <v>-001</v>
      </c>
      <c r="D603" s="5" t="str">
        <f>IFERROR(__xludf.DUMMYFUNCTION("IFERROR(REGEXEXTRACT(A603, ""x:([-+]?[0-9]*\.?[0-9]+)""), """")"),"")</f>
        <v/>
      </c>
      <c r="E603" s="5" t="str">
        <f>IFERROR(__xludf.DUMMYFUNCTION("IFERROR(REGEXEXTRACT(A603, ""y:([-+]?[0-9]*\.?[0-9]+)""), """")"),"")</f>
        <v/>
      </c>
    </row>
    <row r="604">
      <c r="A604" s="13"/>
      <c r="B604" s="4">
        <f>IFERROR(__xludf.DUMMYFUNCTION("IFERROR(VALUE(REGEXEXTRACT(A604, ""angle:(\d+)"")), -1)"),-1.0)</f>
        <v>-1</v>
      </c>
      <c r="C604" s="5" t="str">
        <f t="shared" si="1"/>
        <v>-001</v>
      </c>
      <c r="D604" s="5" t="str">
        <f>IFERROR(__xludf.DUMMYFUNCTION("IFERROR(REGEXEXTRACT(A604, ""x:([-+]?[0-9]*\.?[0-9]+)""), """")"),"")</f>
        <v/>
      </c>
      <c r="E604" s="5" t="str">
        <f>IFERROR(__xludf.DUMMYFUNCTION("IFERROR(REGEXEXTRACT(A604, ""y:([-+]?[0-9]*\.?[0-9]+)""), """")"),"")</f>
        <v/>
      </c>
    </row>
    <row r="605">
      <c r="A605" s="13"/>
      <c r="B605" s="4">
        <f>IFERROR(__xludf.DUMMYFUNCTION("IFERROR(VALUE(REGEXEXTRACT(A605, ""angle:(\d+)"")), -1)"),-1.0)</f>
        <v>-1</v>
      </c>
      <c r="C605" s="5" t="str">
        <f t="shared" si="1"/>
        <v>-001</v>
      </c>
      <c r="D605" s="5" t="str">
        <f>IFERROR(__xludf.DUMMYFUNCTION("IFERROR(REGEXEXTRACT(A605, ""x:([-+]?[0-9]*\.?[0-9]+)""), """")"),"")</f>
        <v/>
      </c>
      <c r="E605" s="5" t="str">
        <f>IFERROR(__xludf.DUMMYFUNCTION("IFERROR(REGEXEXTRACT(A605, ""y:([-+]?[0-9]*\.?[0-9]+)""), """")"),"")</f>
        <v/>
      </c>
    </row>
    <row r="606">
      <c r="A606" s="13"/>
      <c r="B606" s="4">
        <f>IFERROR(__xludf.DUMMYFUNCTION("IFERROR(VALUE(REGEXEXTRACT(A606, ""angle:(\d+)"")), -1)"),-1.0)</f>
        <v>-1</v>
      </c>
      <c r="C606" s="5" t="str">
        <f t="shared" si="1"/>
        <v>-001</v>
      </c>
      <c r="D606" s="5" t="str">
        <f>IFERROR(__xludf.DUMMYFUNCTION("IFERROR(REGEXEXTRACT(A606, ""x:([-+]?[0-9]*\.?[0-9]+)""), """")"),"")</f>
        <v/>
      </c>
      <c r="E606" s="5" t="str">
        <f>IFERROR(__xludf.DUMMYFUNCTION("IFERROR(REGEXEXTRACT(A606, ""y:([-+]?[0-9]*\.?[0-9]+)""), """")"),"")</f>
        <v/>
      </c>
    </row>
    <row r="607">
      <c r="A607" s="13"/>
      <c r="B607" s="4">
        <f>IFERROR(__xludf.DUMMYFUNCTION("IFERROR(VALUE(REGEXEXTRACT(A607, ""angle:(\d+)"")), -1)"),-1.0)</f>
        <v>-1</v>
      </c>
      <c r="C607" s="5" t="str">
        <f t="shared" si="1"/>
        <v>-001</v>
      </c>
      <c r="D607" s="5" t="str">
        <f>IFERROR(__xludf.DUMMYFUNCTION("IFERROR(REGEXEXTRACT(A607, ""x:([-+]?[0-9]*\.?[0-9]+)""), """")"),"")</f>
        <v/>
      </c>
      <c r="E607" s="5" t="str">
        <f>IFERROR(__xludf.DUMMYFUNCTION("IFERROR(REGEXEXTRACT(A607, ""y:([-+]?[0-9]*\.?[0-9]+)""), """")"),"")</f>
        <v/>
      </c>
    </row>
    <row r="608">
      <c r="A608" s="13"/>
      <c r="B608" s="4">
        <f>IFERROR(__xludf.DUMMYFUNCTION("IFERROR(VALUE(REGEXEXTRACT(A608, ""angle:(\d+)"")), -1)"),-1.0)</f>
        <v>-1</v>
      </c>
      <c r="C608" s="5" t="str">
        <f t="shared" si="1"/>
        <v>-001</v>
      </c>
      <c r="D608" s="5" t="str">
        <f>IFERROR(__xludf.DUMMYFUNCTION("IFERROR(REGEXEXTRACT(A608, ""x:([-+]?[0-9]*\.?[0-9]+)""), """")"),"")</f>
        <v/>
      </c>
      <c r="E608" s="5" t="str">
        <f>IFERROR(__xludf.DUMMYFUNCTION("IFERROR(REGEXEXTRACT(A608, ""y:([-+]?[0-9]*\.?[0-9]+)""), """")"),"")</f>
        <v/>
      </c>
    </row>
    <row r="609">
      <c r="A609" s="13"/>
      <c r="B609" s="4">
        <f>IFERROR(__xludf.DUMMYFUNCTION("IFERROR(VALUE(REGEXEXTRACT(A609, ""angle:(\d+)"")), -1)"),-1.0)</f>
        <v>-1</v>
      </c>
      <c r="C609" s="5" t="str">
        <f t="shared" si="1"/>
        <v>-001</v>
      </c>
      <c r="D609" s="5" t="str">
        <f>IFERROR(__xludf.DUMMYFUNCTION("IFERROR(REGEXEXTRACT(A609, ""x:([-+]?[0-9]*\.?[0-9]+)""), """")"),"")</f>
        <v/>
      </c>
      <c r="E609" s="5" t="str">
        <f>IFERROR(__xludf.DUMMYFUNCTION("IFERROR(REGEXEXTRACT(A609, ""y:([-+]?[0-9]*\.?[0-9]+)""), """")"),"")</f>
        <v/>
      </c>
    </row>
    <row r="610">
      <c r="A610" s="13"/>
      <c r="B610" s="4">
        <f>IFERROR(__xludf.DUMMYFUNCTION("IFERROR(VALUE(REGEXEXTRACT(A610, ""angle:(\d+)"")), -1)"),-1.0)</f>
        <v>-1</v>
      </c>
      <c r="C610" s="5" t="str">
        <f t="shared" si="1"/>
        <v>-001</v>
      </c>
      <c r="D610" s="5" t="str">
        <f>IFERROR(__xludf.DUMMYFUNCTION("IFERROR(REGEXEXTRACT(A610, ""x:([-+]?[0-9]*\.?[0-9]+)""), """")"),"")</f>
        <v/>
      </c>
      <c r="E610" s="5" t="str">
        <f>IFERROR(__xludf.DUMMYFUNCTION("IFERROR(REGEXEXTRACT(A610, ""y:([-+]?[0-9]*\.?[0-9]+)""), """")"),"")</f>
        <v/>
      </c>
    </row>
    <row r="611">
      <c r="A611" s="13"/>
      <c r="B611" s="4">
        <f>IFERROR(__xludf.DUMMYFUNCTION("IFERROR(VALUE(REGEXEXTRACT(A611, ""angle:(\d+)"")), -1)"),-1.0)</f>
        <v>-1</v>
      </c>
      <c r="C611" s="5" t="str">
        <f t="shared" si="1"/>
        <v>-001</v>
      </c>
      <c r="D611" s="5" t="str">
        <f>IFERROR(__xludf.DUMMYFUNCTION("IFERROR(REGEXEXTRACT(A611, ""x:([-+]?[0-9]*\.?[0-9]+)""), """")"),"")</f>
        <v/>
      </c>
      <c r="E611" s="5" t="str">
        <f>IFERROR(__xludf.DUMMYFUNCTION("IFERROR(REGEXEXTRACT(A611, ""y:([-+]?[0-9]*\.?[0-9]+)""), """")"),"")</f>
        <v/>
      </c>
    </row>
    <row r="612">
      <c r="A612" s="13"/>
      <c r="B612" s="4">
        <f>IFERROR(__xludf.DUMMYFUNCTION("IFERROR(VALUE(REGEXEXTRACT(A612, ""angle:(\d+)"")), -1)"),-1.0)</f>
        <v>-1</v>
      </c>
      <c r="C612" s="5" t="str">
        <f t="shared" si="1"/>
        <v>-001</v>
      </c>
      <c r="D612" s="5" t="str">
        <f>IFERROR(__xludf.DUMMYFUNCTION("IFERROR(REGEXEXTRACT(A612, ""x:([-+]?[0-9]*\.?[0-9]+)""), """")"),"")</f>
        <v/>
      </c>
      <c r="E612" s="5" t="str">
        <f>IFERROR(__xludf.DUMMYFUNCTION("IFERROR(REGEXEXTRACT(A612, ""y:([-+]?[0-9]*\.?[0-9]+)""), """")"),"")</f>
        <v/>
      </c>
    </row>
    <row r="613">
      <c r="A613" s="13"/>
      <c r="B613" s="4">
        <f>IFERROR(__xludf.DUMMYFUNCTION("IFERROR(VALUE(REGEXEXTRACT(A613, ""angle:(\d+)"")), -1)"),-1.0)</f>
        <v>-1</v>
      </c>
      <c r="C613" s="5" t="str">
        <f t="shared" si="1"/>
        <v>-001</v>
      </c>
      <c r="D613" s="5" t="str">
        <f>IFERROR(__xludf.DUMMYFUNCTION("IFERROR(REGEXEXTRACT(A613, ""x:([-+]?[0-9]*\.?[0-9]+)""), """")"),"")</f>
        <v/>
      </c>
      <c r="E613" s="5" t="str">
        <f>IFERROR(__xludf.DUMMYFUNCTION("IFERROR(REGEXEXTRACT(A613, ""y:([-+]?[0-9]*\.?[0-9]+)""), """")"),"")</f>
        <v/>
      </c>
    </row>
    <row r="614">
      <c r="A614" s="13"/>
      <c r="B614" s="4">
        <f>IFERROR(__xludf.DUMMYFUNCTION("IFERROR(VALUE(REGEXEXTRACT(A614, ""angle:(\d+)"")), -1)"),-1.0)</f>
        <v>-1</v>
      </c>
      <c r="C614" s="5" t="str">
        <f t="shared" si="1"/>
        <v>-001</v>
      </c>
      <c r="D614" s="5" t="str">
        <f>IFERROR(__xludf.DUMMYFUNCTION("IFERROR(REGEXEXTRACT(A614, ""x:([-+]?[0-9]*\.?[0-9]+)""), """")"),"")</f>
        <v/>
      </c>
      <c r="E614" s="5" t="str">
        <f>IFERROR(__xludf.DUMMYFUNCTION("IFERROR(REGEXEXTRACT(A614, ""y:([-+]?[0-9]*\.?[0-9]+)""), """")"),"")</f>
        <v/>
      </c>
    </row>
    <row r="615">
      <c r="A615" s="13"/>
      <c r="B615" s="4">
        <f>IFERROR(__xludf.DUMMYFUNCTION("IFERROR(VALUE(REGEXEXTRACT(A615, ""angle:(\d+)"")), -1)"),-1.0)</f>
        <v>-1</v>
      </c>
      <c r="C615" s="5" t="str">
        <f t="shared" si="1"/>
        <v>-001</v>
      </c>
      <c r="D615" s="5" t="str">
        <f>IFERROR(__xludf.DUMMYFUNCTION("IFERROR(REGEXEXTRACT(A615, ""x:([-+]?[0-9]*\.?[0-9]+)""), """")"),"")</f>
        <v/>
      </c>
      <c r="E615" s="5" t="str">
        <f>IFERROR(__xludf.DUMMYFUNCTION("IFERROR(REGEXEXTRACT(A615, ""y:([-+]?[0-9]*\.?[0-9]+)""), """")"),"")</f>
        <v/>
      </c>
    </row>
    <row r="616">
      <c r="A616" s="13"/>
      <c r="B616" s="4">
        <f>IFERROR(__xludf.DUMMYFUNCTION("IFERROR(VALUE(REGEXEXTRACT(A616, ""angle:(\d+)"")), -1)"),-1.0)</f>
        <v>-1</v>
      </c>
      <c r="C616" s="5" t="str">
        <f t="shared" si="1"/>
        <v>-001</v>
      </c>
      <c r="D616" s="5" t="str">
        <f>IFERROR(__xludf.DUMMYFUNCTION("IFERROR(REGEXEXTRACT(A616, ""x:([-+]?[0-9]*\.?[0-9]+)""), """")"),"")</f>
        <v/>
      </c>
      <c r="E616" s="5" t="str">
        <f>IFERROR(__xludf.DUMMYFUNCTION("IFERROR(REGEXEXTRACT(A616, ""y:([-+]?[0-9]*\.?[0-9]+)""), """")"),"")</f>
        <v/>
      </c>
    </row>
    <row r="617">
      <c r="A617" s="13"/>
      <c r="B617" s="4">
        <f>IFERROR(__xludf.DUMMYFUNCTION("IFERROR(VALUE(REGEXEXTRACT(A617, ""angle:(\d+)"")), -1)"),-1.0)</f>
        <v>-1</v>
      </c>
      <c r="C617" s="5" t="str">
        <f t="shared" si="1"/>
        <v>-001</v>
      </c>
      <c r="D617" s="5" t="str">
        <f>IFERROR(__xludf.DUMMYFUNCTION("IFERROR(REGEXEXTRACT(A617, ""x:([-+]?[0-9]*\.?[0-9]+)""), """")"),"")</f>
        <v/>
      </c>
      <c r="E617" s="5" t="str">
        <f>IFERROR(__xludf.DUMMYFUNCTION("IFERROR(REGEXEXTRACT(A617, ""y:([-+]?[0-9]*\.?[0-9]+)""), """")"),"")</f>
        <v/>
      </c>
    </row>
    <row r="618">
      <c r="A618" s="13"/>
      <c r="B618" s="4">
        <f>IFERROR(__xludf.DUMMYFUNCTION("IFERROR(VALUE(REGEXEXTRACT(A618, ""angle:(\d+)"")), -1)"),-1.0)</f>
        <v>-1</v>
      </c>
      <c r="C618" s="5" t="str">
        <f t="shared" si="1"/>
        <v>-001</v>
      </c>
      <c r="D618" s="5" t="str">
        <f>IFERROR(__xludf.DUMMYFUNCTION("IFERROR(REGEXEXTRACT(A618, ""x:([-+]?[0-9]*\.?[0-9]+)""), """")"),"")</f>
        <v/>
      </c>
      <c r="E618" s="5" t="str">
        <f>IFERROR(__xludf.DUMMYFUNCTION("IFERROR(REGEXEXTRACT(A618, ""y:([-+]?[0-9]*\.?[0-9]+)""), """")"),"")</f>
        <v/>
      </c>
    </row>
    <row r="619">
      <c r="A619" s="13"/>
      <c r="B619" s="4">
        <f>IFERROR(__xludf.DUMMYFUNCTION("IFERROR(VALUE(REGEXEXTRACT(A619, ""angle:(\d+)"")), -1)"),-1.0)</f>
        <v>-1</v>
      </c>
      <c r="C619" s="5" t="str">
        <f t="shared" si="1"/>
        <v>-001</v>
      </c>
      <c r="D619" s="5" t="str">
        <f>IFERROR(__xludf.DUMMYFUNCTION("IFERROR(REGEXEXTRACT(A619, ""x:([-+]?[0-9]*\.?[0-9]+)""), """")"),"")</f>
        <v/>
      </c>
      <c r="E619" s="5" t="str">
        <f>IFERROR(__xludf.DUMMYFUNCTION("IFERROR(REGEXEXTRACT(A619, ""y:([-+]?[0-9]*\.?[0-9]+)""), """")"),"")</f>
        <v/>
      </c>
    </row>
    <row r="620">
      <c r="A620" s="13"/>
      <c r="B620" s="4">
        <f>IFERROR(__xludf.DUMMYFUNCTION("IFERROR(VALUE(REGEXEXTRACT(A620, ""angle:(\d+)"")), -1)"),-1.0)</f>
        <v>-1</v>
      </c>
      <c r="C620" s="5" t="str">
        <f t="shared" si="1"/>
        <v>-001</v>
      </c>
      <c r="D620" s="5" t="str">
        <f>IFERROR(__xludf.DUMMYFUNCTION("IFERROR(REGEXEXTRACT(A620, ""x:([-+]?[0-9]*\.?[0-9]+)""), """")"),"")</f>
        <v/>
      </c>
      <c r="E620" s="5" t="str">
        <f>IFERROR(__xludf.DUMMYFUNCTION("IFERROR(REGEXEXTRACT(A620, ""y:([-+]?[0-9]*\.?[0-9]+)""), """")"),"")</f>
        <v/>
      </c>
    </row>
    <row r="621">
      <c r="A621" s="13"/>
      <c r="B621" s="4">
        <f>IFERROR(__xludf.DUMMYFUNCTION("IFERROR(VALUE(REGEXEXTRACT(A621, ""angle:(\d+)"")), -1)"),-1.0)</f>
        <v>-1</v>
      </c>
      <c r="C621" s="5" t="str">
        <f t="shared" si="1"/>
        <v>-001</v>
      </c>
      <c r="D621" s="5" t="str">
        <f>IFERROR(__xludf.DUMMYFUNCTION("IFERROR(REGEXEXTRACT(A621, ""x:([-+]?[0-9]*\.?[0-9]+)""), """")"),"")</f>
        <v/>
      </c>
      <c r="E621" s="5" t="str">
        <f>IFERROR(__xludf.DUMMYFUNCTION("IFERROR(REGEXEXTRACT(A621, ""y:([-+]?[0-9]*\.?[0-9]+)""), """")"),"")</f>
        <v/>
      </c>
    </row>
    <row r="622">
      <c r="A622" s="13"/>
      <c r="B622" s="4">
        <f>IFERROR(__xludf.DUMMYFUNCTION("IFERROR(VALUE(REGEXEXTRACT(A622, ""angle:(\d+)"")), -1)"),-1.0)</f>
        <v>-1</v>
      </c>
      <c r="C622" s="5" t="str">
        <f t="shared" si="1"/>
        <v>-001</v>
      </c>
      <c r="D622" s="5" t="str">
        <f>IFERROR(__xludf.DUMMYFUNCTION("IFERROR(REGEXEXTRACT(A622, ""x:([-+]?[0-9]*\.?[0-9]+)""), """")"),"")</f>
        <v/>
      </c>
      <c r="E622" s="5" t="str">
        <f>IFERROR(__xludf.DUMMYFUNCTION("IFERROR(REGEXEXTRACT(A622, ""y:([-+]?[0-9]*\.?[0-9]+)""), """")"),"")</f>
        <v/>
      </c>
    </row>
    <row r="623">
      <c r="A623" s="13"/>
      <c r="B623" s="4">
        <f>IFERROR(__xludf.DUMMYFUNCTION("IFERROR(VALUE(REGEXEXTRACT(A623, ""angle:(\d+)"")), -1)"),-1.0)</f>
        <v>-1</v>
      </c>
      <c r="C623" s="5" t="str">
        <f t="shared" si="1"/>
        <v>-001</v>
      </c>
      <c r="D623" s="5" t="str">
        <f>IFERROR(__xludf.DUMMYFUNCTION("IFERROR(REGEXEXTRACT(A623, ""x:([-+]?[0-9]*\.?[0-9]+)""), """")"),"")</f>
        <v/>
      </c>
      <c r="E623" s="5" t="str">
        <f>IFERROR(__xludf.DUMMYFUNCTION("IFERROR(REGEXEXTRACT(A623, ""y:([-+]?[0-9]*\.?[0-9]+)""), """")"),"")</f>
        <v/>
      </c>
    </row>
    <row r="624">
      <c r="A624" s="13"/>
      <c r="B624" s="4">
        <f>IFERROR(__xludf.DUMMYFUNCTION("IFERROR(VALUE(REGEXEXTRACT(A624, ""angle:(\d+)"")), -1)"),-1.0)</f>
        <v>-1</v>
      </c>
      <c r="C624" s="5" t="str">
        <f t="shared" si="1"/>
        <v>-001</v>
      </c>
      <c r="D624" s="5" t="str">
        <f>IFERROR(__xludf.DUMMYFUNCTION("IFERROR(REGEXEXTRACT(A624, ""x:([-+]?[0-9]*\.?[0-9]+)""), """")"),"")</f>
        <v/>
      </c>
      <c r="E624" s="5" t="str">
        <f>IFERROR(__xludf.DUMMYFUNCTION("IFERROR(REGEXEXTRACT(A624, ""y:([-+]?[0-9]*\.?[0-9]+)""), """")"),"")</f>
        <v/>
      </c>
    </row>
    <row r="625">
      <c r="A625" s="13"/>
      <c r="B625" s="4">
        <f>IFERROR(__xludf.DUMMYFUNCTION("IFERROR(VALUE(REGEXEXTRACT(A625, ""angle:(\d+)"")), -1)"),-1.0)</f>
        <v>-1</v>
      </c>
      <c r="C625" s="5" t="str">
        <f t="shared" si="1"/>
        <v>-001</v>
      </c>
      <c r="D625" s="5" t="str">
        <f>IFERROR(__xludf.DUMMYFUNCTION("IFERROR(REGEXEXTRACT(A625, ""x:([-+]?[0-9]*\.?[0-9]+)""), """")"),"")</f>
        <v/>
      </c>
      <c r="E625" s="5" t="str">
        <f>IFERROR(__xludf.DUMMYFUNCTION("IFERROR(REGEXEXTRACT(A625, ""y:([-+]?[0-9]*\.?[0-9]+)""), """")"),"")</f>
        <v/>
      </c>
    </row>
    <row r="626">
      <c r="A626" s="13"/>
      <c r="B626" s="4">
        <f>IFERROR(__xludf.DUMMYFUNCTION("IFERROR(VALUE(REGEXEXTRACT(A626, ""angle:(\d+)"")), -1)"),-1.0)</f>
        <v>-1</v>
      </c>
      <c r="C626" s="5" t="str">
        <f t="shared" si="1"/>
        <v>-001</v>
      </c>
      <c r="D626" s="5" t="str">
        <f>IFERROR(__xludf.DUMMYFUNCTION("IFERROR(REGEXEXTRACT(A626, ""x:([-+]?[0-9]*\.?[0-9]+)""), """")"),"")</f>
        <v/>
      </c>
      <c r="E626" s="5" t="str">
        <f>IFERROR(__xludf.DUMMYFUNCTION("IFERROR(REGEXEXTRACT(A626, ""y:([-+]?[0-9]*\.?[0-9]+)""), """")"),"")</f>
        <v/>
      </c>
    </row>
    <row r="627">
      <c r="A627" s="13"/>
      <c r="B627" s="4">
        <f>IFERROR(__xludf.DUMMYFUNCTION("IFERROR(VALUE(REGEXEXTRACT(A627, ""angle:(\d+)"")), -1)"),-1.0)</f>
        <v>-1</v>
      </c>
      <c r="C627" s="5" t="str">
        <f t="shared" si="1"/>
        <v>-001</v>
      </c>
      <c r="D627" s="5" t="str">
        <f>IFERROR(__xludf.DUMMYFUNCTION("IFERROR(REGEXEXTRACT(A627, ""x:([-+]?[0-9]*\.?[0-9]+)""), """")"),"")</f>
        <v/>
      </c>
      <c r="E627" s="5" t="str">
        <f>IFERROR(__xludf.DUMMYFUNCTION("IFERROR(REGEXEXTRACT(A627, ""y:([-+]?[0-9]*\.?[0-9]+)""), """")"),"")</f>
        <v/>
      </c>
    </row>
    <row r="628">
      <c r="A628" s="13"/>
      <c r="B628" s="4">
        <f>IFERROR(__xludf.DUMMYFUNCTION("IFERROR(VALUE(REGEXEXTRACT(A628, ""angle:(\d+)"")), -1)"),-1.0)</f>
        <v>-1</v>
      </c>
      <c r="C628" s="5" t="str">
        <f t="shared" si="1"/>
        <v>-001</v>
      </c>
      <c r="D628" s="5" t="str">
        <f>IFERROR(__xludf.DUMMYFUNCTION("IFERROR(REGEXEXTRACT(A628, ""x:([-+]?[0-9]*\.?[0-9]+)""), """")"),"")</f>
        <v/>
      </c>
      <c r="E628" s="5" t="str">
        <f>IFERROR(__xludf.DUMMYFUNCTION("IFERROR(REGEXEXTRACT(A628, ""y:([-+]?[0-9]*\.?[0-9]+)""), """")"),"")</f>
        <v/>
      </c>
    </row>
    <row r="629">
      <c r="A629" s="13"/>
      <c r="B629" s="4">
        <f>IFERROR(__xludf.DUMMYFUNCTION("IFERROR(VALUE(REGEXEXTRACT(A629, ""angle:(\d+)"")), -1)"),-1.0)</f>
        <v>-1</v>
      </c>
      <c r="C629" s="5" t="str">
        <f t="shared" si="1"/>
        <v>-001</v>
      </c>
      <c r="D629" s="5" t="str">
        <f>IFERROR(__xludf.DUMMYFUNCTION("IFERROR(REGEXEXTRACT(A629, ""x:([-+]?[0-9]*\.?[0-9]+)""), """")"),"")</f>
        <v/>
      </c>
      <c r="E629" s="5" t="str">
        <f>IFERROR(__xludf.DUMMYFUNCTION("IFERROR(REGEXEXTRACT(A629, ""y:([-+]?[0-9]*\.?[0-9]+)""), """")"),"")</f>
        <v/>
      </c>
    </row>
    <row r="630">
      <c r="A630" s="13"/>
      <c r="B630" s="4">
        <f>IFERROR(__xludf.DUMMYFUNCTION("IFERROR(VALUE(REGEXEXTRACT(A630, ""angle:(\d+)"")), -1)"),-1.0)</f>
        <v>-1</v>
      </c>
      <c r="C630" s="5" t="str">
        <f t="shared" si="1"/>
        <v>-001</v>
      </c>
      <c r="D630" s="5" t="str">
        <f>IFERROR(__xludf.DUMMYFUNCTION("IFERROR(REGEXEXTRACT(A630, ""x:([-+]?[0-9]*\.?[0-9]+)""), """")"),"")</f>
        <v/>
      </c>
      <c r="E630" s="5" t="str">
        <f>IFERROR(__xludf.DUMMYFUNCTION("IFERROR(REGEXEXTRACT(A630, ""y:([-+]?[0-9]*\.?[0-9]+)""), """")"),"")</f>
        <v/>
      </c>
    </row>
    <row r="631">
      <c r="A631" s="13"/>
      <c r="B631" s="4">
        <f>IFERROR(__xludf.DUMMYFUNCTION("IFERROR(VALUE(REGEXEXTRACT(A631, ""angle:(\d+)"")), -1)"),-1.0)</f>
        <v>-1</v>
      </c>
      <c r="C631" s="5" t="str">
        <f t="shared" si="1"/>
        <v>-001</v>
      </c>
      <c r="D631" s="5" t="str">
        <f>IFERROR(__xludf.DUMMYFUNCTION("IFERROR(REGEXEXTRACT(A631, ""x:([-+]?[0-9]*\.?[0-9]+)""), """")"),"")</f>
        <v/>
      </c>
      <c r="E631" s="5" t="str">
        <f>IFERROR(__xludf.DUMMYFUNCTION("IFERROR(REGEXEXTRACT(A631, ""y:([-+]?[0-9]*\.?[0-9]+)""), """")"),"")</f>
        <v/>
      </c>
    </row>
    <row r="632">
      <c r="A632" s="13"/>
      <c r="B632" s="4">
        <f>IFERROR(__xludf.DUMMYFUNCTION("IFERROR(VALUE(REGEXEXTRACT(A632, ""angle:(\d+)"")), -1)"),-1.0)</f>
        <v>-1</v>
      </c>
      <c r="C632" s="5" t="str">
        <f t="shared" si="1"/>
        <v>-001</v>
      </c>
      <c r="D632" s="5" t="str">
        <f>IFERROR(__xludf.DUMMYFUNCTION("IFERROR(REGEXEXTRACT(A632, ""x:([-+]?[0-9]*\.?[0-9]+)""), """")"),"")</f>
        <v/>
      </c>
      <c r="E632" s="5" t="str">
        <f>IFERROR(__xludf.DUMMYFUNCTION("IFERROR(REGEXEXTRACT(A632, ""y:([-+]?[0-9]*\.?[0-9]+)""), """")"),"")</f>
        <v/>
      </c>
    </row>
    <row r="633">
      <c r="A633" s="13"/>
      <c r="B633" s="4">
        <f>IFERROR(__xludf.DUMMYFUNCTION("IFERROR(VALUE(REGEXEXTRACT(A633, ""angle:(\d+)"")), -1)"),-1.0)</f>
        <v>-1</v>
      </c>
      <c r="C633" s="5" t="str">
        <f t="shared" si="1"/>
        <v>-001</v>
      </c>
      <c r="D633" s="5" t="str">
        <f>IFERROR(__xludf.DUMMYFUNCTION("IFERROR(REGEXEXTRACT(A633, ""x:([-+]?[0-9]*\.?[0-9]+)""), """")"),"")</f>
        <v/>
      </c>
      <c r="E633" s="5" t="str">
        <f>IFERROR(__xludf.DUMMYFUNCTION("IFERROR(REGEXEXTRACT(A633, ""y:([-+]?[0-9]*\.?[0-9]+)""), """")"),"")</f>
        <v/>
      </c>
    </row>
    <row r="634">
      <c r="A634" s="13"/>
      <c r="B634" s="4">
        <f>IFERROR(__xludf.DUMMYFUNCTION("IFERROR(VALUE(REGEXEXTRACT(A634, ""angle:(\d+)"")), -1)"),-1.0)</f>
        <v>-1</v>
      </c>
      <c r="C634" s="5" t="str">
        <f t="shared" si="1"/>
        <v>-001</v>
      </c>
      <c r="D634" s="5" t="str">
        <f>IFERROR(__xludf.DUMMYFUNCTION("IFERROR(REGEXEXTRACT(A634, ""x:([-+]?[0-9]*\.?[0-9]+)""), """")"),"")</f>
        <v/>
      </c>
      <c r="E634" s="5" t="str">
        <f>IFERROR(__xludf.DUMMYFUNCTION("IFERROR(REGEXEXTRACT(A634, ""y:([-+]?[0-9]*\.?[0-9]+)""), """")"),"")</f>
        <v/>
      </c>
    </row>
    <row r="635">
      <c r="A635" s="13"/>
      <c r="B635" s="4">
        <f>IFERROR(__xludf.DUMMYFUNCTION("IFERROR(VALUE(REGEXEXTRACT(A635, ""angle:(\d+)"")), -1)"),-1.0)</f>
        <v>-1</v>
      </c>
      <c r="C635" s="5" t="str">
        <f t="shared" si="1"/>
        <v>-001</v>
      </c>
      <c r="D635" s="5" t="str">
        <f>IFERROR(__xludf.DUMMYFUNCTION("IFERROR(REGEXEXTRACT(A635, ""x:([-+]?[0-9]*\.?[0-9]+)""), """")"),"")</f>
        <v/>
      </c>
      <c r="E635" s="5" t="str">
        <f>IFERROR(__xludf.DUMMYFUNCTION("IFERROR(REGEXEXTRACT(A635, ""y:([-+]?[0-9]*\.?[0-9]+)""), """")"),"")</f>
        <v/>
      </c>
    </row>
    <row r="636">
      <c r="A636" s="13"/>
      <c r="B636" s="4">
        <f>IFERROR(__xludf.DUMMYFUNCTION("IFERROR(VALUE(REGEXEXTRACT(A636, ""angle:(\d+)"")), -1)"),-1.0)</f>
        <v>-1</v>
      </c>
      <c r="C636" s="5" t="str">
        <f t="shared" si="1"/>
        <v>-001</v>
      </c>
      <c r="D636" s="5" t="str">
        <f>IFERROR(__xludf.DUMMYFUNCTION("IFERROR(REGEXEXTRACT(A636, ""x:([-+]?[0-9]*\.?[0-9]+)""), """")"),"")</f>
        <v/>
      </c>
      <c r="E636" s="5" t="str">
        <f>IFERROR(__xludf.DUMMYFUNCTION("IFERROR(REGEXEXTRACT(A636, ""y:([-+]?[0-9]*\.?[0-9]+)""), """")"),"")</f>
        <v/>
      </c>
    </row>
    <row r="637">
      <c r="A637" s="13"/>
      <c r="B637" s="4">
        <f>IFERROR(__xludf.DUMMYFUNCTION("IFERROR(VALUE(REGEXEXTRACT(A637, ""angle:(\d+)"")), -1)"),-1.0)</f>
        <v>-1</v>
      </c>
      <c r="C637" s="5" t="str">
        <f t="shared" si="1"/>
        <v>-001</v>
      </c>
      <c r="D637" s="5" t="str">
        <f>IFERROR(__xludf.DUMMYFUNCTION("IFERROR(REGEXEXTRACT(A637, ""x:([-+]?[0-9]*\.?[0-9]+)""), """")"),"")</f>
        <v/>
      </c>
      <c r="E637" s="5" t="str">
        <f>IFERROR(__xludf.DUMMYFUNCTION("IFERROR(REGEXEXTRACT(A637, ""y:([-+]?[0-9]*\.?[0-9]+)""), """")"),"")</f>
        <v/>
      </c>
    </row>
    <row r="638">
      <c r="A638" s="13"/>
      <c r="B638" s="4">
        <f>IFERROR(__xludf.DUMMYFUNCTION("IFERROR(VALUE(REGEXEXTRACT(A638, ""angle:(\d+)"")), -1)"),-1.0)</f>
        <v>-1</v>
      </c>
      <c r="C638" s="5" t="str">
        <f t="shared" si="1"/>
        <v>-001</v>
      </c>
      <c r="D638" s="5" t="str">
        <f>IFERROR(__xludf.DUMMYFUNCTION("IFERROR(REGEXEXTRACT(A638, ""x:([-+]?[0-9]*\.?[0-9]+)""), """")"),"")</f>
        <v/>
      </c>
      <c r="E638" s="5" t="str">
        <f>IFERROR(__xludf.DUMMYFUNCTION("IFERROR(REGEXEXTRACT(A638, ""y:([-+]?[0-9]*\.?[0-9]+)""), """")"),"")</f>
        <v/>
      </c>
    </row>
    <row r="639">
      <c r="A639" s="13"/>
      <c r="B639" s="4">
        <f>IFERROR(__xludf.DUMMYFUNCTION("IFERROR(VALUE(REGEXEXTRACT(A639, ""angle:(\d+)"")), -1)"),-1.0)</f>
        <v>-1</v>
      </c>
      <c r="C639" s="5" t="str">
        <f t="shared" si="1"/>
        <v>-001</v>
      </c>
      <c r="D639" s="5" t="str">
        <f>IFERROR(__xludf.DUMMYFUNCTION("IFERROR(REGEXEXTRACT(A639, ""x:([-+]?[0-9]*\.?[0-9]+)""), """")"),"")</f>
        <v/>
      </c>
      <c r="E639" s="5" t="str">
        <f>IFERROR(__xludf.DUMMYFUNCTION("IFERROR(REGEXEXTRACT(A639, ""y:([-+]?[0-9]*\.?[0-9]+)""), """")"),"")</f>
        <v/>
      </c>
    </row>
    <row r="640">
      <c r="A640" s="13"/>
      <c r="B640" s="4">
        <f>IFERROR(__xludf.DUMMYFUNCTION("IFERROR(VALUE(REGEXEXTRACT(A640, ""angle:(\d+)"")), -1)"),-1.0)</f>
        <v>-1</v>
      </c>
      <c r="C640" s="5" t="str">
        <f t="shared" si="1"/>
        <v>-001</v>
      </c>
      <c r="D640" s="5" t="str">
        <f>IFERROR(__xludf.DUMMYFUNCTION("IFERROR(REGEXEXTRACT(A640, ""x:([-+]?[0-9]*\.?[0-9]+)""), """")"),"")</f>
        <v/>
      </c>
      <c r="E640" s="5" t="str">
        <f>IFERROR(__xludf.DUMMYFUNCTION("IFERROR(REGEXEXTRACT(A640, ""y:([-+]?[0-9]*\.?[0-9]+)""), """")"),"")</f>
        <v/>
      </c>
    </row>
    <row r="641">
      <c r="A641" s="13"/>
      <c r="B641" s="4">
        <f>IFERROR(__xludf.DUMMYFUNCTION("IFERROR(VALUE(REGEXEXTRACT(A641, ""angle:(\d+)"")), -1)"),-1.0)</f>
        <v>-1</v>
      </c>
      <c r="C641" s="5" t="str">
        <f t="shared" si="1"/>
        <v>-001</v>
      </c>
      <c r="D641" s="5" t="str">
        <f>IFERROR(__xludf.DUMMYFUNCTION("IFERROR(REGEXEXTRACT(A641, ""x:([-+]?[0-9]*\.?[0-9]+)""), """")"),"")</f>
        <v/>
      </c>
      <c r="E641" s="5" t="str">
        <f>IFERROR(__xludf.DUMMYFUNCTION("IFERROR(REGEXEXTRACT(A641, ""y:([-+]?[0-9]*\.?[0-9]+)""), """")"),"")</f>
        <v/>
      </c>
    </row>
    <row r="642">
      <c r="A642" s="13"/>
      <c r="B642" s="4">
        <f>IFERROR(__xludf.DUMMYFUNCTION("IFERROR(VALUE(REGEXEXTRACT(A642, ""angle:(\d+)"")), -1)"),-1.0)</f>
        <v>-1</v>
      </c>
      <c r="C642" s="5" t="str">
        <f t="shared" si="1"/>
        <v>-001</v>
      </c>
      <c r="D642" s="5" t="str">
        <f>IFERROR(__xludf.DUMMYFUNCTION("IFERROR(REGEXEXTRACT(A642, ""x:([-+]?[0-9]*\.?[0-9]+)""), """")"),"")</f>
        <v/>
      </c>
      <c r="E642" s="5" t="str">
        <f>IFERROR(__xludf.DUMMYFUNCTION("IFERROR(REGEXEXTRACT(A642, ""y:([-+]?[0-9]*\.?[0-9]+)""), """")"),"")</f>
        <v/>
      </c>
    </row>
    <row r="643">
      <c r="A643" s="13"/>
      <c r="B643" s="4">
        <f>IFERROR(__xludf.DUMMYFUNCTION("IFERROR(VALUE(REGEXEXTRACT(A643, ""angle:(\d+)"")), -1)"),-1.0)</f>
        <v>-1</v>
      </c>
      <c r="C643" s="5" t="str">
        <f t="shared" si="1"/>
        <v>-001</v>
      </c>
      <c r="D643" s="5" t="str">
        <f>IFERROR(__xludf.DUMMYFUNCTION("IFERROR(REGEXEXTRACT(A643, ""x:([-+]?[0-9]*\.?[0-9]+)""), """")"),"")</f>
        <v/>
      </c>
      <c r="E643" s="5" t="str">
        <f>IFERROR(__xludf.DUMMYFUNCTION("IFERROR(REGEXEXTRACT(A643, ""y:([-+]?[0-9]*\.?[0-9]+)""), """")"),"")</f>
        <v/>
      </c>
    </row>
    <row r="644">
      <c r="A644" s="13"/>
      <c r="B644" s="4">
        <f>IFERROR(__xludf.DUMMYFUNCTION("IFERROR(VALUE(REGEXEXTRACT(A644, ""angle:(\d+)"")), -1)"),-1.0)</f>
        <v>-1</v>
      </c>
      <c r="C644" s="5" t="str">
        <f t="shared" si="1"/>
        <v>-001</v>
      </c>
      <c r="D644" s="5" t="str">
        <f>IFERROR(__xludf.DUMMYFUNCTION("IFERROR(REGEXEXTRACT(A644, ""x:([-+]?[0-9]*\.?[0-9]+)""), """")"),"")</f>
        <v/>
      </c>
      <c r="E644" s="5" t="str">
        <f>IFERROR(__xludf.DUMMYFUNCTION("IFERROR(REGEXEXTRACT(A644, ""y:([-+]?[0-9]*\.?[0-9]+)""), """")"),"")</f>
        <v/>
      </c>
    </row>
    <row r="645">
      <c r="A645" s="13"/>
      <c r="B645" s="4">
        <f>IFERROR(__xludf.DUMMYFUNCTION("IFERROR(VALUE(REGEXEXTRACT(A645, ""angle:(\d+)"")), -1)"),-1.0)</f>
        <v>-1</v>
      </c>
      <c r="C645" s="5" t="str">
        <f t="shared" si="1"/>
        <v>-001</v>
      </c>
      <c r="D645" s="5" t="str">
        <f>IFERROR(__xludf.DUMMYFUNCTION("IFERROR(REGEXEXTRACT(A645, ""x:([-+]?[0-9]*\.?[0-9]+)""), """")"),"")</f>
        <v/>
      </c>
      <c r="E645" s="5" t="str">
        <f>IFERROR(__xludf.DUMMYFUNCTION("IFERROR(REGEXEXTRACT(A645, ""y:([-+]?[0-9]*\.?[0-9]+)""), """")"),"")</f>
        <v/>
      </c>
    </row>
    <row r="646">
      <c r="A646" s="13"/>
      <c r="B646" s="4">
        <f>IFERROR(__xludf.DUMMYFUNCTION("IFERROR(VALUE(REGEXEXTRACT(A646, ""angle:(\d+)"")), -1)"),-1.0)</f>
        <v>-1</v>
      </c>
      <c r="C646" s="5" t="str">
        <f t="shared" si="1"/>
        <v>-001</v>
      </c>
      <c r="D646" s="5" t="str">
        <f>IFERROR(__xludf.DUMMYFUNCTION("IFERROR(REGEXEXTRACT(A646, ""x:([-+]?[0-9]*\.?[0-9]+)""), """")"),"")</f>
        <v/>
      </c>
      <c r="E646" s="5" t="str">
        <f>IFERROR(__xludf.DUMMYFUNCTION("IFERROR(REGEXEXTRACT(A646, ""y:([-+]?[0-9]*\.?[0-9]+)""), """")"),"")</f>
        <v/>
      </c>
    </row>
    <row r="647">
      <c r="A647" s="13"/>
      <c r="B647" s="4">
        <f>IFERROR(__xludf.DUMMYFUNCTION("IFERROR(VALUE(REGEXEXTRACT(A647, ""angle:(\d+)"")), -1)"),-1.0)</f>
        <v>-1</v>
      </c>
      <c r="C647" s="5" t="str">
        <f t="shared" si="1"/>
        <v>-001</v>
      </c>
      <c r="D647" s="5" t="str">
        <f>IFERROR(__xludf.DUMMYFUNCTION("IFERROR(REGEXEXTRACT(A647, ""x:([-+]?[0-9]*\.?[0-9]+)""), """")"),"")</f>
        <v/>
      </c>
      <c r="E647" s="5" t="str">
        <f>IFERROR(__xludf.DUMMYFUNCTION("IFERROR(REGEXEXTRACT(A647, ""y:([-+]?[0-9]*\.?[0-9]+)""), """")"),"")</f>
        <v/>
      </c>
    </row>
    <row r="648">
      <c r="A648" s="13"/>
      <c r="B648" s="4">
        <f>IFERROR(__xludf.DUMMYFUNCTION("IFERROR(VALUE(REGEXEXTRACT(A648, ""angle:(\d+)"")), -1)"),-1.0)</f>
        <v>-1</v>
      </c>
      <c r="C648" s="5" t="str">
        <f t="shared" si="1"/>
        <v>-001</v>
      </c>
      <c r="D648" s="5" t="str">
        <f>IFERROR(__xludf.DUMMYFUNCTION("IFERROR(REGEXEXTRACT(A648, ""x:([-+]?[0-9]*\.?[0-9]+)""), """")"),"")</f>
        <v/>
      </c>
      <c r="E648" s="5" t="str">
        <f>IFERROR(__xludf.DUMMYFUNCTION("IFERROR(REGEXEXTRACT(A648, ""y:([-+]?[0-9]*\.?[0-9]+)""), """")"),"")</f>
        <v/>
      </c>
    </row>
    <row r="649">
      <c r="A649" s="13"/>
      <c r="B649" s="4">
        <f>IFERROR(__xludf.DUMMYFUNCTION("IFERROR(VALUE(REGEXEXTRACT(A649, ""angle:(\d+)"")), -1)"),-1.0)</f>
        <v>-1</v>
      </c>
      <c r="C649" s="5" t="str">
        <f t="shared" si="1"/>
        <v>-001</v>
      </c>
      <c r="D649" s="5" t="str">
        <f>IFERROR(__xludf.DUMMYFUNCTION("IFERROR(REGEXEXTRACT(A649, ""x:([-+]?[0-9]*\.?[0-9]+)""), """")"),"")</f>
        <v/>
      </c>
      <c r="E649" s="5" t="str">
        <f>IFERROR(__xludf.DUMMYFUNCTION("IFERROR(REGEXEXTRACT(A649, ""y:([-+]?[0-9]*\.?[0-9]+)""), """")"),"")</f>
        <v/>
      </c>
    </row>
    <row r="650">
      <c r="A650" s="13"/>
      <c r="B650" s="4">
        <f>IFERROR(__xludf.DUMMYFUNCTION("IFERROR(VALUE(REGEXEXTRACT(A650, ""angle:(\d+)"")), -1)"),-1.0)</f>
        <v>-1</v>
      </c>
      <c r="C650" s="5" t="str">
        <f t="shared" si="1"/>
        <v>-001</v>
      </c>
      <c r="D650" s="5" t="str">
        <f>IFERROR(__xludf.DUMMYFUNCTION("IFERROR(REGEXEXTRACT(A650, ""x:([-+]?[0-9]*\.?[0-9]+)""), """")"),"")</f>
        <v/>
      </c>
      <c r="E650" s="5" t="str">
        <f>IFERROR(__xludf.DUMMYFUNCTION("IFERROR(REGEXEXTRACT(A650, ""y:([-+]?[0-9]*\.?[0-9]+)""), """")"),"")</f>
        <v/>
      </c>
    </row>
    <row r="651">
      <c r="A651" s="13"/>
      <c r="B651" s="4">
        <f>IFERROR(__xludf.DUMMYFUNCTION("IFERROR(VALUE(REGEXEXTRACT(A651, ""angle:(\d+)"")), -1)"),-1.0)</f>
        <v>-1</v>
      </c>
      <c r="C651" s="5" t="str">
        <f t="shared" si="1"/>
        <v>-001</v>
      </c>
      <c r="D651" s="5" t="str">
        <f>IFERROR(__xludf.DUMMYFUNCTION("IFERROR(REGEXEXTRACT(A651, ""x:([-+]?[0-9]*\.?[0-9]+)""), """")"),"")</f>
        <v/>
      </c>
      <c r="E651" s="5" t="str">
        <f>IFERROR(__xludf.DUMMYFUNCTION("IFERROR(REGEXEXTRACT(A651, ""y:([-+]?[0-9]*\.?[0-9]+)""), """")"),"")</f>
        <v/>
      </c>
    </row>
    <row r="652">
      <c r="A652" s="13"/>
      <c r="B652" s="4">
        <f>IFERROR(__xludf.DUMMYFUNCTION("IFERROR(VALUE(REGEXEXTRACT(A652, ""angle:(\d+)"")), -1)"),-1.0)</f>
        <v>-1</v>
      </c>
      <c r="C652" s="5" t="str">
        <f t="shared" si="1"/>
        <v>-001</v>
      </c>
      <c r="D652" s="5" t="str">
        <f>IFERROR(__xludf.DUMMYFUNCTION("IFERROR(REGEXEXTRACT(A652, ""x:([-+]?[0-9]*\.?[0-9]+)""), """")"),"")</f>
        <v/>
      </c>
      <c r="E652" s="5" t="str">
        <f>IFERROR(__xludf.DUMMYFUNCTION("IFERROR(REGEXEXTRACT(A652, ""y:([-+]?[0-9]*\.?[0-9]+)""), """")"),"")</f>
        <v/>
      </c>
    </row>
    <row r="653">
      <c r="A653" s="13"/>
      <c r="B653" s="4">
        <f>IFERROR(__xludf.DUMMYFUNCTION("IFERROR(VALUE(REGEXEXTRACT(A653, ""angle:(\d+)"")), -1)"),-1.0)</f>
        <v>-1</v>
      </c>
      <c r="C653" s="5" t="str">
        <f t="shared" si="1"/>
        <v>-001</v>
      </c>
      <c r="D653" s="5" t="str">
        <f>IFERROR(__xludf.DUMMYFUNCTION("IFERROR(REGEXEXTRACT(A653, ""x:([-+]?[0-9]*\.?[0-9]+)""), """")"),"")</f>
        <v/>
      </c>
      <c r="E653" s="5" t="str">
        <f>IFERROR(__xludf.DUMMYFUNCTION("IFERROR(REGEXEXTRACT(A653, ""y:([-+]?[0-9]*\.?[0-9]+)""), """")"),"")</f>
        <v/>
      </c>
    </row>
    <row r="654">
      <c r="A654" s="13"/>
      <c r="B654" s="4">
        <f>IFERROR(__xludf.DUMMYFUNCTION("IFERROR(VALUE(REGEXEXTRACT(A654, ""angle:(\d+)"")), -1)"),-1.0)</f>
        <v>-1</v>
      </c>
      <c r="C654" s="5" t="str">
        <f t="shared" si="1"/>
        <v>-001</v>
      </c>
      <c r="D654" s="5" t="str">
        <f>IFERROR(__xludf.DUMMYFUNCTION("IFERROR(REGEXEXTRACT(A654, ""x:([-+]?[0-9]*\.?[0-9]+)""), """")"),"")</f>
        <v/>
      </c>
      <c r="E654" s="5" t="str">
        <f>IFERROR(__xludf.DUMMYFUNCTION("IFERROR(REGEXEXTRACT(A654, ""y:([-+]?[0-9]*\.?[0-9]+)""), """")"),"")</f>
        <v/>
      </c>
    </row>
    <row r="655">
      <c r="A655" s="13"/>
      <c r="B655" s="4">
        <f>IFERROR(__xludf.DUMMYFUNCTION("IFERROR(VALUE(REGEXEXTRACT(A655, ""angle:(\d+)"")), -1)"),-1.0)</f>
        <v>-1</v>
      </c>
      <c r="C655" s="5" t="str">
        <f t="shared" si="1"/>
        <v>-001</v>
      </c>
      <c r="D655" s="5" t="str">
        <f>IFERROR(__xludf.DUMMYFUNCTION("IFERROR(REGEXEXTRACT(A655, ""x:([-+]?[0-9]*\.?[0-9]+)""), """")"),"")</f>
        <v/>
      </c>
      <c r="E655" s="5" t="str">
        <f>IFERROR(__xludf.DUMMYFUNCTION("IFERROR(REGEXEXTRACT(A655, ""y:([-+]?[0-9]*\.?[0-9]+)""), """")"),"")</f>
        <v/>
      </c>
    </row>
    <row r="656">
      <c r="A656" s="13"/>
      <c r="B656" s="4">
        <f>IFERROR(__xludf.DUMMYFUNCTION("IFERROR(VALUE(REGEXEXTRACT(A656, ""angle:(\d+)"")), -1)"),-1.0)</f>
        <v>-1</v>
      </c>
      <c r="C656" s="5" t="str">
        <f t="shared" si="1"/>
        <v>-001</v>
      </c>
      <c r="D656" s="5" t="str">
        <f>IFERROR(__xludf.DUMMYFUNCTION("IFERROR(REGEXEXTRACT(A656, ""x:([-+]?[0-9]*\.?[0-9]+)""), """")"),"")</f>
        <v/>
      </c>
      <c r="E656" s="5" t="str">
        <f>IFERROR(__xludf.DUMMYFUNCTION("IFERROR(REGEXEXTRACT(A656, ""y:([-+]?[0-9]*\.?[0-9]+)""), """")"),"")</f>
        <v/>
      </c>
    </row>
    <row r="657">
      <c r="A657" s="13"/>
      <c r="B657" s="4">
        <f>IFERROR(__xludf.DUMMYFUNCTION("IFERROR(VALUE(REGEXEXTRACT(A657, ""angle:(\d+)"")), -1)"),-1.0)</f>
        <v>-1</v>
      </c>
      <c r="C657" s="5" t="str">
        <f t="shared" si="1"/>
        <v>-001</v>
      </c>
      <c r="D657" s="5" t="str">
        <f>IFERROR(__xludf.DUMMYFUNCTION("IFERROR(REGEXEXTRACT(A657, ""x:([-+]?[0-9]*\.?[0-9]+)""), """")"),"")</f>
        <v/>
      </c>
      <c r="E657" s="5" t="str">
        <f>IFERROR(__xludf.DUMMYFUNCTION("IFERROR(REGEXEXTRACT(A657, ""y:([-+]?[0-9]*\.?[0-9]+)""), """")"),"")</f>
        <v/>
      </c>
    </row>
    <row r="658">
      <c r="A658" s="13"/>
      <c r="B658" s="4">
        <f>IFERROR(__xludf.DUMMYFUNCTION("IFERROR(VALUE(REGEXEXTRACT(A658, ""angle:(\d+)"")), -1)"),-1.0)</f>
        <v>-1</v>
      </c>
      <c r="C658" s="5" t="str">
        <f t="shared" si="1"/>
        <v>-001</v>
      </c>
      <c r="D658" s="5" t="str">
        <f>IFERROR(__xludf.DUMMYFUNCTION("IFERROR(REGEXEXTRACT(A658, ""x:([-+]?[0-9]*\.?[0-9]+)""), """")"),"")</f>
        <v/>
      </c>
      <c r="E658" s="5" t="str">
        <f>IFERROR(__xludf.DUMMYFUNCTION("IFERROR(REGEXEXTRACT(A658, ""y:([-+]?[0-9]*\.?[0-9]+)""), """")"),"")</f>
        <v/>
      </c>
    </row>
    <row r="659">
      <c r="A659" s="13"/>
      <c r="B659" s="4">
        <f>IFERROR(__xludf.DUMMYFUNCTION("IFERROR(VALUE(REGEXEXTRACT(A659, ""angle:(\d+)"")), -1)"),-1.0)</f>
        <v>-1</v>
      </c>
      <c r="C659" s="5" t="str">
        <f t="shared" si="1"/>
        <v>-001</v>
      </c>
      <c r="D659" s="5" t="str">
        <f>IFERROR(__xludf.DUMMYFUNCTION("IFERROR(REGEXEXTRACT(A659, ""x:([-+]?[0-9]*\.?[0-9]+)""), """")"),"")</f>
        <v/>
      </c>
      <c r="E659" s="5" t="str">
        <f>IFERROR(__xludf.DUMMYFUNCTION("IFERROR(REGEXEXTRACT(A659, ""y:([-+]?[0-9]*\.?[0-9]+)""), """")"),"")</f>
        <v/>
      </c>
    </row>
    <row r="660">
      <c r="A660" s="13"/>
      <c r="B660" s="4">
        <f>IFERROR(__xludf.DUMMYFUNCTION("IFERROR(VALUE(REGEXEXTRACT(A660, ""angle:(\d+)"")), -1)"),-1.0)</f>
        <v>-1</v>
      </c>
      <c r="C660" s="5" t="str">
        <f t="shared" si="1"/>
        <v>-001</v>
      </c>
      <c r="D660" s="5" t="str">
        <f>IFERROR(__xludf.DUMMYFUNCTION("IFERROR(REGEXEXTRACT(A660, ""x:([-+]?[0-9]*\.?[0-9]+)""), """")"),"")</f>
        <v/>
      </c>
      <c r="E660" s="5" t="str">
        <f>IFERROR(__xludf.DUMMYFUNCTION("IFERROR(REGEXEXTRACT(A660, ""y:([-+]?[0-9]*\.?[0-9]+)""), """")"),"")</f>
        <v/>
      </c>
    </row>
    <row r="661">
      <c r="A661" s="13"/>
      <c r="B661" s="4">
        <f>IFERROR(__xludf.DUMMYFUNCTION("IFERROR(VALUE(REGEXEXTRACT(A661, ""angle:(\d+)"")), -1)"),-1.0)</f>
        <v>-1</v>
      </c>
      <c r="C661" s="5" t="str">
        <f t="shared" si="1"/>
        <v>-001</v>
      </c>
      <c r="D661" s="5" t="str">
        <f>IFERROR(__xludf.DUMMYFUNCTION("IFERROR(REGEXEXTRACT(A661, ""x:([-+]?[0-9]*\.?[0-9]+)""), """")"),"")</f>
        <v/>
      </c>
      <c r="E661" s="5" t="str">
        <f>IFERROR(__xludf.DUMMYFUNCTION("IFERROR(REGEXEXTRACT(A661, ""y:([-+]?[0-9]*\.?[0-9]+)""), """")"),"")</f>
        <v/>
      </c>
    </row>
    <row r="662">
      <c r="A662" s="13"/>
      <c r="B662" s="4">
        <f>IFERROR(__xludf.DUMMYFUNCTION("IFERROR(VALUE(REGEXEXTRACT(A662, ""angle:(\d+)"")), -1)"),-1.0)</f>
        <v>-1</v>
      </c>
      <c r="C662" s="5" t="str">
        <f t="shared" si="1"/>
        <v>-001</v>
      </c>
      <c r="D662" s="5" t="str">
        <f>IFERROR(__xludf.DUMMYFUNCTION("IFERROR(REGEXEXTRACT(A662, ""x:([-+]?[0-9]*\.?[0-9]+)""), """")"),"")</f>
        <v/>
      </c>
      <c r="E662" s="5" t="str">
        <f>IFERROR(__xludf.DUMMYFUNCTION("IFERROR(REGEXEXTRACT(A662, ""y:([-+]?[0-9]*\.?[0-9]+)""), """")"),"")</f>
        <v/>
      </c>
    </row>
    <row r="663">
      <c r="A663" s="13"/>
      <c r="B663" s="4">
        <f>IFERROR(__xludf.DUMMYFUNCTION("IFERROR(VALUE(REGEXEXTRACT(A663, ""angle:(\d+)"")), -1)"),-1.0)</f>
        <v>-1</v>
      </c>
      <c r="C663" s="5" t="str">
        <f t="shared" si="1"/>
        <v>-001</v>
      </c>
      <c r="D663" s="5" t="str">
        <f>IFERROR(__xludf.DUMMYFUNCTION("IFERROR(REGEXEXTRACT(A663, ""x:([-+]?[0-9]*\.?[0-9]+)""), """")"),"")</f>
        <v/>
      </c>
      <c r="E663" s="5" t="str">
        <f>IFERROR(__xludf.DUMMYFUNCTION("IFERROR(REGEXEXTRACT(A663, ""y:([-+]?[0-9]*\.?[0-9]+)""), """")"),"")</f>
        <v/>
      </c>
    </row>
    <row r="664">
      <c r="A664" s="13"/>
      <c r="B664" s="4">
        <f>IFERROR(__xludf.DUMMYFUNCTION("IFERROR(VALUE(REGEXEXTRACT(A664, ""angle:(\d+)"")), -1)"),-1.0)</f>
        <v>-1</v>
      </c>
      <c r="C664" s="5" t="str">
        <f t="shared" si="1"/>
        <v>-001</v>
      </c>
      <c r="D664" s="5" t="str">
        <f>IFERROR(__xludf.DUMMYFUNCTION("IFERROR(REGEXEXTRACT(A664, ""x:([-+]?[0-9]*\.?[0-9]+)""), """")"),"")</f>
        <v/>
      </c>
      <c r="E664" s="5" t="str">
        <f>IFERROR(__xludf.DUMMYFUNCTION("IFERROR(REGEXEXTRACT(A664, ""y:([-+]?[0-9]*\.?[0-9]+)""), """")"),"")</f>
        <v/>
      </c>
    </row>
    <row r="665">
      <c r="A665" s="13"/>
      <c r="B665" s="4">
        <f>IFERROR(__xludf.DUMMYFUNCTION("IFERROR(VALUE(REGEXEXTRACT(A665, ""angle:(\d+)"")), -1)"),-1.0)</f>
        <v>-1</v>
      </c>
      <c r="C665" s="5" t="str">
        <f t="shared" si="1"/>
        <v>-001</v>
      </c>
      <c r="D665" s="5" t="str">
        <f>IFERROR(__xludf.DUMMYFUNCTION("IFERROR(REGEXEXTRACT(A665, ""x:([-+]?[0-9]*\.?[0-9]+)""), """")"),"")</f>
        <v/>
      </c>
      <c r="E665" s="5" t="str">
        <f>IFERROR(__xludf.DUMMYFUNCTION("IFERROR(REGEXEXTRACT(A665, ""y:([-+]?[0-9]*\.?[0-9]+)""), """")"),"")</f>
        <v/>
      </c>
    </row>
    <row r="666">
      <c r="A666" s="13"/>
      <c r="B666" s="4">
        <f>IFERROR(__xludf.DUMMYFUNCTION("IFERROR(VALUE(REGEXEXTRACT(A666, ""angle:(\d+)"")), -1)"),-1.0)</f>
        <v>-1</v>
      </c>
      <c r="C666" s="5" t="str">
        <f t="shared" si="1"/>
        <v>-001</v>
      </c>
      <c r="D666" s="5" t="str">
        <f>IFERROR(__xludf.DUMMYFUNCTION("IFERROR(REGEXEXTRACT(A666, ""x:([-+]?[0-9]*\.?[0-9]+)""), """")"),"")</f>
        <v/>
      </c>
      <c r="E666" s="5" t="str">
        <f>IFERROR(__xludf.DUMMYFUNCTION("IFERROR(REGEXEXTRACT(A666, ""y:([-+]?[0-9]*\.?[0-9]+)""), """")"),"")</f>
        <v/>
      </c>
    </row>
    <row r="667">
      <c r="A667" s="13"/>
      <c r="B667" s="4">
        <f>IFERROR(__xludf.DUMMYFUNCTION("IFERROR(VALUE(REGEXEXTRACT(A667, ""angle:(\d+)"")), -1)"),-1.0)</f>
        <v>-1</v>
      </c>
      <c r="C667" s="5" t="str">
        <f t="shared" si="1"/>
        <v>-001</v>
      </c>
      <c r="D667" s="5" t="str">
        <f>IFERROR(__xludf.DUMMYFUNCTION("IFERROR(REGEXEXTRACT(A667, ""x:([-+]?[0-9]*\.?[0-9]+)""), """")"),"")</f>
        <v/>
      </c>
      <c r="E667" s="5" t="str">
        <f>IFERROR(__xludf.DUMMYFUNCTION("IFERROR(REGEXEXTRACT(A667, ""y:([-+]?[0-9]*\.?[0-9]+)""), """")"),"")</f>
        <v/>
      </c>
    </row>
    <row r="668">
      <c r="A668" s="13"/>
      <c r="B668" s="4">
        <f>IFERROR(__xludf.DUMMYFUNCTION("IFERROR(VALUE(REGEXEXTRACT(A668, ""angle:(\d+)"")), -1)"),-1.0)</f>
        <v>-1</v>
      </c>
      <c r="C668" s="5" t="str">
        <f t="shared" si="1"/>
        <v>-001</v>
      </c>
      <c r="D668" s="5" t="str">
        <f>IFERROR(__xludf.DUMMYFUNCTION("IFERROR(REGEXEXTRACT(A668, ""x:([-+]?[0-9]*\.?[0-9]+)""), """")"),"")</f>
        <v/>
      </c>
      <c r="E668" s="5" t="str">
        <f>IFERROR(__xludf.DUMMYFUNCTION("IFERROR(REGEXEXTRACT(A668, ""y:([-+]?[0-9]*\.?[0-9]+)""), """")"),"")</f>
        <v/>
      </c>
    </row>
    <row r="669">
      <c r="A669" s="13"/>
      <c r="B669" s="4">
        <f>IFERROR(__xludf.DUMMYFUNCTION("IFERROR(VALUE(REGEXEXTRACT(A669, ""angle:(\d+)"")), -1)"),-1.0)</f>
        <v>-1</v>
      </c>
      <c r="C669" s="5" t="str">
        <f t="shared" si="1"/>
        <v>-001</v>
      </c>
      <c r="D669" s="5" t="str">
        <f>IFERROR(__xludf.DUMMYFUNCTION("IFERROR(REGEXEXTRACT(A669, ""x:([-+]?[0-9]*\.?[0-9]+)""), """")"),"")</f>
        <v/>
      </c>
      <c r="E669" s="5" t="str">
        <f>IFERROR(__xludf.DUMMYFUNCTION("IFERROR(REGEXEXTRACT(A669, ""y:([-+]?[0-9]*\.?[0-9]+)""), """")"),"")</f>
        <v/>
      </c>
    </row>
    <row r="670">
      <c r="A670" s="13"/>
      <c r="B670" s="4">
        <f>IFERROR(__xludf.DUMMYFUNCTION("IFERROR(VALUE(REGEXEXTRACT(A670, ""angle:(\d+)"")), -1)"),-1.0)</f>
        <v>-1</v>
      </c>
      <c r="C670" s="5" t="str">
        <f t="shared" si="1"/>
        <v>-001</v>
      </c>
      <c r="D670" s="5" t="str">
        <f>IFERROR(__xludf.DUMMYFUNCTION("IFERROR(REGEXEXTRACT(A670, ""x:([-+]?[0-9]*\.?[0-9]+)""), """")"),"")</f>
        <v/>
      </c>
      <c r="E670" s="5" t="str">
        <f>IFERROR(__xludf.DUMMYFUNCTION("IFERROR(REGEXEXTRACT(A670, ""y:([-+]?[0-9]*\.?[0-9]+)""), """")"),"")</f>
        <v/>
      </c>
    </row>
    <row r="671">
      <c r="A671" s="13"/>
      <c r="B671" s="4">
        <f>IFERROR(__xludf.DUMMYFUNCTION("IFERROR(VALUE(REGEXEXTRACT(A671, ""angle:(\d+)"")), -1)"),-1.0)</f>
        <v>-1</v>
      </c>
      <c r="C671" s="5" t="str">
        <f t="shared" si="1"/>
        <v>-001</v>
      </c>
      <c r="D671" s="5" t="str">
        <f>IFERROR(__xludf.DUMMYFUNCTION("IFERROR(REGEXEXTRACT(A671, ""x:([-+]?[0-9]*\.?[0-9]+)""), """")"),"")</f>
        <v/>
      </c>
      <c r="E671" s="5" t="str">
        <f>IFERROR(__xludf.DUMMYFUNCTION("IFERROR(REGEXEXTRACT(A671, ""y:([-+]?[0-9]*\.?[0-9]+)""), """")"),"")</f>
        <v/>
      </c>
    </row>
    <row r="672">
      <c r="A672" s="13"/>
      <c r="B672" s="4">
        <f>IFERROR(__xludf.DUMMYFUNCTION("IFERROR(VALUE(REGEXEXTRACT(A672, ""angle:(\d+)"")), -1)"),-1.0)</f>
        <v>-1</v>
      </c>
      <c r="C672" s="5" t="str">
        <f t="shared" si="1"/>
        <v>-001</v>
      </c>
      <c r="D672" s="5" t="str">
        <f>IFERROR(__xludf.DUMMYFUNCTION("IFERROR(REGEXEXTRACT(A672, ""x:([-+]?[0-9]*\.?[0-9]+)""), """")"),"")</f>
        <v/>
      </c>
      <c r="E672" s="5" t="str">
        <f>IFERROR(__xludf.DUMMYFUNCTION("IFERROR(REGEXEXTRACT(A672, ""y:([-+]?[0-9]*\.?[0-9]+)""), """")"),"")</f>
        <v/>
      </c>
    </row>
    <row r="673">
      <c r="A673" s="13"/>
      <c r="B673" s="4">
        <f>IFERROR(__xludf.DUMMYFUNCTION("IFERROR(VALUE(REGEXEXTRACT(A673, ""angle:(\d+)"")), -1)"),-1.0)</f>
        <v>-1</v>
      </c>
      <c r="C673" s="5" t="str">
        <f t="shared" si="1"/>
        <v>-001</v>
      </c>
      <c r="D673" s="5" t="str">
        <f>IFERROR(__xludf.DUMMYFUNCTION("IFERROR(REGEXEXTRACT(A673, ""x:([-+]?[0-9]*\.?[0-9]+)""), """")"),"")</f>
        <v/>
      </c>
      <c r="E673" s="5" t="str">
        <f>IFERROR(__xludf.DUMMYFUNCTION("IFERROR(REGEXEXTRACT(A673, ""y:([-+]?[0-9]*\.?[0-9]+)""), """")"),"")</f>
        <v/>
      </c>
    </row>
    <row r="674">
      <c r="A674" s="13"/>
      <c r="B674" s="4">
        <f>IFERROR(__xludf.DUMMYFUNCTION("IFERROR(VALUE(REGEXEXTRACT(A674, ""angle:(\d+)"")), -1)"),-1.0)</f>
        <v>-1</v>
      </c>
      <c r="C674" s="5" t="str">
        <f t="shared" si="1"/>
        <v>-001</v>
      </c>
      <c r="D674" s="5" t="str">
        <f>IFERROR(__xludf.DUMMYFUNCTION("IFERROR(REGEXEXTRACT(A674, ""x:([-+]?[0-9]*\.?[0-9]+)""), """")"),"")</f>
        <v/>
      </c>
      <c r="E674" s="5" t="str">
        <f>IFERROR(__xludf.DUMMYFUNCTION("IFERROR(REGEXEXTRACT(A674, ""y:([-+]?[0-9]*\.?[0-9]+)""), """")"),"")</f>
        <v/>
      </c>
    </row>
    <row r="675">
      <c r="A675" s="13"/>
      <c r="B675" s="4">
        <f>IFERROR(__xludf.DUMMYFUNCTION("IFERROR(VALUE(REGEXEXTRACT(A675, ""angle:(\d+)"")), -1)"),-1.0)</f>
        <v>-1</v>
      </c>
      <c r="C675" s="5" t="str">
        <f t="shared" si="1"/>
        <v>-001</v>
      </c>
      <c r="D675" s="5" t="str">
        <f>IFERROR(__xludf.DUMMYFUNCTION("IFERROR(REGEXEXTRACT(A675, ""x:([-+]?[0-9]*\.?[0-9]+)""), """")"),"")</f>
        <v/>
      </c>
      <c r="E675" s="5" t="str">
        <f>IFERROR(__xludf.DUMMYFUNCTION("IFERROR(REGEXEXTRACT(A675, ""y:([-+]?[0-9]*\.?[0-9]+)""), """")"),"")</f>
        <v/>
      </c>
    </row>
    <row r="676">
      <c r="A676" s="13"/>
      <c r="B676" s="4">
        <f>IFERROR(__xludf.DUMMYFUNCTION("IFERROR(VALUE(REGEXEXTRACT(A676, ""angle:(\d+)"")), -1)"),-1.0)</f>
        <v>-1</v>
      </c>
      <c r="C676" s="5" t="str">
        <f t="shared" si="1"/>
        <v>-001</v>
      </c>
      <c r="D676" s="5" t="str">
        <f>IFERROR(__xludf.DUMMYFUNCTION("IFERROR(REGEXEXTRACT(A676, ""x:([-+]?[0-9]*\.?[0-9]+)""), """")"),"")</f>
        <v/>
      </c>
      <c r="E676" s="5" t="str">
        <f>IFERROR(__xludf.DUMMYFUNCTION("IFERROR(REGEXEXTRACT(A676, ""y:([-+]?[0-9]*\.?[0-9]+)""), """")"),"")</f>
        <v/>
      </c>
    </row>
    <row r="677">
      <c r="A677" s="13"/>
      <c r="B677" s="4">
        <f>IFERROR(__xludf.DUMMYFUNCTION("IFERROR(VALUE(REGEXEXTRACT(A677, ""angle:(\d+)"")), -1)"),-1.0)</f>
        <v>-1</v>
      </c>
      <c r="C677" s="5" t="str">
        <f t="shared" si="1"/>
        <v>-001</v>
      </c>
      <c r="D677" s="5" t="str">
        <f>IFERROR(__xludf.DUMMYFUNCTION("IFERROR(REGEXEXTRACT(A677, ""x:([-+]?[0-9]*\.?[0-9]+)""), """")"),"")</f>
        <v/>
      </c>
      <c r="E677" s="5" t="str">
        <f>IFERROR(__xludf.DUMMYFUNCTION("IFERROR(REGEXEXTRACT(A677, ""y:([-+]?[0-9]*\.?[0-9]+)""), """")"),"")</f>
        <v/>
      </c>
    </row>
    <row r="678">
      <c r="A678" s="13"/>
      <c r="B678" s="4">
        <f>IFERROR(__xludf.DUMMYFUNCTION("IFERROR(VALUE(REGEXEXTRACT(A678, ""angle:(\d+)"")), -1)"),-1.0)</f>
        <v>-1</v>
      </c>
      <c r="C678" s="5" t="str">
        <f t="shared" si="1"/>
        <v>-001</v>
      </c>
      <c r="D678" s="5" t="str">
        <f>IFERROR(__xludf.DUMMYFUNCTION("IFERROR(REGEXEXTRACT(A678, ""x:([-+]?[0-9]*\.?[0-9]+)""), """")"),"")</f>
        <v/>
      </c>
      <c r="E678" s="5" t="str">
        <f>IFERROR(__xludf.DUMMYFUNCTION("IFERROR(REGEXEXTRACT(A678, ""y:([-+]?[0-9]*\.?[0-9]+)""), """")"),"")</f>
        <v/>
      </c>
    </row>
    <row r="679">
      <c r="A679" s="13"/>
      <c r="B679" s="4">
        <f>IFERROR(__xludf.DUMMYFUNCTION("IFERROR(VALUE(REGEXEXTRACT(A679, ""angle:(\d+)"")), -1)"),-1.0)</f>
        <v>-1</v>
      </c>
      <c r="C679" s="5" t="str">
        <f t="shared" si="1"/>
        <v>-001</v>
      </c>
      <c r="D679" s="5" t="str">
        <f>IFERROR(__xludf.DUMMYFUNCTION("IFERROR(REGEXEXTRACT(A679, ""x:([-+]?[0-9]*\.?[0-9]+)""), """")"),"")</f>
        <v/>
      </c>
      <c r="E679" s="5" t="str">
        <f>IFERROR(__xludf.DUMMYFUNCTION("IFERROR(REGEXEXTRACT(A679, ""y:([-+]?[0-9]*\.?[0-9]+)""), """")"),"")</f>
        <v/>
      </c>
    </row>
    <row r="680">
      <c r="A680" s="13"/>
      <c r="B680" s="4">
        <f>IFERROR(__xludf.DUMMYFUNCTION("IFERROR(VALUE(REGEXEXTRACT(A680, ""angle:(\d+)"")), -1)"),-1.0)</f>
        <v>-1</v>
      </c>
      <c r="C680" s="5" t="str">
        <f t="shared" si="1"/>
        <v>-001</v>
      </c>
      <c r="D680" s="5" t="str">
        <f>IFERROR(__xludf.DUMMYFUNCTION("IFERROR(REGEXEXTRACT(A680, ""x:([-+]?[0-9]*\.?[0-9]+)""), """")"),"")</f>
        <v/>
      </c>
      <c r="E680" s="5" t="str">
        <f>IFERROR(__xludf.DUMMYFUNCTION("IFERROR(REGEXEXTRACT(A680, ""y:([-+]?[0-9]*\.?[0-9]+)""), """")"),"")</f>
        <v/>
      </c>
    </row>
    <row r="681">
      <c r="A681" s="13"/>
      <c r="B681" s="4">
        <f>IFERROR(__xludf.DUMMYFUNCTION("IFERROR(VALUE(REGEXEXTRACT(A681, ""angle:(\d+)"")), -1)"),-1.0)</f>
        <v>-1</v>
      </c>
      <c r="C681" s="5" t="str">
        <f t="shared" si="1"/>
        <v>-001</v>
      </c>
      <c r="D681" s="5" t="str">
        <f>IFERROR(__xludf.DUMMYFUNCTION("IFERROR(REGEXEXTRACT(A681, ""x:([-+]?[0-9]*\.?[0-9]+)""), """")"),"")</f>
        <v/>
      </c>
      <c r="E681" s="5" t="str">
        <f>IFERROR(__xludf.DUMMYFUNCTION("IFERROR(REGEXEXTRACT(A681, ""y:([-+]?[0-9]*\.?[0-9]+)""), """")"),"")</f>
        <v/>
      </c>
    </row>
    <row r="682">
      <c r="A682" s="13"/>
      <c r="B682" s="4">
        <f>IFERROR(__xludf.DUMMYFUNCTION("IFERROR(VALUE(REGEXEXTRACT(A682, ""angle:(\d+)"")), -1)"),-1.0)</f>
        <v>-1</v>
      </c>
      <c r="C682" s="5" t="str">
        <f t="shared" si="1"/>
        <v>-001</v>
      </c>
      <c r="D682" s="5" t="str">
        <f>IFERROR(__xludf.DUMMYFUNCTION("IFERROR(REGEXEXTRACT(A682, ""x:([-+]?[0-9]*\.?[0-9]+)""), """")"),"")</f>
        <v/>
      </c>
      <c r="E682" s="5" t="str">
        <f>IFERROR(__xludf.DUMMYFUNCTION("IFERROR(REGEXEXTRACT(A682, ""y:([-+]?[0-9]*\.?[0-9]+)""), """")"),"")</f>
        <v/>
      </c>
    </row>
    <row r="683">
      <c r="A683" s="13"/>
      <c r="B683" s="4">
        <f>IFERROR(__xludf.DUMMYFUNCTION("IFERROR(VALUE(REGEXEXTRACT(A683, ""angle:(\d+)"")), -1)"),-1.0)</f>
        <v>-1</v>
      </c>
      <c r="C683" s="5" t="str">
        <f t="shared" si="1"/>
        <v>-001</v>
      </c>
      <c r="D683" s="5" t="str">
        <f>IFERROR(__xludf.DUMMYFUNCTION("IFERROR(REGEXEXTRACT(A683, ""x:([-+]?[0-9]*\.?[0-9]+)""), """")"),"")</f>
        <v/>
      </c>
      <c r="E683" s="5" t="str">
        <f>IFERROR(__xludf.DUMMYFUNCTION("IFERROR(REGEXEXTRACT(A683, ""y:([-+]?[0-9]*\.?[0-9]+)""), """")"),"")</f>
        <v/>
      </c>
    </row>
    <row r="684">
      <c r="A684" s="13"/>
      <c r="B684" s="4">
        <f>IFERROR(__xludf.DUMMYFUNCTION("IFERROR(VALUE(REGEXEXTRACT(A684, ""angle:(\d+)"")), -1)"),-1.0)</f>
        <v>-1</v>
      </c>
      <c r="C684" s="5" t="str">
        <f t="shared" si="1"/>
        <v>-001</v>
      </c>
      <c r="D684" s="5" t="str">
        <f>IFERROR(__xludf.DUMMYFUNCTION("IFERROR(REGEXEXTRACT(A684, ""x:([-+]?[0-9]*\.?[0-9]+)""), """")"),"")</f>
        <v/>
      </c>
      <c r="E684" s="5" t="str">
        <f>IFERROR(__xludf.DUMMYFUNCTION("IFERROR(REGEXEXTRACT(A684, ""y:([-+]?[0-9]*\.?[0-9]+)""), """")"),"")</f>
        <v/>
      </c>
    </row>
    <row r="685">
      <c r="A685" s="13"/>
      <c r="B685" s="4">
        <f>IFERROR(__xludf.DUMMYFUNCTION("IFERROR(VALUE(REGEXEXTRACT(A685, ""angle:(\d+)"")), -1)"),-1.0)</f>
        <v>-1</v>
      </c>
      <c r="C685" s="5" t="str">
        <f t="shared" si="1"/>
        <v>-001</v>
      </c>
      <c r="D685" s="5" t="str">
        <f>IFERROR(__xludf.DUMMYFUNCTION("IFERROR(REGEXEXTRACT(A685, ""x:([-+]?[0-9]*\.?[0-9]+)""), """")"),"")</f>
        <v/>
      </c>
      <c r="E685" s="5" t="str">
        <f>IFERROR(__xludf.DUMMYFUNCTION("IFERROR(REGEXEXTRACT(A685, ""y:([-+]?[0-9]*\.?[0-9]+)""), """")"),"")</f>
        <v/>
      </c>
    </row>
    <row r="686">
      <c r="A686" s="13"/>
      <c r="B686" s="4">
        <f>IFERROR(__xludf.DUMMYFUNCTION("IFERROR(VALUE(REGEXEXTRACT(A686, ""angle:(\d+)"")), -1)"),-1.0)</f>
        <v>-1</v>
      </c>
      <c r="C686" s="5" t="str">
        <f t="shared" si="1"/>
        <v>-001</v>
      </c>
      <c r="D686" s="5" t="str">
        <f>IFERROR(__xludf.DUMMYFUNCTION("IFERROR(REGEXEXTRACT(A686, ""x:([-+]?[0-9]*\.?[0-9]+)""), """")"),"")</f>
        <v/>
      </c>
      <c r="E686" s="5" t="str">
        <f>IFERROR(__xludf.DUMMYFUNCTION("IFERROR(REGEXEXTRACT(A686, ""y:([-+]?[0-9]*\.?[0-9]+)""), """")"),"")</f>
        <v/>
      </c>
    </row>
    <row r="687">
      <c r="A687" s="13"/>
      <c r="B687" s="4">
        <f>IFERROR(__xludf.DUMMYFUNCTION("IFERROR(VALUE(REGEXEXTRACT(A687, ""angle:(\d+)"")), -1)"),-1.0)</f>
        <v>-1</v>
      </c>
      <c r="C687" s="5" t="str">
        <f t="shared" si="1"/>
        <v>-001</v>
      </c>
      <c r="D687" s="5" t="str">
        <f>IFERROR(__xludf.DUMMYFUNCTION("IFERROR(REGEXEXTRACT(A687, ""x:([-+]?[0-9]*\.?[0-9]+)""), """")"),"")</f>
        <v/>
      </c>
      <c r="E687" s="5" t="str">
        <f>IFERROR(__xludf.DUMMYFUNCTION("IFERROR(REGEXEXTRACT(A687, ""y:([-+]?[0-9]*\.?[0-9]+)""), """")"),"")</f>
        <v/>
      </c>
    </row>
    <row r="688">
      <c r="A688" s="13"/>
      <c r="B688" s="4">
        <f>IFERROR(__xludf.DUMMYFUNCTION("IFERROR(VALUE(REGEXEXTRACT(A688, ""angle:(\d+)"")), -1)"),-1.0)</f>
        <v>-1</v>
      </c>
      <c r="C688" s="5" t="str">
        <f t="shared" si="1"/>
        <v>-001</v>
      </c>
      <c r="D688" s="5" t="str">
        <f>IFERROR(__xludf.DUMMYFUNCTION("IFERROR(REGEXEXTRACT(A688, ""x:([-+]?[0-9]*\.?[0-9]+)""), """")"),"")</f>
        <v/>
      </c>
      <c r="E688" s="5" t="str">
        <f>IFERROR(__xludf.DUMMYFUNCTION("IFERROR(REGEXEXTRACT(A688, ""y:([-+]?[0-9]*\.?[0-9]+)""), """")"),"")</f>
        <v/>
      </c>
    </row>
    <row r="689">
      <c r="A689" s="13"/>
      <c r="B689" s="4">
        <f>IFERROR(__xludf.DUMMYFUNCTION("IFERROR(VALUE(REGEXEXTRACT(A689, ""angle:(\d+)"")), -1)"),-1.0)</f>
        <v>-1</v>
      </c>
      <c r="C689" s="5" t="str">
        <f t="shared" si="1"/>
        <v>-001</v>
      </c>
      <c r="D689" s="5" t="str">
        <f>IFERROR(__xludf.DUMMYFUNCTION("IFERROR(REGEXEXTRACT(A689, ""x:([-+]?[0-9]*\.?[0-9]+)""), """")"),"")</f>
        <v/>
      </c>
      <c r="E689" s="5" t="str">
        <f>IFERROR(__xludf.DUMMYFUNCTION("IFERROR(REGEXEXTRACT(A689, ""y:([-+]?[0-9]*\.?[0-9]+)""), """")"),"")</f>
        <v/>
      </c>
    </row>
    <row r="690">
      <c r="A690" s="13"/>
      <c r="B690" s="4">
        <f>IFERROR(__xludf.DUMMYFUNCTION("IFERROR(VALUE(REGEXEXTRACT(A690, ""angle:(\d+)"")), -1)"),-1.0)</f>
        <v>-1</v>
      </c>
      <c r="C690" s="5" t="str">
        <f t="shared" si="1"/>
        <v>-001</v>
      </c>
      <c r="D690" s="5" t="str">
        <f>IFERROR(__xludf.DUMMYFUNCTION("IFERROR(REGEXEXTRACT(A690, ""x:([-+]?[0-9]*\.?[0-9]+)""), """")"),"")</f>
        <v/>
      </c>
      <c r="E690" s="5" t="str">
        <f>IFERROR(__xludf.DUMMYFUNCTION("IFERROR(REGEXEXTRACT(A690, ""y:([-+]?[0-9]*\.?[0-9]+)""), """")"),"")</f>
        <v/>
      </c>
    </row>
    <row r="691">
      <c r="A691" s="13"/>
      <c r="B691" s="4">
        <f>IFERROR(__xludf.DUMMYFUNCTION("IFERROR(VALUE(REGEXEXTRACT(A691, ""angle:(\d+)"")), -1)"),-1.0)</f>
        <v>-1</v>
      </c>
      <c r="C691" s="5" t="str">
        <f t="shared" si="1"/>
        <v>-001</v>
      </c>
      <c r="D691" s="5" t="str">
        <f>IFERROR(__xludf.DUMMYFUNCTION("IFERROR(REGEXEXTRACT(A691, ""x:([-+]?[0-9]*\.?[0-9]+)""), """")"),"")</f>
        <v/>
      </c>
      <c r="E691" s="5" t="str">
        <f>IFERROR(__xludf.DUMMYFUNCTION("IFERROR(REGEXEXTRACT(A691, ""y:([-+]?[0-9]*\.?[0-9]+)""), """")"),"")</f>
        <v/>
      </c>
    </row>
    <row r="692">
      <c r="A692" s="13"/>
      <c r="B692" s="4">
        <f>IFERROR(__xludf.DUMMYFUNCTION("IFERROR(VALUE(REGEXEXTRACT(A692, ""angle:(\d+)"")), -1)"),-1.0)</f>
        <v>-1</v>
      </c>
      <c r="C692" s="5" t="str">
        <f t="shared" si="1"/>
        <v>-001</v>
      </c>
      <c r="D692" s="5" t="str">
        <f>IFERROR(__xludf.DUMMYFUNCTION("IFERROR(REGEXEXTRACT(A692, ""x:([-+]?[0-9]*\.?[0-9]+)""), """")"),"")</f>
        <v/>
      </c>
      <c r="E692" s="5" t="str">
        <f>IFERROR(__xludf.DUMMYFUNCTION("IFERROR(REGEXEXTRACT(A692, ""y:([-+]?[0-9]*\.?[0-9]+)""), """")"),"")</f>
        <v/>
      </c>
    </row>
    <row r="693">
      <c r="A693" s="13"/>
      <c r="B693" s="4">
        <f>IFERROR(__xludf.DUMMYFUNCTION("IFERROR(VALUE(REGEXEXTRACT(A693, ""angle:(\d+)"")), -1)"),-1.0)</f>
        <v>-1</v>
      </c>
      <c r="C693" s="5" t="str">
        <f t="shared" si="1"/>
        <v>-001</v>
      </c>
      <c r="D693" s="5" t="str">
        <f>IFERROR(__xludf.DUMMYFUNCTION("IFERROR(REGEXEXTRACT(A693, ""x:([-+]?[0-9]*\.?[0-9]+)""), """")"),"")</f>
        <v/>
      </c>
      <c r="E693" s="5" t="str">
        <f>IFERROR(__xludf.DUMMYFUNCTION("IFERROR(REGEXEXTRACT(A693, ""y:([-+]?[0-9]*\.?[0-9]+)""), """")"),"")</f>
        <v/>
      </c>
    </row>
    <row r="694">
      <c r="A694" s="13"/>
      <c r="B694" s="4">
        <f>IFERROR(__xludf.DUMMYFUNCTION("IFERROR(VALUE(REGEXEXTRACT(A694, ""angle:(\d+)"")), -1)"),-1.0)</f>
        <v>-1</v>
      </c>
      <c r="C694" s="5" t="str">
        <f t="shared" si="1"/>
        <v>-001</v>
      </c>
      <c r="D694" s="5" t="str">
        <f>IFERROR(__xludf.DUMMYFUNCTION("IFERROR(REGEXEXTRACT(A694, ""x:([-+]?[0-9]*\.?[0-9]+)""), """")"),"")</f>
        <v/>
      </c>
      <c r="E694" s="5" t="str">
        <f>IFERROR(__xludf.DUMMYFUNCTION("IFERROR(REGEXEXTRACT(A694, ""y:([-+]?[0-9]*\.?[0-9]+)""), """")"),"")</f>
        <v/>
      </c>
    </row>
    <row r="695">
      <c r="A695" s="13"/>
      <c r="B695" s="4">
        <f>IFERROR(__xludf.DUMMYFUNCTION("IFERROR(VALUE(REGEXEXTRACT(A695, ""angle:(\d+)"")), -1)"),-1.0)</f>
        <v>-1</v>
      </c>
      <c r="C695" s="5" t="str">
        <f t="shared" si="1"/>
        <v>-001</v>
      </c>
      <c r="D695" s="5" t="str">
        <f>IFERROR(__xludf.DUMMYFUNCTION("IFERROR(REGEXEXTRACT(A695, ""x:([-+]?[0-9]*\.?[0-9]+)""), """")"),"")</f>
        <v/>
      </c>
      <c r="E695" s="5" t="str">
        <f>IFERROR(__xludf.DUMMYFUNCTION("IFERROR(REGEXEXTRACT(A695, ""y:([-+]?[0-9]*\.?[0-9]+)""), """")"),"")</f>
        <v/>
      </c>
    </row>
    <row r="696">
      <c r="A696" s="13"/>
      <c r="B696" s="4">
        <f>IFERROR(__xludf.DUMMYFUNCTION("IFERROR(VALUE(REGEXEXTRACT(A696, ""angle:(\d+)"")), -1)"),-1.0)</f>
        <v>-1</v>
      </c>
      <c r="C696" s="5" t="str">
        <f t="shared" si="1"/>
        <v>-001</v>
      </c>
      <c r="D696" s="5" t="str">
        <f>IFERROR(__xludf.DUMMYFUNCTION("IFERROR(REGEXEXTRACT(A696, ""x:([-+]?[0-9]*\.?[0-9]+)""), """")"),"")</f>
        <v/>
      </c>
      <c r="E696" s="5" t="str">
        <f>IFERROR(__xludf.DUMMYFUNCTION("IFERROR(REGEXEXTRACT(A696, ""y:([-+]?[0-9]*\.?[0-9]+)""), """")"),"")</f>
        <v/>
      </c>
    </row>
    <row r="697">
      <c r="A697" s="13"/>
      <c r="B697" s="4">
        <f>IFERROR(__xludf.DUMMYFUNCTION("IFERROR(VALUE(REGEXEXTRACT(A697, ""angle:(\d+)"")), -1)"),-1.0)</f>
        <v>-1</v>
      </c>
      <c r="C697" s="5" t="str">
        <f t="shared" si="1"/>
        <v>-001</v>
      </c>
      <c r="D697" s="5" t="str">
        <f>IFERROR(__xludf.DUMMYFUNCTION("IFERROR(REGEXEXTRACT(A697, ""x:([-+]?[0-9]*\.?[0-9]+)""), """")"),"")</f>
        <v/>
      </c>
      <c r="E697" s="5" t="str">
        <f>IFERROR(__xludf.DUMMYFUNCTION("IFERROR(REGEXEXTRACT(A697, ""y:([-+]?[0-9]*\.?[0-9]+)""), """")"),"")</f>
        <v/>
      </c>
    </row>
    <row r="698">
      <c r="A698" s="13"/>
      <c r="B698" s="4">
        <f>IFERROR(__xludf.DUMMYFUNCTION("IFERROR(VALUE(REGEXEXTRACT(A698, ""angle:(\d+)"")), -1)"),-1.0)</f>
        <v>-1</v>
      </c>
      <c r="C698" s="5" t="str">
        <f t="shared" si="1"/>
        <v>-001</v>
      </c>
      <c r="D698" s="5" t="str">
        <f>IFERROR(__xludf.DUMMYFUNCTION("IFERROR(REGEXEXTRACT(A698, ""x:([-+]?[0-9]*\.?[0-9]+)""), """")"),"")</f>
        <v/>
      </c>
      <c r="E698" s="5" t="str">
        <f>IFERROR(__xludf.DUMMYFUNCTION("IFERROR(REGEXEXTRACT(A698, ""y:([-+]?[0-9]*\.?[0-9]+)""), """")"),"")</f>
        <v/>
      </c>
    </row>
    <row r="699">
      <c r="A699" s="13"/>
      <c r="B699" s="4">
        <f>IFERROR(__xludf.DUMMYFUNCTION("IFERROR(VALUE(REGEXEXTRACT(A699, ""angle:(\d+)"")), -1)"),-1.0)</f>
        <v>-1</v>
      </c>
      <c r="C699" s="5" t="str">
        <f t="shared" si="1"/>
        <v>-001</v>
      </c>
      <c r="D699" s="5" t="str">
        <f>IFERROR(__xludf.DUMMYFUNCTION("IFERROR(REGEXEXTRACT(A699, ""x:([-+]?[0-9]*\.?[0-9]+)""), """")"),"")</f>
        <v/>
      </c>
      <c r="E699" s="5" t="str">
        <f>IFERROR(__xludf.DUMMYFUNCTION("IFERROR(REGEXEXTRACT(A699, ""y:([-+]?[0-9]*\.?[0-9]+)""), """")"),"")</f>
        <v/>
      </c>
    </row>
    <row r="700">
      <c r="A700" s="13"/>
      <c r="B700" s="4">
        <f>IFERROR(__xludf.DUMMYFUNCTION("IFERROR(VALUE(REGEXEXTRACT(A700, ""angle:(\d+)"")), -1)"),-1.0)</f>
        <v>-1</v>
      </c>
      <c r="C700" s="5" t="str">
        <f t="shared" si="1"/>
        <v>-001</v>
      </c>
      <c r="D700" s="5" t="str">
        <f>IFERROR(__xludf.DUMMYFUNCTION("IFERROR(REGEXEXTRACT(A700, ""x:([-+]?[0-9]*\.?[0-9]+)""), """")"),"")</f>
        <v/>
      </c>
      <c r="E700" s="5" t="str">
        <f>IFERROR(__xludf.DUMMYFUNCTION("IFERROR(REGEXEXTRACT(A700, ""y:([-+]?[0-9]*\.?[0-9]+)""), """")"),"")</f>
        <v/>
      </c>
    </row>
    <row r="701">
      <c r="A701" s="13"/>
      <c r="B701" s="4">
        <f>IFERROR(__xludf.DUMMYFUNCTION("IFERROR(VALUE(REGEXEXTRACT(A701, ""angle:(\d+)"")), -1)"),-1.0)</f>
        <v>-1</v>
      </c>
      <c r="C701" s="5" t="str">
        <f t="shared" si="1"/>
        <v>-001</v>
      </c>
      <c r="D701" s="5" t="str">
        <f>IFERROR(__xludf.DUMMYFUNCTION("IFERROR(REGEXEXTRACT(A701, ""x:([-+]?[0-9]*\.?[0-9]+)""), """")"),"")</f>
        <v/>
      </c>
      <c r="E701" s="5" t="str">
        <f>IFERROR(__xludf.DUMMYFUNCTION("IFERROR(REGEXEXTRACT(A701, ""y:([-+]?[0-9]*\.?[0-9]+)""), """")"),"")</f>
        <v/>
      </c>
    </row>
    <row r="702">
      <c r="A702" s="13"/>
      <c r="B702" s="4">
        <f>IFERROR(__xludf.DUMMYFUNCTION("IFERROR(VALUE(REGEXEXTRACT(A702, ""angle:(\d+)"")), -1)"),-1.0)</f>
        <v>-1</v>
      </c>
      <c r="C702" s="5" t="str">
        <f t="shared" si="1"/>
        <v>-001</v>
      </c>
      <c r="D702" s="5" t="str">
        <f>IFERROR(__xludf.DUMMYFUNCTION("IFERROR(REGEXEXTRACT(A702, ""x:([-+]?[0-9]*\.?[0-9]+)""), """")"),"")</f>
        <v/>
      </c>
      <c r="E702" s="5" t="str">
        <f>IFERROR(__xludf.DUMMYFUNCTION("IFERROR(REGEXEXTRACT(A702, ""y:([-+]?[0-9]*\.?[0-9]+)""), """")"),"")</f>
        <v/>
      </c>
    </row>
    <row r="703">
      <c r="A703" s="13"/>
      <c r="B703" s="4">
        <f>IFERROR(__xludf.DUMMYFUNCTION("IFERROR(VALUE(REGEXEXTRACT(A703, ""angle:(\d+)"")), -1)"),-1.0)</f>
        <v>-1</v>
      </c>
      <c r="C703" s="5" t="str">
        <f t="shared" si="1"/>
        <v>-001</v>
      </c>
      <c r="D703" s="5" t="str">
        <f>IFERROR(__xludf.DUMMYFUNCTION("IFERROR(REGEXEXTRACT(A703, ""x:([-+]?[0-9]*\.?[0-9]+)""), """")"),"")</f>
        <v/>
      </c>
      <c r="E703" s="5" t="str">
        <f>IFERROR(__xludf.DUMMYFUNCTION("IFERROR(REGEXEXTRACT(A703, ""y:([-+]?[0-9]*\.?[0-9]+)""), """")"),"")</f>
        <v/>
      </c>
    </row>
    <row r="704">
      <c r="A704" s="13"/>
      <c r="B704" s="4">
        <f>IFERROR(__xludf.DUMMYFUNCTION("IFERROR(VALUE(REGEXEXTRACT(A704, ""angle:(\d+)"")), -1)"),-1.0)</f>
        <v>-1</v>
      </c>
      <c r="C704" s="5" t="str">
        <f t="shared" si="1"/>
        <v>-001</v>
      </c>
      <c r="D704" s="5" t="str">
        <f>IFERROR(__xludf.DUMMYFUNCTION("IFERROR(REGEXEXTRACT(A704, ""x:([-+]?[0-9]*\.?[0-9]+)""), """")"),"")</f>
        <v/>
      </c>
      <c r="E704" s="5" t="str">
        <f>IFERROR(__xludf.DUMMYFUNCTION("IFERROR(REGEXEXTRACT(A704, ""y:([-+]?[0-9]*\.?[0-9]+)""), """")"),"")</f>
        <v/>
      </c>
    </row>
    <row r="705">
      <c r="A705" s="13"/>
      <c r="B705" s="4">
        <f>IFERROR(__xludf.DUMMYFUNCTION("IFERROR(VALUE(REGEXEXTRACT(A705, ""angle:(\d+)"")), -1)"),-1.0)</f>
        <v>-1</v>
      </c>
      <c r="C705" s="5" t="str">
        <f t="shared" si="1"/>
        <v>-001</v>
      </c>
      <c r="D705" s="5" t="str">
        <f>IFERROR(__xludf.DUMMYFUNCTION("IFERROR(REGEXEXTRACT(A705, ""x:([-+]?[0-9]*\.?[0-9]+)""), """")"),"")</f>
        <v/>
      </c>
      <c r="E705" s="5" t="str">
        <f>IFERROR(__xludf.DUMMYFUNCTION("IFERROR(REGEXEXTRACT(A705, ""y:([-+]?[0-9]*\.?[0-9]+)""), """")"),"")</f>
        <v/>
      </c>
    </row>
    <row r="706">
      <c r="A706" s="13"/>
      <c r="B706" s="4">
        <f>IFERROR(__xludf.DUMMYFUNCTION("IFERROR(VALUE(REGEXEXTRACT(A706, ""angle:(\d+)"")), -1)"),-1.0)</f>
        <v>-1</v>
      </c>
      <c r="C706" s="5" t="str">
        <f t="shared" si="1"/>
        <v>-001</v>
      </c>
      <c r="D706" s="5" t="str">
        <f>IFERROR(__xludf.DUMMYFUNCTION("IFERROR(REGEXEXTRACT(A706, ""x:([-+]?[0-9]*\.?[0-9]+)""), """")"),"")</f>
        <v/>
      </c>
      <c r="E706" s="5" t="str">
        <f>IFERROR(__xludf.DUMMYFUNCTION("IFERROR(REGEXEXTRACT(A706, ""y:([-+]?[0-9]*\.?[0-9]+)""), """")"),"")</f>
        <v/>
      </c>
    </row>
    <row r="707">
      <c r="A707" s="13"/>
      <c r="B707" s="4">
        <f>IFERROR(__xludf.DUMMYFUNCTION("IFERROR(VALUE(REGEXEXTRACT(A707, ""angle:(\d+)"")), -1)"),-1.0)</f>
        <v>-1</v>
      </c>
      <c r="C707" s="5" t="str">
        <f t="shared" si="1"/>
        <v>-001</v>
      </c>
      <c r="D707" s="5" t="str">
        <f>IFERROR(__xludf.DUMMYFUNCTION("IFERROR(REGEXEXTRACT(A707, ""x:([-+]?[0-9]*\.?[0-9]+)""), """")"),"")</f>
        <v/>
      </c>
      <c r="E707" s="5" t="str">
        <f>IFERROR(__xludf.DUMMYFUNCTION("IFERROR(REGEXEXTRACT(A707, ""y:([-+]?[0-9]*\.?[0-9]+)""), """")"),"")</f>
        <v/>
      </c>
    </row>
    <row r="708">
      <c r="A708" s="13"/>
      <c r="B708" s="4">
        <f>IFERROR(__xludf.DUMMYFUNCTION("IFERROR(VALUE(REGEXEXTRACT(A708, ""angle:(\d+)"")), -1)"),-1.0)</f>
        <v>-1</v>
      </c>
      <c r="C708" s="5" t="str">
        <f t="shared" si="1"/>
        <v>-001</v>
      </c>
      <c r="D708" s="5" t="str">
        <f>IFERROR(__xludf.DUMMYFUNCTION("IFERROR(REGEXEXTRACT(A708, ""x:([-+]?[0-9]*\.?[0-9]+)""), """")"),"")</f>
        <v/>
      </c>
      <c r="E708" s="5" t="str">
        <f>IFERROR(__xludf.DUMMYFUNCTION("IFERROR(REGEXEXTRACT(A708, ""y:([-+]?[0-9]*\.?[0-9]+)""), """")"),"")</f>
        <v/>
      </c>
    </row>
    <row r="709">
      <c r="A709" s="13"/>
      <c r="B709" s="4">
        <f>IFERROR(__xludf.DUMMYFUNCTION("IFERROR(VALUE(REGEXEXTRACT(A709, ""angle:(\d+)"")), -1)"),-1.0)</f>
        <v>-1</v>
      </c>
      <c r="C709" s="5" t="str">
        <f t="shared" si="1"/>
        <v>-001</v>
      </c>
      <c r="D709" s="5" t="str">
        <f>IFERROR(__xludf.DUMMYFUNCTION("IFERROR(REGEXEXTRACT(A709, ""x:([-+]?[0-9]*\.?[0-9]+)""), """")"),"")</f>
        <v/>
      </c>
      <c r="E709" s="5" t="str">
        <f>IFERROR(__xludf.DUMMYFUNCTION("IFERROR(REGEXEXTRACT(A709, ""y:([-+]?[0-9]*\.?[0-9]+)""), """")"),"")</f>
        <v/>
      </c>
    </row>
    <row r="710">
      <c r="A710" s="13"/>
      <c r="B710" s="4">
        <f>IFERROR(__xludf.DUMMYFUNCTION("IFERROR(VALUE(REGEXEXTRACT(A710, ""angle:(\d+)"")), -1)"),-1.0)</f>
        <v>-1</v>
      </c>
      <c r="C710" s="5" t="str">
        <f t="shared" si="1"/>
        <v>-001</v>
      </c>
      <c r="D710" s="5" t="str">
        <f>IFERROR(__xludf.DUMMYFUNCTION("IFERROR(REGEXEXTRACT(A710, ""x:([-+]?[0-9]*\.?[0-9]+)""), """")"),"")</f>
        <v/>
      </c>
      <c r="E710" s="5" t="str">
        <f>IFERROR(__xludf.DUMMYFUNCTION("IFERROR(REGEXEXTRACT(A710, ""y:([-+]?[0-9]*\.?[0-9]+)""), """")"),"")</f>
        <v/>
      </c>
    </row>
    <row r="711">
      <c r="A711" s="13"/>
      <c r="B711" s="4">
        <f>IFERROR(__xludf.DUMMYFUNCTION("IFERROR(VALUE(REGEXEXTRACT(A711, ""angle:(\d+)"")), -1)"),-1.0)</f>
        <v>-1</v>
      </c>
      <c r="C711" s="5" t="str">
        <f t="shared" si="1"/>
        <v>-001</v>
      </c>
      <c r="D711" s="5" t="str">
        <f>IFERROR(__xludf.DUMMYFUNCTION("IFERROR(REGEXEXTRACT(A711, ""x:([-+]?[0-9]*\.?[0-9]+)""), """")"),"")</f>
        <v/>
      </c>
      <c r="E711" s="5" t="str">
        <f>IFERROR(__xludf.DUMMYFUNCTION("IFERROR(REGEXEXTRACT(A711, ""y:([-+]?[0-9]*\.?[0-9]+)""), """")"),"")</f>
        <v/>
      </c>
    </row>
    <row r="712">
      <c r="A712" s="13"/>
      <c r="B712" s="4">
        <f>IFERROR(__xludf.DUMMYFUNCTION("IFERROR(VALUE(REGEXEXTRACT(A712, ""angle:(\d+)"")), -1)"),-1.0)</f>
        <v>-1</v>
      </c>
      <c r="C712" s="5" t="str">
        <f t="shared" si="1"/>
        <v>-001</v>
      </c>
      <c r="D712" s="5" t="str">
        <f>IFERROR(__xludf.DUMMYFUNCTION("IFERROR(REGEXEXTRACT(A712, ""x:([-+]?[0-9]*\.?[0-9]+)""), """")"),"")</f>
        <v/>
      </c>
      <c r="E712" s="5" t="str">
        <f>IFERROR(__xludf.DUMMYFUNCTION("IFERROR(REGEXEXTRACT(A712, ""y:([-+]?[0-9]*\.?[0-9]+)""), """")"),"")</f>
        <v/>
      </c>
    </row>
    <row r="713">
      <c r="A713" s="13"/>
      <c r="B713" s="4">
        <f>IFERROR(__xludf.DUMMYFUNCTION("IFERROR(VALUE(REGEXEXTRACT(A713, ""angle:(\d+)"")), -1)"),-1.0)</f>
        <v>-1</v>
      </c>
      <c r="C713" s="5" t="str">
        <f t="shared" si="1"/>
        <v>-001</v>
      </c>
      <c r="D713" s="5" t="str">
        <f>IFERROR(__xludf.DUMMYFUNCTION("IFERROR(REGEXEXTRACT(A713, ""x:([-+]?[0-9]*\.?[0-9]+)""), """")"),"")</f>
        <v/>
      </c>
      <c r="E713" s="5" t="str">
        <f>IFERROR(__xludf.DUMMYFUNCTION("IFERROR(REGEXEXTRACT(A713, ""y:([-+]?[0-9]*\.?[0-9]+)""), """")"),"")</f>
        <v/>
      </c>
    </row>
    <row r="714">
      <c r="A714" s="13"/>
      <c r="B714" s="4">
        <f>IFERROR(__xludf.DUMMYFUNCTION("IFERROR(VALUE(REGEXEXTRACT(A714, ""angle:(\d+)"")), -1)"),-1.0)</f>
        <v>-1</v>
      </c>
      <c r="C714" s="5" t="str">
        <f t="shared" si="1"/>
        <v>-001</v>
      </c>
      <c r="D714" s="5" t="str">
        <f>IFERROR(__xludf.DUMMYFUNCTION("IFERROR(REGEXEXTRACT(A714, ""x:([-+]?[0-9]*\.?[0-9]+)""), """")"),"")</f>
        <v/>
      </c>
      <c r="E714" s="5" t="str">
        <f>IFERROR(__xludf.DUMMYFUNCTION("IFERROR(REGEXEXTRACT(A714, ""y:([-+]?[0-9]*\.?[0-9]+)""), """")"),"")</f>
        <v/>
      </c>
    </row>
    <row r="715">
      <c r="A715" s="13"/>
      <c r="B715" s="4">
        <f>IFERROR(__xludf.DUMMYFUNCTION("IFERROR(VALUE(REGEXEXTRACT(A715, ""angle:(\d+)"")), -1)"),-1.0)</f>
        <v>-1</v>
      </c>
      <c r="C715" s="5" t="str">
        <f t="shared" si="1"/>
        <v>-001</v>
      </c>
      <c r="D715" s="5" t="str">
        <f>IFERROR(__xludf.DUMMYFUNCTION("IFERROR(REGEXEXTRACT(A715, ""x:([-+]?[0-9]*\.?[0-9]+)""), """")"),"")</f>
        <v/>
      </c>
      <c r="E715" s="5" t="str">
        <f>IFERROR(__xludf.DUMMYFUNCTION("IFERROR(REGEXEXTRACT(A715, ""y:([-+]?[0-9]*\.?[0-9]+)""), """")"),"")</f>
        <v/>
      </c>
    </row>
    <row r="716">
      <c r="A716" s="13"/>
      <c r="B716" s="4">
        <f>IFERROR(__xludf.DUMMYFUNCTION("IFERROR(VALUE(REGEXEXTRACT(A716, ""angle:(\d+)"")), -1)"),-1.0)</f>
        <v>-1</v>
      </c>
      <c r="C716" s="5" t="str">
        <f t="shared" si="1"/>
        <v>-001</v>
      </c>
      <c r="D716" s="5" t="str">
        <f>IFERROR(__xludf.DUMMYFUNCTION("IFERROR(REGEXEXTRACT(A716, ""x:([-+]?[0-9]*\.?[0-9]+)""), """")"),"")</f>
        <v/>
      </c>
      <c r="E716" s="5" t="str">
        <f>IFERROR(__xludf.DUMMYFUNCTION("IFERROR(REGEXEXTRACT(A716, ""y:([-+]?[0-9]*\.?[0-9]+)""), """")"),"")</f>
        <v/>
      </c>
    </row>
    <row r="717">
      <c r="A717" s="13"/>
      <c r="B717" s="4">
        <f>IFERROR(__xludf.DUMMYFUNCTION("IFERROR(VALUE(REGEXEXTRACT(A717, ""angle:(\d+)"")), -1)"),-1.0)</f>
        <v>-1</v>
      </c>
      <c r="C717" s="5" t="str">
        <f t="shared" si="1"/>
        <v>-001</v>
      </c>
      <c r="D717" s="5" t="str">
        <f>IFERROR(__xludf.DUMMYFUNCTION("IFERROR(REGEXEXTRACT(A717, ""x:([-+]?[0-9]*\.?[0-9]+)""), """")"),"")</f>
        <v/>
      </c>
      <c r="E717" s="5" t="str">
        <f>IFERROR(__xludf.DUMMYFUNCTION("IFERROR(REGEXEXTRACT(A717, ""y:([-+]?[0-9]*\.?[0-9]+)""), """")"),"")</f>
        <v/>
      </c>
    </row>
    <row r="718">
      <c r="A718" s="13"/>
      <c r="B718" s="4">
        <f>IFERROR(__xludf.DUMMYFUNCTION("IFERROR(VALUE(REGEXEXTRACT(A718, ""angle:(\d+)"")), -1)"),-1.0)</f>
        <v>-1</v>
      </c>
      <c r="C718" s="5" t="str">
        <f t="shared" si="1"/>
        <v>-001</v>
      </c>
      <c r="D718" s="5" t="str">
        <f>IFERROR(__xludf.DUMMYFUNCTION("IFERROR(REGEXEXTRACT(A718, ""x:([-+]?[0-9]*\.?[0-9]+)""), """")"),"")</f>
        <v/>
      </c>
      <c r="E718" s="5" t="str">
        <f>IFERROR(__xludf.DUMMYFUNCTION("IFERROR(REGEXEXTRACT(A718, ""y:([-+]?[0-9]*\.?[0-9]+)""), """")"),"")</f>
        <v/>
      </c>
    </row>
    <row r="719">
      <c r="A719" s="13"/>
      <c r="B719" s="4">
        <f>IFERROR(__xludf.DUMMYFUNCTION("IFERROR(VALUE(REGEXEXTRACT(A719, ""angle:(\d+)"")), -1)"),-1.0)</f>
        <v>-1</v>
      </c>
      <c r="C719" s="5" t="str">
        <f t="shared" si="1"/>
        <v>-001</v>
      </c>
      <c r="D719" s="5" t="str">
        <f>IFERROR(__xludf.DUMMYFUNCTION("IFERROR(REGEXEXTRACT(A719, ""x:([-+]?[0-9]*\.?[0-9]+)""), """")"),"")</f>
        <v/>
      </c>
      <c r="E719" s="5" t="str">
        <f>IFERROR(__xludf.DUMMYFUNCTION("IFERROR(REGEXEXTRACT(A719, ""y:([-+]?[0-9]*\.?[0-9]+)""), """")"),"")</f>
        <v/>
      </c>
    </row>
    <row r="720">
      <c r="A720" s="13"/>
      <c r="B720" s="4">
        <f>IFERROR(__xludf.DUMMYFUNCTION("IFERROR(VALUE(REGEXEXTRACT(A720, ""angle:(\d+)"")), -1)"),-1.0)</f>
        <v>-1</v>
      </c>
      <c r="C720" s="5" t="str">
        <f t="shared" si="1"/>
        <v>-001</v>
      </c>
      <c r="D720" s="5" t="str">
        <f>IFERROR(__xludf.DUMMYFUNCTION("IFERROR(REGEXEXTRACT(A720, ""x:([-+]?[0-9]*\.?[0-9]+)""), """")"),"")</f>
        <v/>
      </c>
      <c r="E720" s="5" t="str">
        <f>IFERROR(__xludf.DUMMYFUNCTION("IFERROR(REGEXEXTRACT(A720, ""y:([-+]?[0-9]*\.?[0-9]+)""), """")"),"")</f>
        <v/>
      </c>
    </row>
    <row r="721">
      <c r="A721" s="13"/>
      <c r="B721" s="4">
        <f>IFERROR(__xludf.DUMMYFUNCTION("IFERROR(VALUE(REGEXEXTRACT(A721, ""angle:(\d+)"")), -1)"),-1.0)</f>
        <v>-1</v>
      </c>
      <c r="C721" s="5" t="str">
        <f t="shared" si="1"/>
        <v>-001</v>
      </c>
      <c r="D721" s="5" t="str">
        <f>IFERROR(__xludf.DUMMYFUNCTION("IFERROR(REGEXEXTRACT(A721, ""x:([-+]?[0-9]*\.?[0-9]+)""), """")"),"")</f>
        <v/>
      </c>
      <c r="E721" s="5" t="str">
        <f>IFERROR(__xludf.DUMMYFUNCTION("IFERROR(REGEXEXTRACT(A721, ""y:([-+]?[0-9]*\.?[0-9]+)""), """")"),"")</f>
        <v/>
      </c>
    </row>
    <row r="722">
      <c r="A722" s="13"/>
      <c r="B722" s="4">
        <f>IFERROR(__xludf.DUMMYFUNCTION("IFERROR(VALUE(REGEXEXTRACT(A722, ""angle:(\d+)"")), -1)"),-1.0)</f>
        <v>-1</v>
      </c>
      <c r="C722" s="5" t="str">
        <f t="shared" si="1"/>
        <v>-001</v>
      </c>
      <c r="D722" s="5" t="str">
        <f>IFERROR(__xludf.DUMMYFUNCTION("IFERROR(REGEXEXTRACT(A722, ""x:([-+]?[0-9]*\.?[0-9]+)""), """")"),"")</f>
        <v/>
      </c>
      <c r="E722" s="5" t="str">
        <f>IFERROR(__xludf.DUMMYFUNCTION("IFERROR(REGEXEXTRACT(A722, ""y:([-+]?[0-9]*\.?[0-9]+)""), """")"),"")</f>
        <v/>
      </c>
    </row>
    <row r="723">
      <c r="A723" s="13"/>
      <c r="B723" s="4">
        <f>IFERROR(__xludf.DUMMYFUNCTION("IFERROR(VALUE(REGEXEXTRACT(A723, ""angle:(\d+)"")), -1)"),-1.0)</f>
        <v>-1</v>
      </c>
      <c r="C723" s="5" t="str">
        <f t="shared" si="1"/>
        <v>-001</v>
      </c>
      <c r="D723" s="5" t="str">
        <f>IFERROR(__xludf.DUMMYFUNCTION("IFERROR(REGEXEXTRACT(A723, ""x:([-+]?[0-9]*\.?[0-9]+)""), """")"),"")</f>
        <v/>
      </c>
      <c r="E723" s="5" t="str">
        <f>IFERROR(__xludf.DUMMYFUNCTION("IFERROR(REGEXEXTRACT(A723, ""y:([-+]?[0-9]*\.?[0-9]+)""), """")"),"")</f>
        <v/>
      </c>
    </row>
    <row r="724">
      <c r="A724" s="13"/>
      <c r="B724" s="4">
        <f>IFERROR(__xludf.DUMMYFUNCTION("IFERROR(VALUE(REGEXEXTRACT(A724, ""angle:(\d+)"")), -1)"),-1.0)</f>
        <v>-1</v>
      </c>
      <c r="C724" s="5" t="str">
        <f t="shared" si="1"/>
        <v>-001</v>
      </c>
      <c r="D724" s="5" t="str">
        <f>IFERROR(__xludf.DUMMYFUNCTION("IFERROR(REGEXEXTRACT(A724, ""x:([-+]?[0-9]*\.?[0-9]+)""), """")"),"")</f>
        <v/>
      </c>
      <c r="E724" s="5" t="str">
        <f>IFERROR(__xludf.DUMMYFUNCTION("IFERROR(REGEXEXTRACT(A724, ""y:([-+]?[0-9]*\.?[0-9]+)""), """")"),"")</f>
        <v/>
      </c>
    </row>
    <row r="725">
      <c r="A725" s="13"/>
      <c r="B725" s="4">
        <f>IFERROR(__xludf.DUMMYFUNCTION("IFERROR(VALUE(REGEXEXTRACT(A725, ""angle:(\d+)"")), -1)"),-1.0)</f>
        <v>-1</v>
      </c>
      <c r="C725" s="5" t="str">
        <f t="shared" si="1"/>
        <v>-001</v>
      </c>
      <c r="D725" s="5" t="str">
        <f>IFERROR(__xludf.DUMMYFUNCTION("IFERROR(REGEXEXTRACT(A725, ""x:([-+]?[0-9]*\.?[0-9]+)""), """")"),"")</f>
        <v/>
      </c>
      <c r="E725" s="5" t="str">
        <f>IFERROR(__xludf.DUMMYFUNCTION("IFERROR(REGEXEXTRACT(A725, ""y:([-+]?[0-9]*\.?[0-9]+)""), """")"),"")</f>
        <v/>
      </c>
    </row>
    <row r="726">
      <c r="A726" s="13"/>
      <c r="B726" s="4">
        <f>IFERROR(__xludf.DUMMYFUNCTION("IFERROR(VALUE(REGEXEXTRACT(A726, ""angle:(\d+)"")), -1)"),-1.0)</f>
        <v>-1</v>
      </c>
      <c r="C726" s="5" t="str">
        <f t="shared" si="1"/>
        <v>-001</v>
      </c>
      <c r="D726" s="5" t="str">
        <f>IFERROR(__xludf.DUMMYFUNCTION("IFERROR(REGEXEXTRACT(A726, ""x:([-+]?[0-9]*\.?[0-9]+)""), """")"),"")</f>
        <v/>
      </c>
      <c r="E726" s="5" t="str">
        <f>IFERROR(__xludf.DUMMYFUNCTION("IFERROR(REGEXEXTRACT(A726, ""y:([-+]?[0-9]*\.?[0-9]+)""), """")"),"")</f>
        <v/>
      </c>
    </row>
    <row r="727">
      <c r="A727" s="13"/>
      <c r="B727" s="4">
        <f>IFERROR(__xludf.DUMMYFUNCTION("IFERROR(VALUE(REGEXEXTRACT(A727, ""angle:(\d+)"")), -1)"),-1.0)</f>
        <v>-1</v>
      </c>
      <c r="C727" s="5" t="str">
        <f t="shared" si="1"/>
        <v>-001</v>
      </c>
      <c r="D727" s="5" t="str">
        <f>IFERROR(__xludf.DUMMYFUNCTION("IFERROR(REGEXEXTRACT(A727, ""x:([-+]?[0-9]*\.?[0-9]+)""), """")"),"")</f>
        <v/>
      </c>
      <c r="E727" s="5" t="str">
        <f>IFERROR(__xludf.DUMMYFUNCTION("IFERROR(REGEXEXTRACT(A727, ""y:([-+]?[0-9]*\.?[0-9]+)""), """")"),"")</f>
        <v/>
      </c>
    </row>
    <row r="728">
      <c r="A728" s="13"/>
      <c r="B728" s="4">
        <f>IFERROR(__xludf.DUMMYFUNCTION("IFERROR(VALUE(REGEXEXTRACT(A728, ""angle:(\d+)"")), -1)"),-1.0)</f>
        <v>-1</v>
      </c>
      <c r="C728" s="5" t="str">
        <f t="shared" si="1"/>
        <v>-001</v>
      </c>
      <c r="D728" s="5" t="str">
        <f>IFERROR(__xludf.DUMMYFUNCTION("IFERROR(REGEXEXTRACT(A728, ""x:([-+]?[0-9]*\.?[0-9]+)""), """")"),"")</f>
        <v/>
      </c>
      <c r="E728" s="5" t="str">
        <f>IFERROR(__xludf.DUMMYFUNCTION("IFERROR(REGEXEXTRACT(A728, ""y:([-+]?[0-9]*\.?[0-9]+)""), """")"),"")</f>
        <v/>
      </c>
    </row>
    <row r="729">
      <c r="A729" s="13"/>
      <c r="B729" s="4">
        <f>IFERROR(__xludf.DUMMYFUNCTION("IFERROR(VALUE(REGEXEXTRACT(A729, ""angle:(\d+)"")), -1)"),-1.0)</f>
        <v>-1</v>
      </c>
      <c r="C729" s="5" t="str">
        <f t="shared" si="1"/>
        <v>-001</v>
      </c>
      <c r="D729" s="5" t="str">
        <f>IFERROR(__xludf.DUMMYFUNCTION("IFERROR(REGEXEXTRACT(A729, ""x:([-+]?[0-9]*\.?[0-9]+)""), """")"),"")</f>
        <v/>
      </c>
      <c r="E729" s="5" t="str">
        <f>IFERROR(__xludf.DUMMYFUNCTION("IFERROR(REGEXEXTRACT(A729, ""y:([-+]?[0-9]*\.?[0-9]+)""), """")"),"")</f>
        <v/>
      </c>
    </row>
    <row r="730">
      <c r="A730" s="13"/>
      <c r="B730" s="4">
        <f>IFERROR(__xludf.DUMMYFUNCTION("IFERROR(VALUE(REGEXEXTRACT(A730, ""angle:(\d+)"")), -1)"),-1.0)</f>
        <v>-1</v>
      </c>
      <c r="C730" s="5" t="str">
        <f t="shared" si="1"/>
        <v>-001</v>
      </c>
      <c r="D730" s="5" t="str">
        <f>IFERROR(__xludf.DUMMYFUNCTION("IFERROR(REGEXEXTRACT(A730, ""x:([-+]?[0-9]*\.?[0-9]+)""), """")"),"")</f>
        <v/>
      </c>
      <c r="E730" s="5" t="str">
        <f>IFERROR(__xludf.DUMMYFUNCTION("IFERROR(REGEXEXTRACT(A730, ""y:([-+]?[0-9]*\.?[0-9]+)""), """")"),"")</f>
        <v/>
      </c>
    </row>
    <row r="731">
      <c r="A731" s="13"/>
      <c r="B731" s="4">
        <f>IFERROR(__xludf.DUMMYFUNCTION("IFERROR(VALUE(REGEXEXTRACT(A731, ""angle:(\d+)"")), -1)"),-1.0)</f>
        <v>-1</v>
      </c>
      <c r="C731" s="5" t="str">
        <f t="shared" si="1"/>
        <v>-001</v>
      </c>
      <c r="D731" s="5" t="str">
        <f>IFERROR(__xludf.DUMMYFUNCTION("IFERROR(REGEXEXTRACT(A731, ""x:([-+]?[0-9]*\.?[0-9]+)""), """")"),"")</f>
        <v/>
      </c>
      <c r="E731" s="5" t="str">
        <f>IFERROR(__xludf.DUMMYFUNCTION("IFERROR(REGEXEXTRACT(A731, ""y:([-+]?[0-9]*\.?[0-9]+)""), """")"),"")</f>
        <v/>
      </c>
    </row>
    <row r="732">
      <c r="A732" s="13"/>
      <c r="B732" s="4">
        <f>IFERROR(__xludf.DUMMYFUNCTION("IFERROR(VALUE(REGEXEXTRACT(A732, ""angle:(\d+)"")), -1)"),-1.0)</f>
        <v>-1</v>
      </c>
      <c r="C732" s="5" t="str">
        <f t="shared" si="1"/>
        <v>-001</v>
      </c>
      <c r="D732" s="5" t="str">
        <f>IFERROR(__xludf.DUMMYFUNCTION("IFERROR(REGEXEXTRACT(A732, ""x:([-+]?[0-9]*\.?[0-9]+)""), """")"),"")</f>
        <v/>
      </c>
      <c r="E732" s="5" t="str">
        <f>IFERROR(__xludf.DUMMYFUNCTION("IFERROR(REGEXEXTRACT(A732, ""y:([-+]?[0-9]*\.?[0-9]+)""), """")"),"")</f>
        <v/>
      </c>
    </row>
    <row r="733">
      <c r="A733" s="13"/>
      <c r="B733" s="4">
        <f>IFERROR(__xludf.DUMMYFUNCTION("IFERROR(VALUE(REGEXEXTRACT(A733, ""angle:(\d+)"")), -1)"),-1.0)</f>
        <v>-1</v>
      </c>
      <c r="C733" s="5" t="str">
        <f t="shared" si="1"/>
        <v>-001</v>
      </c>
      <c r="D733" s="5" t="str">
        <f>IFERROR(__xludf.DUMMYFUNCTION("IFERROR(REGEXEXTRACT(A733, ""x:([-+]?[0-9]*\.?[0-9]+)""), """")"),"")</f>
        <v/>
      </c>
      <c r="E733" s="5" t="str">
        <f>IFERROR(__xludf.DUMMYFUNCTION("IFERROR(REGEXEXTRACT(A733, ""y:([-+]?[0-9]*\.?[0-9]+)""), """")"),"")</f>
        <v/>
      </c>
    </row>
    <row r="734">
      <c r="A734" s="13"/>
      <c r="B734" s="4">
        <f>IFERROR(__xludf.DUMMYFUNCTION("IFERROR(VALUE(REGEXEXTRACT(A734, ""angle:(\d+)"")), -1)"),-1.0)</f>
        <v>-1</v>
      </c>
      <c r="C734" s="5" t="str">
        <f t="shared" si="1"/>
        <v>-001</v>
      </c>
      <c r="D734" s="5" t="str">
        <f>IFERROR(__xludf.DUMMYFUNCTION("IFERROR(REGEXEXTRACT(A734, ""x:([-+]?[0-9]*\.?[0-9]+)""), """")"),"")</f>
        <v/>
      </c>
      <c r="E734" s="5" t="str">
        <f>IFERROR(__xludf.DUMMYFUNCTION("IFERROR(REGEXEXTRACT(A734, ""y:([-+]?[0-9]*\.?[0-9]+)""), """")"),"")</f>
        <v/>
      </c>
    </row>
    <row r="735">
      <c r="A735" s="13"/>
      <c r="B735" s="4">
        <f>IFERROR(__xludf.DUMMYFUNCTION("IFERROR(VALUE(REGEXEXTRACT(A735, ""angle:(\d+)"")), -1)"),-1.0)</f>
        <v>-1</v>
      </c>
      <c r="C735" s="5" t="str">
        <f t="shared" si="1"/>
        <v>-001</v>
      </c>
      <c r="D735" s="5" t="str">
        <f>IFERROR(__xludf.DUMMYFUNCTION("IFERROR(REGEXEXTRACT(A735, ""x:([-+]?[0-9]*\.?[0-9]+)""), """")"),"")</f>
        <v/>
      </c>
      <c r="E735" s="5" t="str">
        <f>IFERROR(__xludf.DUMMYFUNCTION("IFERROR(REGEXEXTRACT(A735, ""y:([-+]?[0-9]*\.?[0-9]+)""), """")"),"")</f>
        <v/>
      </c>
    </row>
    <row r="736">
      <c r="A736" s="13"/>
      <c r="B736" s="4">
        <f>IFERROR(__xludf.DUMMYFUNCTION("IFERROR(VALUE(REGEXEXTRACT(A736, ""angle:(\d+)"")), -1)"),-1.0)</f>
        <v>-1</v>
      </c>
      <c r="C736" s="5" t="str">
        <f t="shared" si="1"/>
        <v>-001</v>
      </c>
      <c r="D736" s="5" t="str">
        <f>IFERROR(__xludf.DUMMYFUNCTION("IFERROR(REGEXEXTRACT(A736, ""x:([-+]?[0-9]*\.?[0-9]+)""), """")"),"")</f>
        <v/>
      </c>
      <c r="E736" s="5" t="str">
        <f>IFERROR(__xludf.DUMMYFUNCTION("IFERROR(REGEXEXTRACT(A736, ""y:([-+]?[0-9]*\.?[0-9]+)""), """")"),"")</f>
        <v/>
      </c>
    </row>
    <row r="737">
      <c r="A737" s="13"/>
      <c r="B737" s="4">
        <f>IFERROR(__xludf.DUMMYFUNCTION("IFERROR(VALUE(REGEXEXTRACT(A737, ""angle:(\d+)"")), -1)"),-1.0)</f>
        <v>-1</v>
      </c>
      <c r="C737" s="5" t="str">
        <f t="shared" si="1"/>
        <v>-001</v>
      </c>
      <c r="D737" s="5" t="str">
        <f>IFERROR(__xludf.DUMMYFUNCTION("IFERROR(REGEXEXTRACT(A737, ""x:([-+]?[0-9]*\.?[0-9]+)""), """")"),"")</f>
        <v/>
      </c>
      <c r="E737" s="5" t="str">
        <f>IFERROR(__xludf.DUMMYFUNCTION("IFERROR(REGEXEXTRACT(A737, ""y:([-+]?[0-9]*\.?[0-9]+)""), """")"),"")</f>
        <v/>
      </c>
    </row>
    <row r="738">
      <c r="A738" s="13"/>
      <c r="B738" s="4">
        <f>IFERROR(__xludf.DUMMYFUNCTION("IFERROR(VALUE(REGEXEXTRACT(A738, ""angle:(\d+)"")), -1)"),-1.0)</f>
        <v>-1</v>
      </c>
      <c r="C738" s="5" t="str">
        <f t="shared" si="1"/>
        <v>-001</v>
      </c>
      <c r="D738" s="5" t="str">
        <f>IFERROR(__xludf.DUMMYFUNCTION("IFERROR(REGEXEXTRACT(A738, ""x:([-+]?[0-9]*\.?[0-9]+)""), """")"),"")</f>
        <v/>
      </c>
      <c r="E738" s="5" t="str">
        <f>IFERROR(__xludf.DUMMYFUNCTION("IFERROR(REGEXEXTRACT(A738, ""y:([-+]?[0-9]*\.?[0-9]+)""), """")"),"")</f>
        <v/>
      </c>
    </row>
    <row r="739">
      <c r="A739" s="13"/>
      <c r="B739" s="4">
        <f>IFERROR(__xludf.DUMMYFUNCTION("IFERROR(VALUE(REGEXEXTRACT(A739, ""angle:(\d+)"")), -1)"),-1.0)</f>
        <v>-1</v>
      </c>
      <c r="C739" s="5" t="str">
        <f t="shared" si="1"/>
        <v>-001</v>
      </c>
      <c r="D739" s="5" t="str">
        <f>IFERROR(__xludf.DUMMYFUNCTION("IFERROR(REGEXEXTRACT(A739, ""x:([-+]?[0-9]*\.?[0-9]+)""), """")"),"")</f>
        <v/>
      </c>
      <c r="E739" s="5" t="str">
        <f>IFERROR(__xludf.DUMMYFUNCTION("IFERROR(REGEXEXTRACT(A739, ""y:([-+]?[0-9]*\.?[0-9]+)""), """")"),"")</f>
        <v/>
      </c>
    </row>
    <row r="740">
      <c r="A740" s="13"/>
      <c r="B740" s="4">
        <f>IFERROR(__xludf.DUMMYFUNCTION("IFERROR(VALUE(REGEXEXTRACT(A740, ""angle:(\d+)"")), -1)"),-1.0)</f>
        <v>-1</v>
      </c>
      <c r="C740" s="5" t="str">
        <f t="shared" si="1"/>
        <v>-001</v>
      </c>
      <c r="D740" s="5" t="str">
        <f>IFERROR(__xludf.DUMMYFUNCTION("IFERROR(REGEXEXTRACT(A740, ""x:([-+]?[0-9]*\.?[0-9]+)""), """")"),"")</f>
        <v/>
      </c>
      <c r="E740" s="5" t="str">
        <f>IFERROR(__xludf.DUMMYFUNCTION("IFERROR(REGEXEXTRACT(A740, ""y:([-+]?[0-9]*\.?[0-9]+)""), """")"),"")</f>
        <v/>
      </c>
    </row>
    <row r="741">
      <c r="A741" s="13"/>
      <c r="B741" s="4">
        <f>IFERROR(__xludf.DUMMYFUNCTION("IFERROR(VALUE(REGEXEXTRACT(A741, ""angle:(\d+)"")), -1)"),-1.0)</f>
        <v>-1</v>
      </c>
      <c r="C741" s="5" t="str">
        <f t="shared" si="1"/>
        <v>-001</v>
      </c>
      <c r="D741" s="5" t="str">
        <f>IFERROR(__xludf.DUMMYFUNCTION("IFERROR(REGEXEXTRACT(A741, ""x:([-+]?[0-9]*\.?[0-9]+)""), """")"),"")</f>
        <v/>
      </c>
      <c r="E741" s="5" t="str">
        <f>IFERROR(__xludf.DUMMYFUNCTION("IFERROR(REGEXEXTRACT(A741, ""y:([-+]?[0-9]*\.?[0-9]+)""), """")"),"")</f>
        <v/>
      </c>
    </row>
    <row r="742">
      <c r="A742" s="13"/>
      <c r="B742" s="4">
        <f>IFERROR(__xludf.DUMMYFUNCTION("IFERROR(VALUE(REGEXEXTRACT(A742, ""angle:(\d+)"")), -1)"),-1.0)</f>
        <v>-1</v>
      </c>
      <c r="C742" s="5" t="str">
        <f t="shared" si="1"/>
        <v>-001</v>
      </c>
      <c r="D742" s="5" t="str">
        <f>IFERROR(__xludf.DUMMYFUNCTION("IFERROR(REGEXEXTRACT(A742, ""x:([-+]?[0-9]*\.?[0-9]+)""), """")"),"")</f>
        <v/>
      </c>
      <c r="E742" s="5" t="str">
        <f>IFERROR(__xludf.DUMMYFUNCTION("IFERROR(REGEXEXTRACT(A742, ""y:([-+]?[0-9]*\.?[0-9]+)""), """")"),"")</f>
        <v/>
      </c>
    </row>
    <row r="743">
      <c r="A743" s="13"/>
      <c r="B743" s="4">
        <f>IFERROR(__xludf.DUMMYFUNCTION("IFERROR(VALUE(REGEXEXTRACT(A743, ""angle:(\d+)"")), -1)"),-1.0)</f>
        <v>-1</v>
      </c>
      <c r="C743" s="5" t="str">
        <f t="shared" si="1"/>
        <v>-001</v>
      </c>
      <c r="D743" s="5" t="str">
        <f>IFERROR(__xludf.DUMMYFUNCTION("IFERROR(REGEXEXTRACT(A743, ""x:([-+]?[0-9]*\.?[0-9]+)""), """")"),"")</f>
        <v/>
      </c>
      <c r="E743" s="5" t="str">
        <f>IFERROR(__xludf.DUMMYFUNCTION("IFERROR(REGEXEXTRACT(A743, ""y:([-+]?[0-9]*\.?[0-9]+)""), """")"),"")</f>
        <v/>
      </c>
    </row>
    <row r="744">
      <c r="A744" s="13"/>
      <c r="B744" s="4">
        <f>IFERROR(__xludf.DUMMYFUNCTION("IFERROR(VALUE(REGEXEXTRACT(A744, ""angle:(\d+)"")), -1)"),-1.0)</f>
        <v>-1</v>
      </c>
      <c r="C744" s="5" t="str">
        <f t="shared" si="1"/>
        <v>-001</v>
      </c>
      <c r="D744" s="5" t="str">
        <f>IFERROR(__xludf.DUMMYFUNCTION("IFERROR(REGEXEXTRACT(A744, ""x:([-+]?[0-9]*\.?[0-9]+)""), """")"),"")</f>
        <v/>
      </c>
      <c r="E744" s="5" t="str">
        <f>IFERROR(__xludf.DUMMYFUNCTION("IFERROR(REGEXEXTRACT(A744, ""y:([-+]?[0-9]*\.?[0-9]+)""), """")"),"")</f>
        <v/>
      </c>
    </row>
    <row r="745">
      <c r="A745" s="13"/>
      <c r="B745" s="4">
        <f>IFERROR(__xludf.DUMMYFUNCTION("IFERROR(VALUE(REGEXEXTRACT(A745, ""angle:(\d+)"")), -1)"),-1.0)</f>
        <v>-1</v>
      </c>
      <c r="C745" s="5" t="str">
        <f t="shared" si="1"/>
        <v>-001</v>
      </c>
      <c r="D745" s="5" t="str">
        <f>IFERROR(__xludf.DUMMYFUNCTION("IFERROR(REGEXEXTRACT(A745, ""x:([-+]?[0-9]*\.?[0-9]+)""), """")"),"")</f>
        <v/>
      </c>
      <c r="E745" s="5" t="str">
        <f>IFERROR(__xludf.DUMMYFUNCTION("IFERROR(REGEXEXTRACT(A745, ""y:([-+]?[0-9]*\.?[0-9]+)""), """")"),"")</f>
        <v/>
      </c>
    </row>
    <row r="746">
      <c r="A746" s="13"/>
      <c r="B746" s="4">
        <f>IFERROR(__xludf.DUMMYFUNCTION("IFERROR(VALUE(REGEXEXTRACT(A746, ""angle:(\d+)"")), -1)"),-1.0)</f>
        <v>-1</v>
      </c>
      <c r="C746" s="5" t="str">
        <f t="shared" si="1"/>
        <v>-001</v>
      </c>
      <c r="D746" s="5" t="str">
        <f>IFERROR(__xludf.DUMMYFUNCTION("IFERROR(REGEXEXTRACT(A746, ""x:([-+]?[0-9]*\.?[0-9]+)""), """")"),"")</f>
        <v/>
      </c>
      <c r="E746" s="5" t="str">
        <f>IFERROR(__xludf.DUMMYFUNCTION("IFERROR(REGEXEXTRACT(A746, ""y:([-+]?[0-9]*\.?[0-9]+)""), """")"),"")</f>
        <v/>
      </c>
    </row>
    <row r="747">
      <c r="A747" s="13"/>
      <c r="B747" s="4">
        <f>IFERROR(__xludf.DUMMYFUNCTION("IFERROR(VALUE(REGEXEXTRACT(A747, ""angle:(\d+)"")), -1)"),-1.0)</f>
        <v>-1</v>
      </c>
      <c r="C747" s="5" t="str">
        <f t="shared" si="1"/>
        <v>-001</v>
      </c>
      <c r="D747" s="5" t="str">
        <f>IFERROR(__xludf.DUMMYFUNCTION("IFERROR(REGEXEXTRACT(A747, ""x:([-+]?[0-9]*\.?[0-9]+)""), """")"),"")</f>
        <v/>
      </c>
      <c r="E747" s="5" t="str">
        <f>IFERROR(__xludf.DUMMYFUNCTION("IFERROR(REGEXEXTRACT(A747, ""y:([-+]?[0-9]*\.?[0-9]+)""), """")"),"")</f>
        <v/>
      </c>
    </row>
    <row r="748">
      <c r="A748" s="13"/>
      <c r="B748" s="4">
        <f>IFERROR(__xludf.DUMMYFUNCTION("IFERROR(VALUE(REGEXEXTRACT(A748, ""angle:(\d+)"")), -1)"),-1.0)</f>
        <v>-1</v>
      </c>
      <c r="C748" s="5" t="str">
        <f t="shared" si="1"/>
        <v>-001</v>
      </c>
      <c r="D748" s="5" t="str">
        <f>IFERROR(__xludf.DUMMYFUNCTION("IFERROR(REGEXEXTRACT(A748, ""x:([-+]?[0-9]*\.?[0-9]+)""), """")"),"")</f>
        <v/>
      </c>
      <c r="E748" s="5" t="str">
        <f>IFERROR(__xludf.DUMMYFUNCTION("IFERROR(REGEXEXTRACT(A748, ""y:([-+]?[0-9]*\.?[0-9]+)""), """")"),"")</f>
        <v/>
      </c>
    </row>
    <row r="749">
      <c r="A749" s="13"/>
      <c r="B749" s="4">
        <f>IFERROR(__xludf.DUMMYFUNCTION("IFERROR(VALUE(REGEXEXTRACT(A749, ""angle:(\d+)"")), -1)"),-1.0)</f>
        <v>-1</v>
      </c>
      <c r="C749" s="5" t="str">
        <f t="shared" si="1"/>
        <v>-001</v>
      </c>
      <c r="D749" s="5" t="str">
        <f>IFERROR(__xludf.DUMMYFUNCTION("IFERROR(REGEXEXTRACT(A749, ""x:([-+]?[0-9]*\.?[0-9]+)""), """")"),"")</f>
        <v/>
      </c>
      <c r="E749" s="5" t="str">
        <f>IFERROR(__xludf.DUMMYFUNCTION("IFERROR(REGEXEXTRACT(A749, ""y:([-+]?[0-9]*\.?[0-9]+)""), """")"),"")</f>
        <v/>
      </c>
    </row>
    <row r="750">
      <c r="A750" s="13"/>
      <c r="B750" s="4">
        <f>IFERROR(__xludf.DUMMYFUNCTION("IFERROR(VALUE(REGEXEXTRACT(A750, ""angle:(\d+)"")), -1)"),-1.0)</f>
        <v>-1</v>
      </c>
      <c r="C750" s="5" t="str">
        <f t="shared" si="1"/>
        <v>-001</v>
      </c>
      <c r="D750" s="5" t="str">
        <f>IFERROR(__xludf.DUMMYFUNCTION("IFERROR(REGEXEXTRACT(A750, ""x:([-+]?[0-9]*\.?[0-9]+)""), """")"),"")</f>
        <v/>
      </c>
      <c r="E750" s="5" t="str">
        <f>IFERROR(__xludf.DUMMYFUNCTION("IFERROR(REGEXEXTRACT(A750, ""y:([-+]?[0-9]*\.?[0-9]+)""), """")"),"")</f>
        <v/>
      </c>
    </row>
    <row r="751">
      <c r="A751" s="13"/>
      <c r="B751" s="4">
        <f>IFERROR(__xludf.DUMMYFUNCTION("IFERROR(VALUE(REGEXEXTRACT(A751, ""angle:(\d+)"")), -1)"),-1.0)</f>
        <v>-1</v>
      </c>
      <c r="C751" s="5" t="str">
        <f t="shared" si="1"/>
        <v>-001</v>
      </c>
      <c r="D751" s="5" t="str">
        <f>IFERROR(__xludf.DUMMYFUNCTION("IFERROR(REGEXEXTRACT(A751, ""x:([-+]?[0-9]*\.?[0-9]+)""), """")"),"")</f>
        <v/>
      </c>
      <c r="E751" s="5" t="str">
        <f>IFERROR(__xludf.DUMMYFUNCTION("IFERROR(REGEXEXTRACT(A751, ""y:([-+]?[0-9]*\.?[0-9]+)""), """")"),"")</f>
        <v/>
      </c>
    </row>
    <row r="752">
      <c r="A752" s="13"/>
      <c r="B752" s="4">
        <f>IFERROR(__xludf.DUMMYFUNCTION("IFERROR(VALUE(REGEXEXTRACT(A752, ""angle:(\d+)"")), -1)"),-1.0)</f>
        <v>-1</v>
      </c>
      <c r="C752" s="5" t="str">
        <f t="shared" si="1"/>
        <v>-001</v>
      </c>
      <c r="D752" s="5" t="str">
        <f>IFERROR(__xludf.DUMMYFUNCTION("IFERROR(REGEXEXTRACT(A752, ""x:([-+]?[0-9]*\.?[0-9]+)""), """")"),"")</f>
        <v/>
      </c>
      <c r="E752" s="5" t="str">
        <f>IFERROR(__xludf.DUMMYFUNCTION("IFERROR(REGEXEXTRACT(A752, ""y:([-+]?[0-9]*\.?[0-9]+)""), """")"),"")</f>
        <v/>
      </c>
    </row>
    <row r="753">
      <c r="A753" s="13"/>
      <c r="B753" s="4">
        <f>IFERROR(__xludf.DUMMYFUNCTION("IFERROR(VALUE(REGEXEXTRACT(A753, ""angle:(\d+)"")), -1)"),-1.0)</f>
        <v>-1</v>
      </c>
      <c r="C753" s="5" t="str">
        <f t="shared" si="1"/>
        <v>-001</v>
      </c>
      <c r="D753" s="5" t="str">
        <f>IFERROR(__xludf.DUMMYFUNCTION("IFERROR(REGEXEXTRACT(A753, ""x:([-+]?[0-9]*\.?[0-9]+)""), """")"),"")</f>
        <v/>
      </c>
      <c r="E753" s="5" t="str">
        <f>IFERROR(__xludf.DUMMYFUNCTION("IFERROR(REGEXEXTRACT(A753, ""y:([-+]?[0-9]*\.?[0-9]+)""), """")"),"")</f>
        <v/>
      </c>
    </row>
    <row r="754">
      <c r="A754" s="13"/>
      <c r="B754" s="4">
        <f>IFERROR(__xludf.DUMMYFUNCTION("IFERROR(VALUE(REGEXEXTRACT(A754, ""angle:(\d+)"")), -1)"),-1.0)</f>
        <v>-1</v>
      </c>
      <c r="C754" s="5" t="str">
        <f t="shared" si="1"/>
        <v>-001</v>
      </c>
      <c r="D754" s="5" t="str">
        <f>IFERROR(__xludf.DUMMYFUNCTION("IFERROR(REGEXEXTRACT(A754, ""x:([-+]?[0-9]*\.?[0-9]+)""), """")"),"")</f>
        <v/>
      </c>
      <c r="E754" s="5" t="str">
        <f>IFERROR(__xludf.DUMMYFUNCTION("IFERROR(REGEXEXTRACT(A754, ""y:([-+]?[0-9]*\.?[0-9]+)""), """")"),"")</f>
        <v/>
      </c>
    </row>
    <row r="755">
      <c r="A755" s="13"/>
      <c r="B755" s="4">
        <f>IFERROR(__xludf.DUMMYFUNCTION("IFERROR(VALUE(REGEXEXTRACT(A755, ""angle:(\d+)"")), -1)"),-1.0)</f>
        <v>-1</v>
      </c>
      <c r="C755" s="5" t="str">
        <f t="shared" si="1"/>
        <v>-001</v>
      </c>
      <c r="D755" s="5" t="str">
        <f>IFERROR(__xludf.DUMMYFUNCTION("IFERROR(REGEXEXTRACT(A755, ""x:([-+]?[0-9]*\.?[0-9]+)""), """")"),"")</f>
        <v/>
      </c>
      <c r="E755" s="5" t="str">
        <f>IFERROR(__xludf.DUMMYFUNCTION("IFERROR(REGEXEXTRACT(A755, ""y:([-+]?[0-9]*\.?[0-9]+)""), """")"),"")</f>
        <v/>
      </c>
    </row>
    <row r="756">
      <c r="A756" s="13"/>
      <c r="B756" s="4">
        <f>IFERROR(__xludf.DUMMYFUNCTION("IFERROR(VALUE(REGEXEXTRACT(A756, ""angle:(\d+)"")), -1)"),-1.0)</f>
        <v>-1</v>
      </c>
      <c r="C756" s="5" t="str">
        <f t="shared" si="1"/>
        <v>-001</v>
      </c>
      <c r="D756" s="5" t="str">
        <f>IFERROR(__xludf.DUMMYFUNCTION("IFERROR(REGEXEXTRACT(A756, ""x:([-+]?[0-9]*\.?[0-9]+)""), """")"),"")</f>
        <v/>
      </c>
      <c r="E756" s="5" t="str">
        <f>IFERROR(__xludf.DUMMYFUNCTION("IFERROR(REGEXEXTRACT(A756, ""y:([-+]?[0-9]*\.?[0-9]+)""), """")"),"")</f>
        <v/>
      </c>
    </row>
    <row r="757">
      <c r="A757" s="13"/>
      <c r="B757" s="4">
        <f>IFERROR(__xludf.DUMMYFUNCTION("IFERROR(VALUE(REGEXEXTRACT(A757, ""angle:(\d+)"")), -1)"),-1.0)</f>
        <v>-1</v>
      </c>
      <c r="C757" s="5" t="str">
        <f t="shared" si="1"/>
        <v>-001</v>
      </c>
      <c r="D757" s="5" t="str">
        <f>IFERROR(__xludf.DUMMYFUNCTION("IFERROR(REGEXEXTRACT(A757, ""x:([-+]?[0-9]*\.?[0-9]+)""), """")"),"")</f>
        <v/>
      </c>
      <c r="E757" s="5" t="str">
        <f>IFERROR(__xludf.DUMMYFUNCTION("IFERROR(REGEXEXTRACT(A757, ""y:([-+]?[0-9]*\.?[0-9]+)""), """")"),"")</f>
        <v/>
      </c>
    </row>
    <row r="758">
      <c r="A758" s="13"/>
      <c r="B758" s="4">
        <f>IFERROR(__xludf.DUMMYFUNCTION("IFERROR(VALUE(REGEXEXTRACT(A758, ""angle:(\d+)"")), -1)"),-1.0)</f>
        <v>-1</v>
      </c>
      <c r="C758" s="5" t="str">
        <f t="shared" si="1"/>
        <v>-001</v>
      </c>
      <c r="D758" s="5" t="str">
        <f>IFERROR(__xludf.DUMMYFUNCTION("IFERROR(REGEXEXTRACT(A758, ""x:([-+]?[0-9]*\.?[0-9]+)""), """")"),"")</f>
        <v/>
      </c>
      <c r="E758" s="5" t="str">
        <f>IFERROR(__xludf.DUMMYFUNCTION("IFERROR(REGEXEXTRACT(A758, ""y:([-+]?[0-9]*\.?[0-9]+)""), """")"),"")</f>
        <v/>
      </c>
    </row>
    <row r="759">
      <c r="A759" s="13"/>
      <c r="B759" s="4">
        <f>IFERROR(__xludf.DUMMYFUNCTION("IFERROR(VALUE(REGEXEXTRACT(A759, ""angle:(\d+)"")), -1)"),-1.0)</f>
        <v>-1</v>
      </c>
      <c r="C759" s="5" t="str">
        <f t="shared" si="1"/>
        <v>-001</v>
      </c>
      <c r="D759" s="5" t="str">
        <f>IFERROR(__xludf.DUMMYFUNCTION("IFERROR(REGEXEXTRACT(A759, ""x:([-+]?[0-9]*\.?[0-9]+)""), """")"),"")</f>
        <v/>
      </c>
      <c r="E759" s="5" t="str">
        <f>IFERROR(__xludf.DUMMYFUNCTION("IFERROR(REGEXEXTRACT(A759, ""y:([-+]?[0-9]*\.?[0-9]+)""), """")"),"")</f>
        <v/>
      </c>
    </row>
    <row r="760">
      <c r="A760" s="13"/>
      <c r="B760" s="4">
        <f>IFERROR(__xludf.DUMMYFUNCTION("IFERROR(VALUE(REGEXEXTRACT(A760, ""angle:(\d+)"")), -1)"),-1.0)</f>
        <v>-1</v>
      </c>
      <c r="C760" s="5" t="str">
        <f t="shared" si="1"/>
        <v>-001</v>
      </c>
      <c r="D760" s="5" t="str">
        <f>IFERROR(__xludf.DUMMYFUNCTION("IFERROR(REGEXEXTRACT(A760, ""x:([-+]?[0-9]*\.?[0-9]+)""), """")"),"")</f>
        <v/>
      </c>
      <c r="E760" s="5" t="str">
        <f>IFERROR(__xludf.DUMMYFUNCTION("IFERROR(REGEXEXTRACT(A760, ""y:([-+]?[0-9]*\.?[0-9]+)""), """")"),"")</f>
        <v/>
      </c>
    </row>
    <row r="761">
      <c r="A761" s="13"/>
      <c r="B761" s="4">
        <f>IFERROR(__xludf.DUMMYFUNCTION("IFERROR(VALUE(REGEXEXTRACT(A761, ""angle:(\d+)"")), -1)"),-1.0)</f>
        <v>-1</v>
      </c>
      <c r="C761" s="5" t="str">
        <f t="shared" si="1"/>
        <v>-001</v>
      </c>
      <c r="D761" s="5" t="str">
        <f>IFERROR(__xludf.DUMMYFUNCTION("IFERROR(REGEXEXTRACT(A761, ""x:([-+]?[0-9]*\.?[0-9]+)""), """")"),"")</f>
        <v/>
      </c>
      <c r="E761" s="5" t="str">
        <f>IFERROR(__xludf.DUMMYFUNCTION("IFERROR(REGEXEXTRACT(A761, ""y:([-+]?[0-9]*\.?[0-9]+)""), """")"),"")</f>
        <v/>
      </c>
    </row>
    <row r="762">
      <c r="A762" s="13"/>
      <c r="B762" s="4">
        <f>IFERROR(__xludf.DUMMYFUNCTION("IFERROR(VALUE(REGEXEXTRACT(A762, ""angle:(\d+)"")), -1)"),-1.0)</f>
        <v>-1</v>
      </c>
      <c r="C762" s="5" t="str">
        <f t="shared" si="1"/>
        <v>-001</v>
      </c>
      <c r="D762" s="5" t="str">
        <f>IFERROR(__xludf.DUMMYFUNCTION("IFERROR(REGEXEXTRACT(A762, ""x:([-+]?[0-9]*\.?[0-9]+)""), """")"),"")</f>
        <v/>
      </c>
      <c r="E762" s="5" t="str">
        <f>IFERROR(__xludf.DUMMYFUNCTION("IFERROR(REGEXEXTRACT(A762, ""y:([-+]?[0-9]*\.?[0-9]+)""), """")"),"")</f>
        <v/>
      </c>
    </row>
    <row r="763">
      <c r="A763" s="13"/>
      <c r="B763" s="4">
        <f>IFERROR(__xludf.DUMMYFUNCTION("IFERROR(VALUE(REGEXEXTRACT(A763, ""angle:(\d+)"")), -1)"),-1.0)</f>
        <v>-1</v>
      </c>
      <c r="C763" s="5" t="str">
        <f t="shared" si="1"/>
        <v>-001</v>
      </c>
      <c r="D763" s="5" t="str">
        <f>IFERROR(__xludf.DUMMYFUNCTION("IFERROR(REGEXEXTRACT(A763, ""x:([-+]?[0-9]*\.?[0-9]+)""), """")"),"")</f>
        <v/>
      </c>
      <c r="E763" s="5" t="str">
        <f>IFERROR(__xludf.DUMMYFUNCTION("IFERROR(REGEXEXTRACT(A763, ""y:([-+]?[0-9]*\.?[0-9]+)""), """")"),"")</f>
        <v/>
      </c>
    </row>
    <row r="764">
      <c r="A764" s="13"/>
      <c r="B764" s="4">
        <f>IFERROR(__xludf.DUMMYFUNCTION("IFERROR(VALUE(REGEXEXTRACT(A764, ""angle:(\d+)"")), -1)"),-1.0)</f>
        <v>-1</v>
      </c>
      <c r="C764" s="5" t="str">
        <f t="shared" si="1"/>
        <v>-001</v>
      </c>
      <c r="D764" s="5" t="str">
        <f>IFERROR(__xludf.DUMMYFUNCTION("IFERROR(REGEXEXTRACT(A764, ""x:([-+]?[0-9]*\.?[0-9]+)""), """")"),"")</f>
        <v/>
      </c>
      <c r="E764" s="5" t="str">
        <f>IFERROR(__xludf.DUMMYFUNCTION("IFERROR(REGEXEXTRACT(A764, ""y:([-+]?[0-9]*\.?[0-9]+)""), """")"),"")</f>
        <v/>
      </c>
    </row>
    <row r="765">
      <c r="A765" s="13"/>
      <c r="B765" s="4">
        <f>IFERROR(__xludf.DUMMYFUNCTION("IFERROR(VALUE(REGEXEXTRACT(A765, ""angle:(\d+)"")), -1)"),-1.0)</f>
        <v>-1</v>
      </c>
      <c r="C765" s="5" t="str">
        <f t="shared" si="1"/>
        <v>-001</v>
      </c>
      <c r="D765" s="5" t="str">
        <f>IFERROR(__xludf.DUMMYFUNCTION("IFERROR(REGEXEXTRACT(A765, ""x:([-+]?[0-9]*\.?[0-9]+)""), """")"),"")</f>
        <v/>
      </c>
      <c r="E765" s="5" t="str">
        <f>IFERROR(__xludf.DUMMYFUNCTION("IFERROR(REGEXEXTRACT(A765, ""y:([-+]?[0-9]*\.?[0-9]+)""), """")"),"")</f>
        <v/>
      </c>
    </row>
    <row r="766">
      <c r="A766" s="13"/>
      <c r="B766" s="4">
        <f>IFERROR(__xludf.DUMMYFUNCTION("IFERROR(VALUE(REGEXEXTRACT(A766, ""angle:(\d+)"")), -1)"),-1.0)</f>
        <v>-1</v>
      </c>
      <c r="C766" s="5" t="str">
        <f t="shared" si="1"/>
        <v>-001</v>
      </c>
      <c r="D766" s="5" t="str">
        <f>IFERROR(__xludf.DUMMYFUNCTION("IFERROR(REGEXEXTRACT(A766, ""x:([-+]?[0-9]*\.?[0-9]+)""), """")"),"")</f>
        <v/>
      </c>
      <c r="E766" s="5" t="str">
        <f>IFERROR(__xludf.DUMMYFUNCTION("IFERROR(REGEXEXTRACT(A766, ""y:([-+]?[0-9]*\.?[0-9]+)""), """")"),"")</f>
        <v/>
      </c>
    </row>
    <row r="767">
      <c r="A767" s="13"/>
      <c r="B767" s="4">
        <f>IFERROR(__xludf.DUMMYFUNCTION("IFERROR(VALUE(REGEXEXTRACT(A767, ""angle:(\d+)"")), -1)"),-1.0)</f>
        <v>-1</v>
      </c>
      <c r="C767" s="5" t="str">
        <f t="shared" si="1"/>
        <v>-001</v>
      </c>
      <c r="D767" s="5" t="str">
        <f>IFERROR(__xludf.DUMMYFUNCTION("IFERROR(REGEXEXTRACT(A767, ""x:([-+]?[0-9]*\.?[0-9]+)""), """")"),"")</f>
        <v/>
      </c>
      <c r="E767" s="5" t="str">
        <f>IFERROR(__xludf.DUMMYFUNCTION("IFERROR(REGEXEXTRACT(A767, ""y:([-+]?[0-9]*\.?[0-9]+)""), """")"),"")</f>
        <v/>
      </c>
    </row>
    <row r="768">
      <c r="A768" s="13"/>
      <c r="B768" s="4">
        <f>IFERROR(__xludf.DUMMYFUNCTION("IFERROR(VALUE(REGEXEXTRACT(A768, ""angle:(\d+)"")), -1)"),-1.0)</f>
        <v>-1</v>
      </c>
      <c r="C768" s="5" t="str">
        <f t="shared" si="1"/>
        <v>-001</v>
      </c>
      <c r="D768" s="5" t="str">
        <f>IFERROR(__xludf.DUMMYFUNCTION("IFERROR(REGEXEXTRACT(A768, ""x:([-+]?[0-9]*\.?[0-9]+)""), """")"),"")</f>
        <v/>
      </c>
      <c r="E768" s="5" t="str">
        <f>IFERROR(__xludf.DUMMYFUNCTION("IFERROR(REGEXEXTRACT(A768, ""y:([-+]?[0-9]*\.?[0-9]+)""), """")"),"")</f>
        <v/>
      </c>
    </row>
    <row r="769">
      <c r="A769" s="13"/>
      <c r="B769" s="4">
        <f>IFERROR(__xludf.DUMMYFUNCTION("IFERROR(VALUE(REGEXEXTRACT(A769, ""angle:(\d+)"")), -1)"),-1.0)</f>
        <v>-1</v>
      </c>
      <c r="C769" s="5" t="str">
        <f t="shared" si="1"/>
        <v>-001</v>
      </c>
      <c r="D769" s="5" t="str">
        <f>IFERROR(__xludf.DUMMYFUNCTION("IFERROR(REGEXEXTRACT(A769, ""x:([-+]?[0-9]*\.?[0-9]+)""), """")"),"")</f>
        <v/>
      </c>
      <c r="E769" s="5" t="str">
        <f>IFERROR(__xludf.DUMMYFUNCTION("IFERROR(REGEXEXTRACT(A769, ""y:([-+]?[0-9]*\.?[0-9]+)""), """")"),"")</f>
        <v/>
      </c>
    </row>
    <row r="770">
      <c r="A770" s="13"/>
      <c r="B770" s="4">
        <f>IFERROR(__xludf.DUMMYFUNCTION("IFERROR(VALUE(REGEXEXTRACT(A770, ""angle:(\d+)"")), -1)"),-1.0)</f>
        <v>-1</v>
      </c>
      <c r="C770" s="5" t="str">
        <f t="shared" si="1"/>
        <v>-001</v>
      </c>
      <c r="D770" s="5" t="str">
        <f>IFERROR(__xludf.DUMMYFUNCTION("IFERROR(REGEXEXTRACT(A770, ""x:([-+]?[0-9]*\.?[0-9]+)""), """")"),"")</f>
        <v/>
      </c>
      <c r="E770" s="5" t="str">
        <f>IFERROR(__xludf.DUMMYFUNCTION("IFERROR(REGEXEXTRACT(A770, ""y:([-+]?[0-9]*\.?[0-9]+)""), """")"),"")</f>
        <v/>
      </c>
    </row>
    <row r="771">
      <c r="A771" s="13"/>
      <c r="B771" s="4">
        <f>IFERROR(__xludf.DUMMYFUNCTION("IFERROR(VALUE(REGEXEXTRACT(A771, ""angle:(\d+)"")), -1)"),-1.0)</f>
        <v>-1</v>
      </c>
      <c r="C771" s="5" t="str">
        <f t="shared" si="1"/>
        <v>-001</v>
      </c>
      <c r="D771" s="5" t="str">
        <f>IFERROR(__xludf.DUMMYFUNCTION("IFERROR(REGEXEXTRACT(A771, ""x:([-+]?[0-9]*\.?[0-9]+)""), """")"),"")</f>
        <v/>
      </c>
      <c r="E771" s="5" t="str">
        <f>IFERROR(__xludf.DUMMYFUNCTION("IFERROR(REGEXEXTRACT(A771, ""y:([-+]?[0-9]*\.?[0-9]+)""), """")"),"")</f>
        <v/>
      </c>
    </row>
    <row r="772">
      <c r="A772" s="13"/>
      <c r="B772" s="4">
        <f>IFERROR(__xludf.DUMMYFUNCTION("IFERROR(VALUE(REGEXEXTRACT(A772, ""angle:(\d+)"")), -1)"),-1.0)</f>
        <v>-1</v>
      </c>
      <c r="C772" s="5" t="str">
        <f t="shared" si="1"/>
        <v>-001</v>
      </c>
      <c r="D772" s="5" t="str">
        <f>IFERROR(__xludf.DUMMYFUNCTION("IFERROR(REGEXEXTRACT(A772, ""x:([-+]?[0-9]*\.?[0-9]+)""), """")"),"")</f>
        <v/>
      </c>
      <c r="E772" s="5" t="str">
        <f>IFERROR(__xludf.DUMMYFUNCTION("IFERROR(REGEXEXTRACT(A772, ""y:([-+]?[0-9]*\.?[0-9]+)""), """")"),"")</f>
        <v/>
      </c>
    </row>
    <row r="773">
      <c r="A773" s="13"/>
      <c r="B773" s="4">
        <f>IFERROR(__xludf.DUMMYFUNCTION("IFERROR(VALUE(REGEXEXTRACT(A773, ""angle:(\d+)"")), -1)"),-1.0)</f>
        <v>-1</v>
      </c>
      <c r="C773" s="5" t="str">
        <f t="shared" si="1"/>
        <v>-001</v>
      </c>
      <c r="D773" s="5" t="str">
        <f>IFERROR(__xludf.DUMMYFUNCTION("IFERROR(REGEXEXTRACT(A773, ""x:([-+]?[0-9]*\.?[0-9]+)""), """")"),"")</f>
        <v/>
      </c>
      <c r="E773" s="5" t="str">
        <f>IFERROR(__xludf.DUMMYFUNCTION("IFERROR(REGEXEXTRACT(A773, ""y:([-+]?[0-9]*\.?[0-9]+)""), """")"),"")</f>
        <v/>
      </c>
    </row>
    <row r="774">
      <c r="A774" s="13"/>
      <c r="B774" s="4">
        <f>IFERROR(__xludf.DUMMYFUNCTION("IFERROR(VALUE(REGEXEXTRACT(A774, ""angle:(\d+)"")), -1)"),-1.0)</f>
        <v>-1</v>
      </c>
      <c r="C774" s="5" t="str">
        <f t="shared" si="1"/>
        <v>-001</v>
      </c>
      <c r="D774" s="5" t="str">
        <f>IFERROR(__xludf.DUMMYFUNCTION("IFERROR(REGEXEXTRACT(A774, ""x:([-+]?[0-9]*\.?[0-9]+)""), """")"),"")</f>
        <v/>
      </c>
      <c r="E774" s="5" t="str">
        <f>IFERROR(__xludf.DUMMYFUNCTION("IFERROR(REGEXEXTRACT(A774, ""y:([-+]?[0-9]*\.?[0-9]+)""), """")"),"")</f>
        <v/>
      </c>
    </row>
    <row r="775">
      <c r="A775" s="13"/>
      <c r="B775" s="4">
        <f>IFERROR(__xludf.DUMMYFUNCTION("IFERROR(VALUE(REGEXEXTRACT(A775, ""angle:(\d+)"")), -1)"),-1.0)</f>
        <v>-1</v>
      </c>
      <c r="C775" s="5" t="str">
        <f t="shared" si="1"/>
        <v>-001</v>
      </c>
      <c r="D775" s="5" t="str">
        <f>IFERROR(__xludf.DUMMYFUNCTION("IFERROR(REGEXEXTRACT(A775, ""x:([-+]?[0-9]*\.?[0-9]+)""), """")"),"")</f>
        <v/>
      </c>
      <c r="E775" s="5" t="str">
        <f>IFERROR(__xludf.DUMMYFUNCTION("IFERROR(REGEXEXTRACT(A775, ""y:([-+]?[0-9]*\.?[0-9]+)""), """")"),"")</f>
        <v/>
      </c>
    </row>
    <row r="776">
      <c r="A776" s="13"/>
      <c r="B776" s="4">
        <f>IFERROR(__xludf.DUMMYFUNCTION("IFERROR(VALUE(REGEXEXTRACT(A776, ""angle:(\d+)"")), -1)"),-1.0)</f>
        <v>-1</v>
      </c>
      <c r="C776" s="5" t="str">
        <f t="shared" si="1"/>
        <v>-001</v>
      </c>
      <c r="D776" s="5" t="str">
        <f>IFERROR(__xludf.DUMMYFUNCTION("IFERROR(REGEXEXTRACT(A776, ""x:([-+]?[0-9]*\.?[0-9]+)""), """")"),"")</f>
        <v/>
      </c>
      <c r="E776" s="5" t="str">
        <f>IFERROR(__xludf.DUMMYFUNCTION("IFERROR(REGEXEXTRACT(A776, ""y:([-+]?[0-9]*\.?[0-9]+)""), """")"),"")</f>
        <v/>
      </c>
    </row>
    <row r="777">
      <c r="A777" s="13"/>
      <c r="B777" s="4">
        <f>IFERROR(__xludf.DUMMYFUNCTION("IFERROR(VALUE(REGEXEXTRACT(A777, ""angle:(\d+)"")), -1)"),-1.0)</f>
        <v>-1</v>
      </c>
      <c r="C777" s="5" t="str">
        <f t="shared" si="1"/>
        <v>-001</v>
      </c>
      <c r="D777" s="5" t="str">
        <f>IFERROR(__xludf.DUMMYFUNCTION("IFERROR(REGEXEXTRACT(A777, ""x:([-+]?[0-9]*\.?[0-9]+)""), """")"),"")</f>
        <v/>
      </c>
      <c r="E777" s="5" t="str">
        <f>IFERROR(__xludf.DUMMYFUNCTION("IFERROR(REGEXEXTRACT(A777, ""y:([-+]?[0-9]*\.?[0-9]+)""), """")"),"")</f>
        <v/>
      </c>
    </row>
    <row r="778">
      <c r="A778" s="13"/>
      <c r="B778" s="4">
        <f>IFERROR(__xludf.DUMMYFUNCTION("IFERROR(VALUE(REGEXEXTRACT(A778, ""angle:(\d+)"")), -1)"),-1.0)</f>
        <v>-1</v>
      </c>
      <c r="C778" s="5" t="str">
        <f t="shared" si="1"/>
        <v>-001</v>
      </c>
      <c r="D778" s="5" t="str">
        <f>IFERROR(__xludf.DUMMYFUNCTION("IFERROR(REGEXEXTRACT(A778, ""x:([-+]?[0-9]*\.?[0-9]+)""), """")"),"")</f>
        <v/>
      </c>
      <c r="E778" s="5" t="str">
        <f>IFERROR(__xludf.DUMMYFUNCTION("IFERROR(REGEXEXTRACT(A778, ""y:([-+]?[0-9]*\.?[0-9]+)""), """")"),"")</f>
        <v/>
      </c>
    </row>
    <row r="779">
      <c r="A779" s="13"/>
      <c r="B779" s="4">
        <f>IFERROR(__xludf.DUMMYFUNCTION("IFERROR(VALUE(REGEXEXTRACT(A779, ""angle:(\d+)"")), -1)"),-1.0)</f>
        <v>-1</v>
      </c>
      <c r="C779" s="5" t="str">
        <f t="shared" si="1"/>
        <v>-001</v>
      </c>
      <c r="D779" s="5" t="str">
        <f>IFERROR(__xludf.DUMMYFUNCTION("IFERROR(REGEXEXTRACT(A779, ""x:([-+]?[0-9]*\.?[0-9]+)""), """")"),"")</f>
        <v/>
      </c>
      <c r="E779" s="5" t="str">
        <f>IFERROR(__xludf.DUMMYFUNCTION("IFERROR(REGEXEXTRACT(A779, ""y:([-+]?[0-9]*\.?[0-9]+)""), """")"),"")</f>
        <v/>
      </c>
    </row>
    <row r="780">
      <c r="A780" s="13"/>
      <c r="B780" s="4">
        <f>IFERROR(__xludf.DUMMYFUNCTION("IFERROR(VALUE(REGEXEXTRACT(A780, ""angle:(\d+)"")), -1)"),-1.0)</f>
        <v>-1</v>
      </c>
      <c r="C780" s="5" t="str">
        <f t="shared" si="1"/>
        <v>-001</v>
      </c>
      <c r="D780" s="5" t="str">
        <f>IFERROR(__xludf.DUMMYFUNCTION("IFERROR(REGEXEXTRACT(A780, ""x:([-+]?[0-9]*\.?[0-9]+)""), """")"),"")</f>
        <v/>
      </c>
      <c r="E780" s="5" t="str">
        <f>IFERROR(__xludf.DUMMYFUNCTION("IFERROR(REGEXEXTRACT(A780, ""y:([-+]?[0-9]*\.?[0-9]+)""), """")"),"")</f>
        <v/>
      </c>
    </row>
    <row r="781">
      <c r="A781" s="13"/>
      <c r="B781" s="4">
        <f>IFERROR(__xludf.DUMMYFUNCTION("IFERROR(VALUE(REGEXEXTRACT(A781, ""angle:(\d+)"")), -1)"),-1.0)</f>
        <v>-1</v>
      </c>
      <c r="C781" s="5" t="str">
        <f t="shared" si="1"/>
        <v>-001</v>
      </c>
      <c r="D781" s="5" t="str">
        <f>IFERROR(__xludf.DUMMYFUNCTION("IFERROR(REGEXEXTRACT(A781, ""x:([-+]?[0-9]*\.?[0-9]+)""), """")"),"")</f>
        <v/>
      </c>
      <c r="E781" s="5" t="str">
        <f>IFERROR(__xludf.DUMMYFUNCTION("IFERROR(REGEXEXTRACT(A781, ""y:([-+]?[0-9]*\.?[0-9]+)""), """")"),"")</f>
        <v/>
      </c>
    </row>
    <row r="782">
      <c r="A782" s="13"/>
      <c r="B782" s="4">
        <f>IFERROR(__xludf.DUMMYFUNCTION("IFERROR(VALUE(REGEXEXTRACT(A782, ""angle:(\d+)"")), -1)"),-1.0)</f>
        <v>-1</v>
      </c>
      <c r="C782" s="5" t="str">
        <f t="shared" si="1"/>
        <v>-001</v>
      </c>
      <c r="D782" s="5" t="str">
        <f>IFERROR(__xludf.DUMMYFUNCTION("IFERROR(REGEXEXTRACT(A782, ""x:([-+]?[0-9]*\.?[0-9]+)""), """")"),"")</f>
        <v/>
      </c>
      <c r="E782" s="5" t="str">
        <f>IFERROR(__xludf.DUMMYFUNCTION("IFERROR(REGEXEXTRACT(A782, ""y:([-+]?[0-9]*\.?[0-9]+)""), """")"),"")</f>
        <v/>
      </c>
    </row>
    <row r="783">
      <c r="A783" s="13"/>
      <c r="B783" s="4">
        <f>IFERROR(__xludf.DUMMYFUNCTION("IFERROR(VALUE(REGEXEXTRACT(A783, ""angle:(\d+)"")), -1)"),-1.0)</f>
        <v>-1</v>
      </c>
      <c r="C783" s="5" t="str">
        <f t="shared" si="1"/>
        <v>-001</v>
      </c>
      <c r="D783" s="5" t="str">
        <f>IFERROR(__xludf.DUMMYFUNCTION("IFERROR(REGEXEXTRACT(A783, ""x:([-+]?[0-9]*\.?[0-9]+)""), """")"),"")</f>
        <v/>
      </c>
      <c r="E783" s="5" t="str">
        <f>IFERROR(__xludf.DUMMYFUNCTION("IFERROR(REGEXEXTRACT(A783, ""y:([-+]?[0-9]*\.?[0-9]+)""), """")"),"")</f>
        <v/>
      </c>
    </row>
    <row r="784">
      <c r="A784" s="13"/>
      <c r="B784" s="4">
        <f>IFERROR(__xludf.DUMMYFUNCTION("IFERROR(VALUE(REGEXEXTRACT(A784, ""angle:(\d+)"")), -1)"),-1.0)</f>
        <v>-1</v>
      </c>
      <c r="C784" s="5" t="str">
        <f t="shared" si="1"/>
        <v>-001</v>
      </c>
      <c r="D784" s="5" t="str">
        <f>IFERROR(__xludf.DUMMYFUNCTION("IFERROR(REGEXEXTRACT(A784, ""x:([-+]?[0-9]*\.?[0-9]+)""), """")"),"")</f>
        <v/>
      </c>
      <c r="E784" s="5" t="str">
        <f>IFERROR(__xludf.DUMMYFUNCTION("IFERROR(REGEXEXTRACT(A784, ""y:([-+]?[0-9]*\.?[0-9]+)""), """")"),"")</f>
        <v/>
      </c>
    </row>
    <row r="785">
      <c r="A785" s="13"/>
      <c r="B785" s="4">
        <f>IFERROR(__xludf.DUMMYFUNCTION("IFERROR(VALUE(REGEXEXTRACT(A785, ""angle:(\d+)"")), -1)"),-1.0)</f>
        <v>-1</v>
      </c>
      <c r="C785" s="5" t="str">
        <f t="shared" si="1"/>
        <v>-001</v>
      </c>
      <c r="D785" s="5" t="str">
        <f>IFERROR(__xludf.DUMMYFUNCTION("IFERROR(REGEXEXTRACT(A785, ""x:([-+]?[0-9]*\.?[0-9]+)""), """")"),"")</f>
        <v/>
      </c>
      <c r="E785" s="5" t="str">
        <f>IFERROR(__xludf.DUMMYFUNCTION("IFERROR(REGEXEXTRACT(A785, ""y:([-+]?[0-9]*\.?[0-9]+)""), """")"),"")</f>
        <v/>
      </c>
    </row>
    <row r="786">
      <c r="A786" s="13"/>
      <c r="B786" s="4">
        <f>IFERROR(__xludf.DUMMYFUNCTION("IFERROR(VALUE(REGEXEXTRACT(A786, ""angle:(\d+)"")), -1)"),-1.0)</f>
        <v>-1</v>
      </c>
      <c r="C786" s="5" t="str">
        <f t="shared" si="1"/>
        <v>-001</v>
      </c>
      <c r="D786" s="5" t="str">
        <f>IFERROR(__xludf.DUMMYFUNCTION("IFERROR(REGEXEXTRACT(A786, ""x:([-+]?[0-9]*\.?[0-9]+)""), """")"),"")</f>
        <v/>
      </c>
      <c r="E786" s="5" t="str">
        <f>IFERROR(__xludf.DUMMYFUNCTION("IFERROR(REGEXEXTRACT(A786, ""y:([-+]?[0-9]*\.?[0-9]+)""), """")"),"")</f>
        <v/>
      </c>
    </row>
    <row r="787">
      <c r="A787" s="13"/>
      <c r="B787" s="4">
        <f>IFERROR(__xludf.DUMMYFUNCTION("IFERROR(VALUE(REGEXEXTRACT(A787, ""angle:(\d+)"")), -1)"),-1.0)</f>
        <v>-1</v>
      </c>
      <c r="C787" s="5" t="str">
        <f t="shared" si="1"/>
        <v>-001</v>
      </c>
      <c r="D787" s="5" t="str">
        <f>IFERROR(__xludf.DUMMYFUNCTION("IFERROR(REGEXEXTRACT(A787, ""x:([-+]?[0-9]*\.?[0-9]+)""), """")"),"")</f>
        <v/>
      </c>
      <c r="E787" s="5" t="str">
        <f>IFERROR(__xludf.DUMMYFUNCTION("IFERROR(REGEXEXTRACT(A787, ""y:([-+]?[0-9]*\.?[0-9]+)""), """")"),"")</f>
        <v/>
      </c>
    </row>
    <row r="788">
      <c r="A788" s="13"/>
      <c r="B788" s="4">
        <f>IFERROR(__xludf.DUMMYFUNCTION("IFERROR(VALUE(REGEXEXTRACT(A788, ""angle:(\d+)"")), -1)"),-1.0)</f>
        <v>-1</v>
      </c>
      <c r="C788" s="5" t="str">
        <f t="shared" si="1"/>
        <v>-001</v>
      </c>
      <c r="D788" s="5" t="str">
        <f>IFERROR(__xludf.DUMMYFUNCTION("IFERROR(REGEXEXTRACT(A788, ""x:([-+]?[0-9]*\.?[0-9]+)""), """")"),"")</f>
        <v/>
      </c>
      <c r="E788" s="5" t="str">
        <f>IFERROR(__xludf.DUMMYFUNCTION("IFERROR(REGEXEXTRACT(A788, ""y:([-+]?[0-9]*\.?[0-9]+)""), """")"),"")</f>
        <v/>
      </c>
    </row>
    <row r="789">
      <c r="A789" s="13"/>
      <c r="B789" s="4">
        <f>IFERROR(__xludf.DUMMYFUNCTION("IFERROR(VALUE(REGEXEXTRACT(A789, ""angle:(\d+)"")), -1)"),-1.0)</f>
        <v>-1</v>
      </c>
      <c r="C789" s="5" t="str">
        <f t="shared" si="1"/>
        <v>-001</v>
      </c>
      <c r="D789" s="5" t="str">
        <f>IFERROR(__xludf.DUMMYFUNCTION("IFERROR(REGEXEXTRACT(A789, ""x:([-+]?[0-9]*\.?[0-9]+)""), """")"),"")</f>
        <v/>
      </c>
      <c r="E789" s="5" t="str">
        <f>IFERROR(__xludf.DUMMYFUNCTION("IFERROR(REGEXEXTRACT(A789, ""y:([-+]?[0-9]*\.?[0-9]+)""), """")"),"")</f>
        <v/>
      </c>
    </row>
    <row r="790">
      <c r="A790" s="13"/>
      <c r="B790" s="4">
        <f>IFERROR(__xludf.DUMMYFUNCTION("IFERROR(VALUE(REGEXEXTRACT(A790, ""angle:(\d+)"")), -1)"),-1.0)</f>
        <v>-1</v>
      </c>
      <c r="C790" s="5" t="str">
        <f t="shared" si="1"/>
        <v>-001</v>
      </c>
      <c r="D790" s="5" t="str">
        <f>IFERROR(__xludf.DUMMYFUNCTION("IFERROR(REGEXEXTRACT(A790, ""x:([-+]?[0-9]*\.?[0-9]+)""), """")"),"")</f>
        <v/>
      </c>
      <c r="E790" s="5" t="str">
        <f>IFERROR(__xludf.DUMMYFUNCTION("IFERROR(REGEXEXTRACT(A790, ""y:([-+]?[0-9]*\.?[0-9]+)""), """")"),"")</f>
        <v/>
      </c>
    </row>
    <row r="791">
      <c r="A791" s="13"/>
      <c r="B791" s="4">
        <f>IFERROR(__xludf.DUMMYFUNCTION("IFERROR(VALUE(REGEXEXTRACT(A791, ""angle:(\d+)"")), -1)"),-1.0)</f>
        <v>-1</v>
      </c>
      <c r="C791" s="5" t="str">
        <f t="shared" si="1"/>
        <v>-001</v>
      </c>
      <c r="D791" s="5" t="str">
        <f>IFERROR(__xludf.DUMMYFUNCTION("IFERROR(REGEXEXTRACT(A791, ""x:([-+]?[0-9]*\.?[0-9]+)""), """")"),"")</f>
        <v/>
      </c>
      <c r="E791" s="5" t="str">
        <f>IFERROR(__xludf.DUMMYFUNCTION("IFERROR(REGEXEXTRACT(A791, ""y:([-+]?[0-9]*\.?[0-9]+)""), """")"),"")</f>
        <v/>
      </c>
    </row>
    <row r="792">
      <c r="A792" s="13"/>
      <c r="B792" s="4">
        <f>IFERROR(__xludf.DUMMYFUNCTION("IFERROR(VALUE(REGEXEXTRACT(A792, ""angle:(\d+)"")), -1)"),-1.0)</f>
        <v>-1</v>
      </c>
      <c r="C792" s="5" t="str">
        <f t="shared" si="1"/>
        <v>-001</v>
      </c>
      <c r="D792" s="5" t="str">
        <f>IFERROR(__xludf.DUMMYFUNCTION("IFERROR(REGEXEXTRACT(A792, ""x:([-+]?[0-9]*\.?[0-9]+)""), """")"),"")</f>
        <v/>
      </c>
      <c r="E792" s="5" t="str">
        <f>IFERROR(__xludf.DUMMYFUNCTION("IFERROR(REGEXEXTRACT(A792, ""y:([-+]?[0-9]*\.?[0-9]+)""), """")"),"")</f>
        <v/>
      </c>
    </row>
    <row r="793">
      <c r="A793" s="13"/>
      <c r="B793" s="4">
        <f>IFERROR(__xludf.DUMMYFUNCTION("IFERROR(VALUE(REGEXEXTRACT(A793, ""angle:(\d+)"")), -1)"),-1.0)</f>
        <v>-1</v>
      </c>
      <c r="C793" s="5" t="str">
        <f t="shared" si="1"/>
        <v>-001</v>
      </c>
      <c r="D793" s="5" t="str">
        <f>IFERROR(__xludf.DUMMYFUNCTION("IFERROR(REGEXEXTRACT(A793, ""x:([-+]?[0-9]*\.?[0-9]+)""), """")"),"")</f>
        <v/>
      </c>
      <c r="E793" s="5" t="str">
        <f>IFERROR(__xludf.DUMMYFUNCTION("IFERROR(REGEXEXTRACT(A793, ""y:([-+]?[0-9]*\.?[0-9]+)""), """")"),"")</f>
        <v/>
      </c>
    </row>
    <row r="794">
      <c r="A794" s="13"/>
      <c r="B794" s="4">
        <f>IFERROR(__xludf.DUMMYFUNCTION("IFERROR(VALUE(REGEXEXTRACT(A794, ""angle:(\d+)"")), -1)"),-1.0)</f>
        <v>-1</v>
      </c>
      <c r="C794" s="5" t="str">
        <f t="shared" si="1"/>
        <v>-001</v>
      </c>
      <c r="D794" s="5" t="str">
        <f>IFERROR(__xludf.DUMMYFUNCTION("IFERROR(REGEXEXTRACT(A794, ""x:([-+]?[0-9]*\.?[0-9]+)""), """")"),"")</f>
        <v/>
      </c>
      <c r="E794" s="5" t="str">
        <f>IFERROR(__xludf.DUMMYFUNCTION("IFERROR(REGEXEXTRACT(A794, ""y:([-+]?[0-9]*\.?[0-9]+)""), """")"),"")</f>
        <v/>
      </c>
    </row>
    <row r="795">
      <c r="A795" s="13"/>
      <c r="B795" s="4">
        <f>IFERROR(__xludf.DUMMYFUNCTION("IFERROR(VALUE(REGEXEXTRACT(A795, ""angle:(\d+)"")), -1)"),-1.0)</f>
        <v>-1</v>
      </c>
      <c r="C795" s="5" t="str">
        <f t="shared" si="1"/>
        <v>-001</v>
      </c>
      <c r="D795" s="5" t="str">
        <f>IFERROR(__xludf.DUMMYFUNCTION("IFERROR(REGEXEXTRACT(A795, ""x:([-+]?[0-9]*\.?[0-9]+)""), """")"),"")</f>
        <v/>
      </c>
      <c r="E795" s="5" t="str">
        <f>IFERROR(__xludf.DUMMYFUNCTION("IFERROR(REGEXEXTRACT(A795, ""y:([-+]?[0-9]*\.?[0-9]+)""), """")"),"")</f>
        <v/>
      </c>
    </row>
    <row r="796">
      <c r="A796" s="13"/>
      <c r="B796" s="4">
        <f>IFERROR(__xludf.DUMMYFUNCTION("IFERROR(VALUE(REGEXEXTRACT(A796, ""angle:(\d+)"")), -1)"),-1.0)</f>
        <v>-1</v>
      </c>
      <c r="C796" s="5" t="str">
        <f t="shared" si="1"/>
        <v>-001</v>
      </c>
      <c r="D796" s="5" t="str">
        <f>IFERROR(__xludf.DUMMYFUNCTION("IFERROR(REGEXEXTRACT(A796, ""x:([-+]?[0-9]*\.?[0-9]+)""), """")"),"")</f>
        <v/>
      </c>
      <c r="E796" s="5" t="str">
        <f>IFERROR(__xludf.DUMMYFUNCTION("IFERROR(REGEXEXTRACT(A796, ""y:([-+]?[0-9]*\.?[0-9]+)""), """")"),"")</f>
        <v/>
      </c>
    </row>
    <row r="797">
      <c r="A797" s="13"/>
      <c r="B797" s="4">
        <f>IFERROR(__xludf.DUMMYFUNCTION("IFERROR(VALUE(REGEXEXTRACT(A797, ""angle:(\d+)"")), -1)"),-1.0)</f>
        <v>-1</v>
      </c>
      <c r="C797" s="5" t="str">
        <f t="shared" si="1"/>
        <v>-001</v>
      </c>
      <c r="D797" s="5" t="str">
        <f>IFERROR(__xludf.DUMMYFUNCTION("IFERROR(REGEXEXTRACT(A797, ""x:([-+]?[0-9]*\.?[0-9]+)""), """")"),"")</f>
        <v/>
      </c>
      <c r="E797" s="5" t="str">
        <f>IFERROR(__xludf.DUMMYFUNCTION("IFERROR(REGEXEXTRACT(A797, ""y:([-+]?[0-9]*\.?[0-9]+)""), """")"),"")</f>
        <v/>
      </c>
    </row>
    <row r="798">
      <c r="A798" s="13"/>
      <c r="B798" s="4">
        <f>IFERROR(__xludf.DUMMYFUNCTION("IFERROR(VALUE(REGEXEXTRACT(A798, ""angle:(\d+)"")), -1)"),-1.0)</f>
        <v>-1</v>
      </c>
      <c r="C798" s="5" t="str">
        <f t="shared" si="1"/>
        <v>-001</v>
      </c>
      <c r="D798" s="5" t="str">
        <f>IFERROR(__xludf.DUMMYFUNCTION("IFERROR(REGEXEXTRACT(A798, ""x:([-+]?[0-9]*\.?[0-9]+)""), """")"),"")</f>
        <v/>
      </c>
      <c r="E798" s="5" t="str">
        <f>IFERROR(__xludf.DUMMYFUNCTION("IFERROR(REGEXEXTRACT(A798, ""y:([-+]?[0-9]*\.?[0-9]+)""), """")"),"")</f>
        <v/>
      </c>
    </row>
    <row r="799">
      <c r="A799" s="13"/>
      <c r="B799" s="4">
        <f>IFERROR(__xludf.DUMMYFUNCTION("IFERROR(VALUE(REGEXEXTRACT(A799, ""angle:(\d+)"")), -1)"),-1.0)</f>
        <v>-1</v>
      </c>
      <c r="C799" s="5" t="str">
        <f t="shared" si="1"/>
        <v>-001</v>
      </c>
      <c r="D799" s="5" t="str">
        <f>IFERROR(__xludf.DUMMYFUNCTION("IFERROR(REGEXEXTRACT(A799, ""x:([-+]?[0-9]*\.?[0-9]+)""), """")"),"")</f>
        <v/>
      </c>
      <c r="E799" s="5" t="str">
        <f>IFERROR(__xludf.DUMMYFUNCTION("IFERROR(REGEXEXTRACT(A799, ""y:([-+]?[0-9]*\.?[0-9]+)""), """")"),"")</f>
        <v/>
      </c>
    </row>
    <row r="800">
      <c r="A800" s="13"/>
      <c r="B800" s="4">
        <f>IFERROR(__xludf.DUMMYFUNCTION("IFERROR(VALUE(REGEXEXTRACT(A800, ""angle:(\d+)"")), -1)"),-1.0)</f>
        <v>-1</v>
      </c>
      <c r="C800" s="5" t="str">
        <f t="shared" si="1"/>
        <v>-001</v>
      </c>
      <c r="D800" s="5" t="str">
        <f>IFERROR(__xludf.DUMMYFUNCTION("IFERROR(REGEXEXTRACT(A800, ""x:([-+]?[0-9]*\.?[0-9]+)""), """")"),"")</f>
        <v/>
      </c>
      <c r="E800" s="5" t="str">
        <f>IFERROR(__xludf.DUMMYFUNCTION("IFERROR(REGEXEXTRACT(A800, ""y:([-+]?[0-9]*\.?[0-9]+)""), """")"),"")</f>
        <v/>
      </c>
    </row>
    <row r="801">
      <c r="A801" s="13"/>
      <c r="B801" s="4">
        <f>IFERROR(__xludf.DUMMYFUNCTION("IFERROR(VALUE(REGEXEXTRACT(A801, ""angle:(\d+)"")), -1)"),-1.0)</f>
        <v>-1</v>
      </c>
      <c r="C801" s="5" t="str">
        <f t="shared" si="1"/>
        <v>-001</v>
      </c>
      <c r="D801" s="5" t="str">
        <f>IFERROR(__xludf.DUMMYFUNCTION("IFERROR(REGEXEXTRACT(A801, ""x:([-+]?[0-9]*\.?[0-9]+)""), """")"),"")</f>
        <v/>
      </c>
      <c r="E801" s="5" t="str">
        <f>IFERROR(__xludf.DUMMYFUNCTION("IFERROR(REGEXEXTRACT(A801, ""y:([-+]?[0-9]*\.?[0-9]+)""), """")"),"")</f>
        <v/>
      </c>
    </row>
    <row r="802">
      <c r="A802" s="13"/>
      <c r="B802" s="4">
        <f>IFERROR(__xludf.DUMMYFUNCTION("IFERROR(VALUE(REGEXEXTRACT(A802, ""angle:(\d+)"")), -1)"),-1.0)</f>
        <v>-1</v>
      </c>
      <c r="C802" s="5" t="str">
        <f t="shared" si="1"/>
        <v>-001</v>
      </c>
      <c r="D802" s="5" t="str">
        <f>IFERROR(__xludf.DUMMYFUNCTION("IFERROR(REGEXEXTRACT(A802, ""x:([-+]?[0-9]*\.?[0-9]+)""), """")"),"")</f>
        <v/>
      </c>
      <c r="E802" s="5" t="str">
        <f>IFERROR(__xludf.DUMMYFUNCTION("IFERROR(REGEXEXTRACT(A802, ""y:([-+]?[0-9]*\.?[0-9]+)""), """")"),"")</f>
        <v/>
      </c>
    </row>
    <row r="803">
      <c r="A803" s="13"/>
      <c r="B803" s="4">
        <f>IFERROR(__xludf.DUMMYFUNCTION("IFERROR(VALUE(REGEXEXTRACT(A803, ""angle:(\d+)"")), -1)"),-1.0)</f>
        <v>-1</v>
      </c>
      <c r="C803" s="5" t="str">
        <f t="shared" si="1"/>
        <v>-001</v>
      </c>
      <c r="D803" s="5" t="str">
        <f>IFERROR(__xludf.DUMMYFUNCTION("IFERROR(REGEXEXTRACT(A803, ""x:([-+]?[0-9]*\.?[0-9]+)""), """")"),"")</f>
        <v/>
      </c>
      <c r="E803" s="5" t="str">
        <f>IFERROR(__xludf.DUMMYFUNCTION("IFERROR(REGEXEXTRACT(A803, ""y:([-+]?[0-9]*\.?[0-9]+)""), """")"),"")</f>
        <v/>
      </c>
    </row>
    <row r="804">
      <c r="A804" s="13"/>
      <c r="B804" s="4">
        <f>IFERROR(__xludf.DUMMYFUNCTION("IFERROR(VALUE(REGEXEXTRACT(A804, ""angle:(\d+)"")), -1)"),-1.0)</f>
        <v>-1</v>
      </c>
      <c r="C804" s="5" t="str">
        <f t="shared" si="1"/>
        <v>-001</v>
      </c>
      <c r="D804" s="5" t="str">
        <f>IFERROR(__xludf.DUMMYFUNCTION("IFERROR(REGEXEXTRACT(A804, ""x:([-+]?[0-9]*\.?[0-9]+)""), """")"),"")</f>
        <v/>
      </c>
      <c r="E804" s="5" t="str">
        <f>IFERROR(__xludf.DUMMYFUNCTION("IFERROR(REGEXEXTRACT(A804, ""y:([-+]?[0-9]*\.?[0-9]+)""), """")"),"")</f>
        <v/>
      </c>
    </row>
    <row r="805">
      <c r="A805" s="13"/>
      <c r="B805" s="4">
        <f>IFERROR(__xludf.DUMMYFUNCTION("IFERROR(VALUE(REGEXEXTRACT(A805, ""angle:(\d+)"")), -1)"),-1.0)</f>
        <v>-1</v>
      </c>
      <c r="C805" s="5" t="str">
        <f t="shared" si="1"/>
        <v>-001</v>
      </c>
      <c r="D805" s="5" t="str">
        <f>IFERROR(__xludf.DUMMYFUNCTION("IFERROR(REGEXEXTRACT(A805, ""x:([-+]?[0-9]*\.?[0-9]+)""), """")"),"")</f>
        <v/>
      </c>
      <c r="E805" s="5" t="str">
        <f>IFERROR(__xludf.DUMMYFUNCTION("IFERROR(REGEXEXTRACT(A805, ""y:([-+]?[0-9]*\.?[0-9]+)""), """")"),"")</f>
        <v/>
      </c>
    </row>
    <row r="806">
      <c r="A806" s="13"/>
      <c r="B806" s="4">
        <f>IFERROR(__xludf.DUMMYFUNCTION("IFERROR(VALUE(REGEXEXTRACT(A806, ""angle:(\d+)"")), -1)"),-1.0)</f>
        <v>-1</v>
      </c>
      <c r="C806" s="5" t="str">
        <f t="shared" si="1"/>
        <v>-001</v>
      </c>
      <c r="D806" s="5" t="str">
        <f>IFERROR(__xludf.DUMMYFUNCTION("IFERROR(REGEXEXTRACT(A806, ""x:([-+]?[0-9]*\.?[0-9]+)""), """")"),"")</f>
        <v/>
      </c>
      <c r="E806" s="5" t="str">
        <f>IFERROR(__xludf.DUMMYFUNCTION("IFERROR(REGEXEXTRACT(A806, ""y:([-+]?[0-9]*\.?[0-9]+)""), """")"),"")</f>
        <v/>
      </c>
    </row>
    <row r="807">
      <c r="A807" s="13"/>
      <c r="B807" s="4">
        <f>IFERROR(__xludf.DUMMYFUNCTION("IFERROR(VALUE(REGEXEXTRACT(A807, ""angle:(\d+)"")), -1)"),-1.0)</f>
        <v>-1</v>
      </c>
      <c r="C807" s="5" t="str">
        <f t="shared" si="1"/>
        <v>-001</v>
      </c>
      <c r="D807" s="5" t="str">
        <f>IFERROR(__xludf.DUMMYFUNCTION("IFERROR(REGEXEXTRACT(A807, ""x:([-+]?[0-9]*\.?[0-9]+)""), """")"),"")</f>
        <v/>
      </c>
      <c r="E807" s="5" t="str">
        <f>IFERROR(__xludf.DUMMYFUNCTION("IFERROR(REGEXEXTRACT(A807, ""y:([-+]?[0-9]*\.?[0-9]+)""), """")"),"")</f>
        <v/>
      </c>
    </row>
    <row r="808">
      <c r="A808" s="13"/>
      <c r="B808" s="4">
        <f>IFERROR(__xludf.DUMMYFUNCTION("IFERROR(VALUE(REGEXEXTRACT(A808, ""angle:(\d+)"")), -1)"),-1.0)</f>
        <v>-1</v>
      </c>
      <c r="C808" s="5" t="str">
        <f t="shared" si="1"/>
        <v>-001</v>
      </c>
      <c r="D808" s="5" t="str">
        <f>IFERROR(__xludf.DUMMYFUNCTION("IFERROR(REGEXEXTRACT(A808, ""x:([-+]?[0-9]*\.?[0-9]+)""), """")"),"")</f>
        <v/>
      </c>
      <c r="E808" s="5" t="str">
        <f>IFERROR(__xludf.DUMMYFUNCTION("IFERROR(REGEXEXTRACT(A808, ""y:([-+]?[0-9]*\.?[0-9]+)""), """")"),"")</f>
        <v/>
      </c>
    </row>
    <row r="809">
      <c r="A809" s="13"/>
      <c r="B809" s="4">
        <f>IFERROR(__xludf.DUMMYFUNCTION("IFERROR(VALUE(REGEXEXTRACT(A809, ""angle:(\d+)"")), -1)"),-1.0)</f>
        <v>-1</v>
      </c>
      <c r="C809" s="5" t="str">
        <f t="shared" si="1"/>
        <v>-001</v>
      </c>
      <c r="D809" s="5" t="str">
        <f>IFERROR(__xludf.DUMMYFUNCTION("IFERROR(REGEXEXTRACT(A809, ""x:([-+]?[0-9]*\.?[0-9]+)""), """")"),"")</f>
        <v/>
      </c>
      <c r="E809" s="5" t="str">
        <f>IFERROR(__xludf.DUMMYFUNCTION("IFERROR(REGEXEXTRACT(A809, ""y:([-+]?[0-9]*\.?[0-9]+)""), """")"),"")</f>
        <v/>
      </c>
    </row>
    <row r="810">
      <c r="A810" s="13"/>
      <c r="B810" s="4">
        <f>IFERROR(__xludf.DUMMYFUNCTION("IFERROR(VALUE(REGEXEXTRACT(A810, ""angle:(\d+)"")), -1)"),-1.0)</f>
        <v>-1</v>
      </c>
      <c r="C810" s="5" t="str">
        <f t="shared" si="1"/>
        <v>-001</v>
      </c>
      <c r="D810" s="5" t="str">
        <f>IFERROR(__xludf.DUMMYFUNCTION("IFERROR(REGEXEXTRACT(A810, ""x:([-+]?[0-9]*\.?[0-9]+)""), """")"),"")</f>
        <v/>
      </c>
      <c r="E810" s="5" t="str">
        <f>IFERROR(__xludf.DUMMYFUNCTION("IFERROR(REGEXEXTRACT(A810, ""y:([-+]?[0-9]*\.?[0-9]+)""), """")"),"")</f>
        <v/>
      </c>
    </row>
    <row r="811">
      <c r="A811" s="13"/>
      <c r="B811" s="4">
        <f>IFERROR(__xludf.DUMMYFUNCTION("IFERROR(VALUE(REGEXEXTRACT(A811, ""angle:(\d+)"")), -1)"),-1.0)</f>
        <v>-1</v>
      </c>
      <c r="C811" s="5" t="str">
        <f t="shared" si="1"/>
        <v>-001</v>
      </c>
      <c r="D811" s="5" t="str">
        <f>IFERROR(__xludf.DUMMYFUNCTION("IFERROR(REGEXEXTRACT(A811, ""x:([-+]?[0-9]*\.?[0-9]+)""), """")"),"")</f>
        <v/>
      </c>
      <c r="E811" s="5" t="str">
        <f>IFERROR(__xludf.DUMMYFUNCTION("IFERROR(REGEXEXTRACT(A811, ""y:([-+]?[0-9]*\.?[0-9]+)""), """")"),"")</f>
        <v/>
      </c>
    </row>
    <row r="812">
      <c r="A812" s="13"/>
      <c r="B812" s="4">
        <f>IFERROR(__xludf.DUMMYFUNCTION("IFERROR(VALUE(REGEXEXTRACT(A812, ""angle:(\d+)"")), -1)"),-1.0)</f>
        <v>-1</v>
      </c>
      <c r="C812" s="5" t="str">
        <f t="shared" si="1"/>
        <v>-001</v>
      </c>
      <c r="D812" s="5" t="str">
        <f>IFERROR(__xludf.DUMMYFUNCTION("IFERROR(REGEXEXTRACT(A812, ""x:([-+]?[0-9]*\.?[0-9]+)""), """")"),"")</f>
        <v/>
      </c>
      <c r="E812" s="5" t="str">
        <f>IFERROR(__xludf.DUMMYFUNCTION("IFERROR(REGEXEXTRACT(A812, ""y:([-+]?[0-9]*\.?[0-9]+)""), """")"),"")</f>
        <v/>
      </c>
    </row>
    <row r="813">
      <c r="A813" s="13"/>
      <c r="B813" s="4">
        <f>IFERROR(__xludf.DUMMYFUNCTION("IFERROR(VALUE(REGEXEXTRACT(A813, ""angle:(\d+)"")), -1)"),-1.0)</f>
        <v>-1</v>
      </c>
      <c r="C813" s="5" t="str">
        <f t="shared" si="1"/>
        <v>-001</v>
      </c>
      <c r="D813" s="5" t="str">
        <f>IFERROR(__xludf.DUMMYFUNCTION("IFERROR(REGEXEXTRACT(A813, ""x:([-+]?[0-9]*\.?[0-9]+)""), """")"),"")</f>
        <v/>
      </c>
      <c r="E813" s="5" t="str">
        <f>IFERROR(__xludf.DUMMYFUNCTION("IFERROR(REGEXEXTRACT(A813, ""y:([-+]?[0-9]*\.?[0-9]+)""), """")"),"")</f>
        <v/>
      </c>
    </row>
    <row r="814">
      <c r="A814" s="13"/>
      <c r="B814" s="4">
        <f>IFERROR(__xludf.DUMMYFUNCTION("IFERROR(VALUE(REGEXEXTRACT(A814, ""angle:(\d+)"")), -1)"),-1.0)</f>
        <v>-1</v>
      </c>
      <c r="C814" s="5" t="str">
        <f t="shared" si="1"/>
        <v>-001</v>
      </c>
      <c r="D814" s="5" t="str">
        <f>IFERROR(__xludf.DUMMYFUNCTION("IFERROR(REGEXEXTRACT(A814, ""x:([-+]?[0-9]*\.?[0-9]+)""), """")"),"")</f>
        <v/>
      </c>
      <c r="E814" s="5" t="str">
        <f>IFERROR(__xludf.DUMMYFUNCTION("IFERROR(REGEXEXTRACT(A814, ""y:([-+]?[0-9]*\.?[0-9]+)""), """")"),"")</f>
        <v/>
      </c>
    </row>
    <row r="815">
      <c r="A815" s="13"/>
      <c r="B815" s="4">
        <f>IFERROR(__xludf.DUMMYFUNCTION("IFERROR(VALUE(REGEXEXTRACT(A815, ""angle:(\d+)"")), -1)"),-1.0)</f>
        <v>-1</v>
      </c>
      <c r="C815" s="5" t="str">
        <f t="shared" si="1"/>
        <v>-001</v>
      </c>
      <c r="D815" s="5" t="str">
        <f>IFERROR(__xludf.DUMMYFUNCTION("IFERROR(REGEXEXTRACT(A815, ""x:([-+]?[0-9]*\.?[0-9]+)""), """")"),"")</f>
        <v/>
      </c>
      <c r="E815" s="5" t="str">
        <f>IFERROR(__xludf.DUMMYFUNCTION("IFERROR(REGEXEXTRACT(A815, ""y:([-+]?[0-9]*\.?[0-9]+)""), """")"),"")</f>
        <v/>
      </c>
    </row>
    <row r="816">
      <c r="A816" s="13"/>
      <c r="B816" s="4">
        <f>IFERROR(__xludf.DUMMYFUNCTION("IFERROR(VALUE(REGEXEXTRACT(A816, ""angle:(\d+)"")), -1)"),-1.0)</f>
        <v>-1</v>
      </c>
      <c r="C816" s="5" t="str">
        <f t="shared" si="1"/>
        <v>-001</v>
      </c>
      <c r="D816" s="5" t="str">
        <f>IFERROR(__xludf.DUMMYFUNCTION("IFERROR(REGEXEXTRACT(A816, ""x:([-+]?[0-9]*\.?[0-9]+)""), """")"),"")</f>
        <v/>
      </c>
      <c r="E816" s="5" t="str">
        <f>IFERROR(__xludf.DUMMYFUNCTION("IFERROR(REGEXEXTRACT(A816, ""y:([-+]?[0-9]*\.?[0-9]+)""), """")"),"")</f>
        <v/>
      </c>
    </row>
    <row r="817">
      <c r="A817" s="13"/>
      <c r="B817" s="4">
        <f>IFERROR(__xludf.DUMMYFUNCTION("IFERROR(VALUE(REGEXEXTRACT(A817, ""angle:(\d+)"")), -1)"),-1.0)</f>
        <v>-1</v>
      </c>
      <c r="C817" s="5" t="str">
        <f t="shared" si="1"/>
        <v>-001</v>
      </c>
      <c r="D817" s="5" t="str">
        <f>IFERROR(__xludf.DUMMYFUNCTION("IFERROR(REGEXEXTRACT(A817, ""x:([-+]?[0-9]*\.?[0-9]+)""), """")"),"")</f>
        <v/>
      </c>
      <c r="E817" s="5" t="str">
        <f>IFERROR(__xludf.DUMMYFUNCTION("IFERROR(REGEXEXTRACT(A817, ""y:([-+]?[0-9]*\.?[0-9]+)""), """")"),"")</f>
        <v/>
      </c>
    </row>
    <row r="818">
      <c r="A818" s="13"/>
      <c r="B818" s="4">
        <f>IFERROR(__xludf.DUMMYFUNCTION("IFERROR(VALUE(REGEXEXTRACT(A818, ""angle:(\d+)"")), -1)"),-1.0)</f>
        <v>-1</v>
      </c>
      <c r="C818" s="5" t="str">
        <f t="shared" si="1"/>
        <v>-001</v>
      </c>
      <c r="D818" s="5" t="str">
        <f>IFERROR(__xludf.DUMMYFUNCTION("IFERROR(REGEXEXTRACT(A818, ""x:([-+]?[0-9]*\.?[0-9]+)""), """")"),"")</f>
        <v/>
      </c>
      <c r="E818" s="5" t="str">
        <f>IFERROR(__xludf.DUMMYFUNCTION("IFERROR(REGEXEXTRACT(A818, ""y:([-+]?[0-9]*\.?[0-9]+)""), """")"),"")</f>
        <v/>
      </c>
    </row>
    <row r="819">
      <c r="A819" s="13"/>
      <c r="B819" s="4">
        <f>IFERROR(__xludf.DUMMYFUNCTION("IFERROR(VALUE(REGEXEXTRACT(A819, ""angle:(\d+)"")), -1)"),-1.0)</f>
        <v>-1</v>
      </c>
      <c r="C819" s="5" t="str">
        <f t="shared" si="1"/>
        <v>-001</v>
      </c>
      <c r="D819" s="5" t="str">
        <f>IFERROR(__xludf.DUMMYFUNCTION("IFERROR(REGEXEXTRACT(A819, ""x:([-+]?[0-9]*\.?[0-9]+)""), """")"),"")</f>
        <v/>
      </c>
      <c r="E819" s="5" t="str">
        <f>IFERROR(__xludf.DUMMYFUNCTION("IFERROR(REGEXEXTRACT(A819, ""y:([-+]?[0-9]*\.?[0-9]+)""), """")"),"")</f>
        <v/>
      </c>
    </row>
    <row r="820">
      <c r="A820" s="13"/>
      <c r="B820" s="4">
        <f>IFERROR(__xludf.DUMMYFUNCTION("IFERROR(VALUE(REGEXEXTRACT(A820, ""angle:(\d+)"")), -1)"),-1.0)</f>
        <v>-1</v>
      </c>
      <c r="C820" s="5" t="str">
        <f t="shared" si="1"/>
        <v>-001</v>
      </c>
      <c r="D820" s="5" t="str">
        <f>IFERROR(__xludf.DUMMYFUNCTION("IFERROR(REGEXEXTRACT(A820, ""x:([-+]?[0-9]*\.?[0-9]+)""), """")"),"")</f>
        <v/>
      </c>
      <c r="E820" s="5" t="str">
        <f>IFERROR(__xludf.DUMMYFUNCTION("IFERROR(REGEXEXTRACT(A820, ""y:([-+]?[0-9]*\.?[0-9]+)""), """")"),"")</f>
        <v/>
      </c>
    </row>
    <row r="821">
      <c r="A821" s="13"/>
      <c r="B821" s="4">
        <f>IFERROR(__xludf.DUMMYFUNCTION("IFERROR(VALUE(REGEXEXTRACT(A821, ""angle:(\d+)"")), -1)"),-1.0)</f>
        <v>-1</v>
      </c>
      <c r="C821" s="5" t="str">
        <f t="shared" si="1"/>
        <v>-001</v>
      </c>
      <c r="D821" s="5" t="str">
        <f>IFERROR(__xludf.DUMMYFUNCTION("IFERROR(REGEXEXTRACT(A821, ""x:([-+]?[0-9]*\.?[0-9]+)""), """")"),"")</f>
        <v/>
      </c>
      <c r="E821" s="5" t="str">
        <f>IFERROR(__xludf.DUMMYFUNCTION("IFERROR(REGEXEXTRACT(A821, ""y:([-+]?[0-9]*\.?[0-9]+)""), """")"),"")</f>
        <v/>
      </c>
    </row>
    <row r="822">
      <c r="A822" s="13"/>
      <c r="B822" s="4">
        <f>IFERROR(__xludf.DUMMYFUNCTION("IFERROR(VALUE(REGEXEXTRACT(A822, ""angle:(\d+)"")), -1)"),-1.0)</f>
        <v>-1</v>
      </c>
      <c r="C822" s="5" t="str">
        <f t="shared" si="1"/>
        <v>-001</v>
      </c>
      <c r="D822" s="5" t="str">
        <f>IFERROR(__xludf.DUMMYFUNCTION("IFERROR(REGEXEXTRACT(A822, ""x:([-+]?[0-9]*\.?[0-9]+)""), """")"),"")</f>
        <v/>
      </c>
      <c r="E822" s="5" t="str">
        <f>IFERROR(__xludf.DUMMYFUNCTION("IFERROR(REGEXEXTRACT(A822, ""y:([-+]?[0-9]*\.?[0-9]+)""), """")"),"")</f>
        <v/>
      </c>
    </row>
    <row r="823">
      <c r="A823" s="13"/>
      <c r="B823" s="4">
        <f>IFERROR(__xludf.DUMMYFUNCTION("IFERROR(VALUE(REGEXEXTRACT(A823, ""angle:(\d+)"")), -1)"),-1.0)</f>
        <v>-1</v>
      </c>
      <c r="C823" s="5" t="str">
        <f t="shared" si="1"/>
        <v>-001</v>
      </c>
      <c r="D823" s="5" t="str">
        <f>IFERROR(__xludf.DUMMYFUNCTION("IFERROR(REGEXEXTRACT(A823, ""x:([-+]?[0-9]*\.?[0-9]+)""), """")"),"")</f>
        <v/>
      </c>
      <c r="E823" s="5" t="str">
        <f>IFERROR(__xludf.DUMMYFUNCTION("IFERROR(REGEXEXTRACT(A823, ""y:([-+]?[0-9]*\.?[0-9]+)""), """")"),"")</f>
        <v/>
      </c>
    </row>
    <row r="824">
      <c r="A824" s="13"/>
      <c r="B824" s="4">
        <f>IFERROR(__xludf.DUMMYFUNCTION("IFERROR(VALUE(REGEXEXTRACT(A824, ""angle:(\d+)"")), -1)"),-1.0)</f>
        <v>-1</v>
      </c>
      <c r="C824" s="5" t="str">
        <f t="shared" si="1"/>
        <v>-001</v>
      </c>
      <c r="D824" s="5" t="str">
        <f>IFERROR(__xludf.DUMMYFUNCTION("IFERROR(REGEXEXTRACT(A824, ""x:([-+]?[0-9]*\.?[0-9]+)""), """")"),"")</f>
        <v/>
      </c>
      <c r="E824" s="5" t="str">
        <f>IFERROR(__xludf.DUMMYFUNCTION("IFERROR(REGEXEXTRACT(A824, ""y:([-+]?[0-9]*\.?[0-9]+)""), """")"),"")</f>
        <v/>
      </c>
    </row>
    <row r="825">
      <c r="A825" s="13"/>
      <c r="B825" s="4">
        <f>IFERROR(__xludf.DUMMYFUNCTION("IFERROR(VALUE(REGEXEXTRACT(A825, ""angle:(\d+)"")), -1)"),-1.0)</f>
        <v>-1</v>
      </c>
      <c r="C825" s="5" t="str">
        <f t="shared" si="1"/>
        <v>-001</v>
      </c>
      <c r="D825" s="5" t="str">
        <f>IFERROR(__xludf.DUMMYFUNCTION("IFERROR(REGEXEXTRACT(A825, ""x:([-+]?[0-9]*\.?[0-9]+)""), """")"),"")</f>
        <v/>
      </c>
      <c r="E825" s="5" t="str">
        <f>IFERROR(__xludf.DUMMYFUNCTION("IFERROR(REGEXEXTRACT(A825, ""y:([-+]?[0-9]*\.?[0-9]+)""), """")"),"")</f>
        <v/>
      </c>
    </row>
    <row r="826">
      <c r="A826" s="13"/>
      <c r="B826" s="4">
        <f>IFERROR(__xludf.DUMMYFUNCTION("IFERROR(VALUE(REGEXEXTRACT(A826, ""angle:(\d+)"")), -1)"),-1.0)</f>
        <v>-1</v>
      </c>
      <c r="C826" s="5" t="str">
        <f t="shared" si="1"/>
        <v>-001</v>
      </c>
      <c r="D826" s="5" t="str">
        <f>IFERROR(__xludf.DUMMYFUNCTION("IFERROR(REGEXEXTRACT(A826, ""x:([-+]?[0-9]*\.?[0-9]+)""), """")"),"")</f>
        <v/>
      </c>
      <c r="E826" s="5" t="str">
        <f>IFERROR(__xludf.DUMMYFUNCTION("IFERROR(REGEXEXTRACT(A826, ""y:([-+]?[0-9]*\.?[0-9]+)""), """")"),"")</f>
        <v/>
      </c>
    </row>
    <row r="827">
      <c r="A827" s="13"/>
      <c r="B827" s="4">
        <f>IFERROR(__xludf.DUMMYFUNCTION("IFERROR(VALUE(REGEXEXTRACT(A827, ""angle:(\d+)"")), -1)"),-1.0)</f>
        <v>-1</v>
      </c>
      <c r="C827" s="5" t="str">
        <f t="shared" si="1"/>
        <v>-001</v>
      </c>
      <c r="D827" s="5" t="str">
        <f>IFERROR(__xludf.DUMMYFUNCTION("IFERROR(REGEXEXTRACT(A827, ""x:([-+]?[0-9]*\.?[0-9]+)""), """")"),"")</f>
        <v/>
      </c>
      <c r="E827" s="5" t="str">
        <f>IFERROR(__xludf.DUMMYFUNCTION("IFERROR(REGEXEXTRACT(A827, ""y:([-+]?[0-9]*\.?[0-9]+)""), """")"),"")</f>
        <v/>
      </c>
    </row>
    <row r="828">
      <c r="A828" s="13"/>
      <c r="B828" s="4">
        <f>IFERROR(__xludf.DUMMYFUNCTION("IFERROR(VALUE(REGEXEXTRACT(A828, ""angle:(\d+)"")), -1)"),-1.0)</f>
        <v>-1</v>
      </c>
      <c r="C828" s="5" t="str">
        <f t="shared" si="1"/>
        <v>-001</v>
      </c>
      <c r="D828" s="5" t="str">
        <f>IFERROR(__xludf.DUMMYFUNCTION("IFERROR(REGEXEXTRACT(A828, ""x:([-+]?[0-9]*\.?[0-9]+)""), """")"),"")</f>
        <v/>
      </c>
      <c r="E828" s="5" t="str">
        <f>IFERROR(__xludf.DUMMYFUNCTION("IFERROR(REGEXEXTRACT(A828, ""y:([-+]?[0-9]*\.?[0-9]+)""), """")"),"")</f>
        <v/>
      </c>
    </row>
    <row r="829">
      <c r="A829" s="13"/>
      <c r="B829" s="4">
        <f>IFERROR(__xludf.DUMMYFUNCTION("IFERROR(VALUE(REGEXEXTRACT(A829, ""angle:(\d+)"")), -1)"),-1.0)</f>
        <v>-1</v>
      </c>
      <c r="C829" s="5" t="str">
        <f t="shared" si="1"/>
        <v>-001</v>
      </c>
      <c r="D829" s="5" t="str">
        <f>IFERROR(__xludf.DUMMYFUNCTION("IFERROR(REGEXEXTRACT(A829, ""x:([-+]?[0-9]*\.?[0-9]+)""), """")"),"")</f>
        <v/>
      </c>
      <c r="E829" s="5" t="str">
        <f>IFERROR(__xludf.DUMMYFUNCTION("IFERROR(REGEXEXTRACT(A829, ""y:([-+]?[0-9]*\.?[0-9]+)""), """")"),"")</f>
        <v/>
      </c>
    </row>
    <row r="830">
      <c r="A830" s="13"/>
      <c r="B830" s="4">
        <f>IFERROR(__xludf.DUMMYFUNCTION("IFERROR(VALUE(REGEXEXTRACT(A830, ""angle:(\d+)"")), -1)"),-1.0)</f>
        <v>-1</v>
      </c>
      <c r="C830" s="5" t="str">
        <f t="shared" si="1"/>
        <v>-001</v>
      </c>
      <c r="D830" s="5" t="str">
        <f>IFERROR(__xludf.DUMMYFUNCTION("IFERROR(REGEXEXTRACT(A830, ""x:([-+]?[0-9]*\.?[0-9]+)""), """")"),"")</f>
        <v/>
      </c>
      <c r="E830" s="5" t="str">
        <f>IFERROR(__xludf.DUMMYFUNCTION("IFERROR(REGEXEXTRACT(A830, ""y:([-+]?[0-9]*\.?[0-9]+)""), """")"),"")</f>
        <v/>
      </c>
    </row>
    <row r="831">
      <c r="A831" s="13"/>
      <c r="B831" s="4">
        <f>IFERROR(__xludf.DUMMYFUNCTION("IFERROR(VALUE(REGEXEXTRACT(A831, ""angle:(\d+)"")), -1)"),-1.0)</f>
        <v>-1</v>
      </c>
      <c r="C831" s="5" t="str">
        <f t="shared" si="1"/>
        <v>-001</v>
      </c>
      <c r="D831" s="5" t="str">
        <f>IFERROR(__xludf.DUMMYFUNCTION("IFERROR(REGEXEXTRACT(A831, ""x:([-+]?[0-9]*\.?[0-9]+)""), """")"),"")</f>
        <v/>
      </c>
      <c r="E831" s="5" t="str">
        <f>IFERROR(__xludf.DUMMYFUNCTION("IFERROR(REGEXEXTRACT(A831, ""y:([-+]?[0-9]*\.?[0-9]+)""), """")"),"")</f>
        <v/>
      </c>
    </row>
    <row r="832">
      <c r="A832" s="13"/>
      <c r="B832" s="4">
        <f>IFERROR(__xludf.DUMMYFUNCTION("IFERROR(VALUE(REGEXEXTRACT(A832, ""angle:(\d+)"")), -1)"),-1.0)</f>
        <v>-1</v>
      </c>
      <c r="C832" s="5" t="str">
        <f t="shared" si="1"/>
        <v>-001</v>
      </c>
      <c r="D832" s="5" t="str">
        <f>IFERROR(__xludf.DUMMYFUNCTION("IFERROR(REGEXEXTRACT(A832, ""x:([-+]?[0-9]*\.?[0-9]+)""), """")"),"")</f>
        <v/>
      </c>
      <c r="E832" s="5" t="str">
        <f>IFERROR(__xludf.DUMMYFUNCTION("IFERROR(REGEXEXTRACT(A832, ""y:([-+]?[0-9]*\.?[0-9]+)""), """")"),"")</f>
        <v/>
      </c>
    </row>
    <row r="833">
      <c r="A833" s="13"/>
      <c r="B833" s="4">
        <f>IFERROR(__xludf.DUMMYFUNCTION("IFERROR(VALUE(REGEXEXTRACT(A833, ""angle:(\d+)"")), -1)"),-1.0)</f>
        <v>-1</v>
      </c>
      <c r="C833" s="5" t="str">
        <f t="shared" si="1"/>
        <v>-001</v>
      </c>
      <c r="D833" s="5" t="str">
        <f>IFERROR(__xludf.DUMMYFUNCTION("IFERROR(REGEXEXTRACT(A833, ""x:([-+]?[0-9]*\.?[0-9]+)""), """")"),"")</f>
        <v/>
      </c>
      <c r="E833" s="5" t="str">
        <f>IFERROR(__xludf.DUMMYFUNCTION("IFERROR(REGEXEXTRACT(A833, ""y:([-+]?[0-9]*\.?[0-9]+)""), """")"),"")</f>
        <v/>
      </c>
    </row>
    <row r="834">
      <c r="A834" s="13"/>
      <c r="B834" s="4">
        <f>IFERROR(__xludf.DUMMYFUNCTION("IFERROR(VALUE(REGEXEXTRACT(A834, ""angle:(\d+)"")), -1)"),-1.0)</f>
        <v>-1</v>
      </c>
      <c r="C834" s="5" t="str">
        <f t="shared" si="1"/>
        <v>-001</v>
      </c>
      <c r="D834" s="5" t="str">
        <f>IFERROR(__xludf.DUMMYFUNCTION("IFERROR(REGEXEXTRACT(A834, ""x:([-+]?[0-9]*\.?[0-9]+)""), """")"),"")</f>
        <v/>
      </c>
      <c r="E834" s="5" t="str">
        <f>IFERROR(__xludf.DUMMYFUNCTION("IFERROR(REGEXEXTRACT(A834, ""y:([-+]?[0-9]*\.?[0-9]+)""), """")"),"")</f>
        <v/>
      </c>
    </row>
    <row r="835">
      <c r="A835" s="13"/>
      <c r="B835" s="4">
        <f>IFERROR(__xludf.DUMMYFUNCTION("IFERROR(VALUE(REGEXEXTRACT(A835, ""angle:(\d+)"")), -1)"),-1.0)</f>
        <v>-1</v>
      </c>
      <c r="C835" s="5" t="str">
        <f t="shared" si="1"/>
        <v>-001</v>
      </c>
      <c r="D835" s="5" t="str">
        <f>IFERROR(__xludf.DUMMYFUNCTION("IFERROR(REGEXEXTRACT(A835, ""x:([-+]?[0-9]*\.?[0-9]+)""), """")"),"")</f>
        <v/>
      </c>
      <c r="E835" s="5" t="str">
        <f>IFERROR(__xludf.DUMMYFUNCTION("IFERROR(REGEXEXTRACT(A835, ""y:([-+]?[0-9]*\.?[0-9]+)""), """")"),"")</f>
        <v/>
      </c>
    </row>
    <row r="836">
      <c r="A836" s="13"/>
      <c r="B836" s="4">
        <f>IFERROR(__xludf.DUMMYFUNCTION("IFERROR(VALUE(REGEXEXTRACT(A836, ""angle:(\d+)"")), -1)"),-1.0)</f>
        <v>-1</v>
      </c>
      <c r="C836" s="5" t="str">
        <f t="shared" si="1"/>
        <v>-001</v>
      </c>
      <c r="D836" s="5" t="str">
        <f>IFERROR(__xludf.DUMMYFUNCTION("IFERROR(REGEXEXTRACT(A836, ""x:([-+]?[0-9]*\.?[0-9]+)""), """")"),"")</f>
        <v/>
      </c>
      <c r="E836" s="5" t="str">
        <f>IFERROR(__xludf.DUMMYFUNCTION("IFERROR(REGEXEXTRACT(A836, ""y:([-+]?[0-9]*\.?[0-9]+)""), """")"),"")</f>
        <v/>
      </c>
    </row>
    <row r="837">
      <c r="A837" s="13"/>
      <c r="B837" s="4">
        <f>IFERROR(__xludf.DUMMYFUNCTION("IFERROR(VALUE(REGEXEXTRACT(A837, ""angle:(\d+)"")), -1)"),-1.0)</f>
        <v>-1</v>
      </c>
      <c r="C837" s="5" t="str">
        <f t="shared" si="1"/>
        <v>-001</v>
      </c>
      <c r="D837" s="5" t="str">
        <f>IFERROR(__xludf.DUMMYFUNCTION("IFERROR(REGEXEXTRACT(A837, ""x:([-+]?[0-9]*\.?[0-9]+)""), """")"),"")</f>
        <v/>
      </c>
      <c r="E837" s="5" t="str">
        <f>IFERROR(__xludf.DUMMYFUNCTION("IFERROR(REGEXEXTRACT(A837, ""y:([-+]?[0-9]*\.?[0-9]+)""), """")"),"")</f>
        <v/>
      </c>
    </row>
    <row r="838">
      <c r="A838" s="13"/>
      <c r="B838" s="4">
        <f>IFERROR(__xludf.DUMMYFUNCTION("IFERROR(VALUE(REGEXEXTRACT(A838, ""angle:(\d+)"")), -1)"),-1.0)</f>
        <v>-1</v>
      </c>
      <c r="C838" s="5" t="str">
        <f t="shared" si="1"/>
        <v>-001</v>
      </c>
      <c r="D838" s="5" t="str">
        <f>IFERROR(__xludf.DUMMYFUNCTION("IFERROR(REGEXEXTRACT(A838, ""x:([-+]?[0-9]*\.?[0-9]+)""), """")"),"")</f>
        <v/>
      </c>
      <c r="E838" s="5" t="str">
        <f>IFERROR(__xludf.DUMMYFUNCTION("IFERROR(REGEXEXTRACT(A838, ""y:([-+]?[0-9]*\.?[0-9]+)""), """")"),"")</f>
        <v/>
      </c>
    </row>
    <row r="839">
      <c r="A839" s="13"/>
      <c r="B839" s="4">
        <f>IFERROR(__xludf.DUMMYFUNCTION("IFERROR(VALUE(REGEXEXTRACT(A839, ""angle:(\d+)"")), -1)"),-1.0)</f>
        <v>-1</v>
      </c>
      <c r="C839" s="5" t="str">
        <f t="shared" si="1"/>
        <v>-001</v>
      </c>
      <c r="D839" s="5" t="str">
        <f>IFERROR(__xludf.DUMMYFUNCTION("IFERROR(REGEXEXTRACT(A839, ""x:([-+]?[0-9]*\.?[0-9]+)""), """")"),"")</f>
        <v/>
      </c>
      <c r="E839" s="5" t="str">
        <f>IFERROR(__xludf.DUMMYFUNCTION("IFERROR(REGEXEXTRACT(A839, ""y:([-+]?[0-9]*\.?[0-9]+)""), """")"),"")</f>
        <v/>
      </c>
    </row>
    <row r="840">
      <c r="A840" s="13"/>
      <c r="B840" s="4">
        <f>IFERROR(__xludf.DUMMYFUNCTION("IFERROR(VALUE(REGEXEXTRACT(A840, ""angle:(\d+)"")), -1)"),-1.0)</f>
        <v>-1</v>
      </c>
      <c r="C840" s="5" t="str">
        <f t="shared" si="1"/>
        <v>-001</v>
      </c>
      <c r="D840" s="5" t="str">
        <f>IFERROR(__xludf.DUMMYFUNCTION("IFERROR(REGEXEXTRACT(A840, ""x:([-+]?[0-9]*\.?[0-9]+)""), """")"),"")</f>
        <v/>
      </c>
      <c r="E840" s="5" t="str">
        <f>IFERROR(__xludf.DUMMYFUNCTION("IFERROR(REGEXEXTRACT(A840, ""y:([-+]?[0-9]*\.?[0-9]+)""), """")"),"")</f>
        <v/>
      </c>
    </row>
    <row r="841">
      <c r="A841" s="13"/>
      <c r="B841" s="4">
        <f>IFERROR(__xludf.DUMMYFUNCTION("IFERROR(VALUE(REGEXEXTRACT(A841, ""angle:(\d+)"")), -1)"),-1.0)</f>
        <v>-1</v>
      </c>
      <c r="C841" s="5" t="str">
        <f t="shared" si="1"/>
        <v>-001</v>
      </c>
      <c r="D841" s="5" t="str">
        <f>IFERROR(__xludf.DUMMYFUNCTION("IFERROR(REGEXEXTRACT(A841, ""x:([-+]?[0-9]*\.?[0-9]+)""), """")"),"")</f>
        <v/>
      </c>
      <c r="E841" s="5" t="str">
        <f>IFERROR(__xludf.DUMMYFUNCTION("IFERROR(REGEXEXTRACT(A841, ""y:([-+]?[0-9]*\.?[0-9]+)""), """")"),"")</f>
        <v/>
      </c>
    </row>
    <row r="842">
      <c r="A842" s="13"/>
      <c r="B842" s="4">
        <f>IFERROR(__xludf.DUMMYFUNCTION("IFERROR(VALUE(REGEXEXTRACT(A842, ""angle:(\d+)"")), -1)"),-1.0)</f>
        <v>-1</v>
      </c>
      <c r="C842" s="5" t="str">
        <f t="shared" si="1"/>
        <v>-001</v>
      </c>
      <c r="D842" s="5" t="str">
        <f>IFERROR(__xludf.DUMMYFUNCTION("IFERROR(REGEXEXTRACT(A842, ""x:([-+]?[0-9]*\.?[0-9]+)""), """")"),"")</f>
        <v/>
      </c>
      <c r="E842" s="5" t="str">
        <f>IFERROR(__xludf.DUMMYFUNCTION("IFERROR(REGEXEXTRACT(A842, ""y:([-+]?[0-9]*\.?[0-9]+)""), """")"),"")</f>
        <v/>
      </c>
    </row>
    <row r="843">
      <c r="A843" s="13"/>
      <c r="B843" s="4">
        <f>IFERROR(__xludf.DUMMYFUNCTION("IFERROR(VALUE(REGEXEXTRACT(A843, ""angle:(\d+)"")), -1)"),-1.0)</f>
        <v>-1</v>
      </c>
      <c r="C843" s="5" t="str">
        <f t="shared" si="1"/>
        <v>-001</v>
      </c>
      <c r="D843" s="5" t="str">
        <f>IFERROR(__xludf.DUMMYFUNCTION("IFERROR(REGEXEXTRACT(A843, ""x:([-+]?[0-9]*\.?[0-9]+)""), """")"),"")</f>
        <v/>
      </c>
      <c r="E843" s="5" t="str">
        <f>IFERROR(__xludf.DUMMYFUNCTION("IFERROR(REGEXEXTRACT(A843, ""y:([-+]?[0-9]*\.?[0-9]+)""), """")"),"")</f>
        <v/>
      </c>
    </row>
    <row r="844">
      <c r="A844" s="13"/>
      <c r="B844" s="4">
        <f>IFERROR(__xludf.DUMMYFUNCTION("IFERROR(VALUE(REGEXEXTRACT(A844, ""angle:(\d+)"")), -1)"),-1.0)</f>
        <v>-1</v>
      </c>
      <c r="C844" s="5" t="str">
        <f t="shared" si="1"/>
        <v>-001</v>
      </c>
      <c r="D844" s="5" t="str">
        <f>IFERROR(__xludf.DUMMYFUNCTION("IFERROR(REGEXEXTRACT(A844, ""x:([-+]?[0-9]*\.?[0-9]+)""), """")"),"")</f>
        <v/>
      </c>
      <c r="E844" s="5" t="str">
        <f>IFERROR(__xludf.DUMMYFUNCTION("IFERROR(REGEXEXTRACT(A844, ""y:([-+]?[0-9]*\.?[0-9]+)""), """")"),"")</f>
        <v/>
      </c>
    </row>
    <row r="845">
      <c r="A845" s="13"/>
      <c r="B845" s="4">
        <f>IFERROR(__xludf.DUMMYFUNCTION("IFERROR(VALUE(REGEXEXTRACT(A845, ""angle:(\d+)"")), -1)"),-1.0)</f>
        <v>-1</v>
      </c>
      <c r="C845" s="5" t="str">
        <f t="shared" si="1"/>
        <v>-001</v>
      </c>
      <c r="D845" s="5" t="str">
        <f>IFERROR(__xludf.DUMMYFUNCTION("IFERROR(REGEXEXTRACT(A845, ""x:([-+]?[0-9]*\.?[0-9]+)""), """")"),"")</f>
        <v/>
      </c>
      <c r="E845" s="5" t="str">
        <f>IFERROR(__xludf.DUMMYFUNCTION("IFERROR(REGEXEXTRACT(A845, ""y:([-+]?[0-9]*\.?[0-9]+)""), """")"),"")</f>
        <v/>
      </c>
    </row>
    <row r="846">
      <c r="A846" s="13"/>
      <c r="B846" s="4">
        <f>IFERROR(__xludf.DUMMYFUNCTION("IFERROR(VALUE(REGEXEXTRACT(A846, ""angle:(\d+)"")), -1)"),-1.0)</f>
        <v>-1</v>
      </c>
      <c r="C846" s="5" t="str">
        <f t="shared" si="1"/>
        <v>-001</v>
      </c>
      <c r="D846" s="5" t="str">
        <f>IFERROR(__xludf.DUMMYFUNCTION("IFERROR(REGEXEXTRACT(A846, ""x:([-+]?[0-9]*\.?[0-9]+)""), """")"),"")</f>
        <v/>
      </c>
      <c r="E846" s="5" t="str">
        <f>IFERROR(__xludf.DUMMYFUNCTION("IFERROR(REGEXEXTRACT(A846, ""y:([-+]?[0-9]*\.?[0-9]+)""), """")"),"")</f>
        <v/>
      </c>
    </row>
    <row r="847">
      <c r="A847" s="13"/>
      <c r="B847" s="4">
        <f>IFERROR(__xludf.DUMMYFUNCTION("IFERROR(VALUE(REGEXEXTRACT(A847, ""angle:(\d+)"")), -1)"),-1.0)</f>
        <v>-1</v>
      </c>
      <c r="C847" s="5" t="str">
        <f t="shared" si="1"/>
        <v>-001</v>
      </c>
      <c r="D847" s="5" t="str">
        <f>IFERROR(__xludf.DUMMYFUNCTION("IFERROR(REGEXEXTRACT(A847, ""x:([-+]?[0-9]*\.?[0-9]+)""), """")"),"")</f>
        <v/>
      </c>
      <c r="E847" s="5" t="str">
        <f>IFERROR(__xludf.DUMMYFUNCTION("IFERROR(REGEXEXTRACT(A847, ""y:([-+]?[0-9]*\.?[0-9]+)""), """")"),"")</f>
        <v/>
      </c>
    </row>
    <row r="848">
      <c r="A848" s="13"/>
      <c r="B848" s="4">
        <f>IFERROR(__xludf.DUMMYFUNCTION("IFERROR(VALUE(REGEXEXTRACT(A848, ""angle:(\d+)"")), -1)"),-1.0)</f>
        <v>-1</v>
      </c>
      <c r="C848" s="5" t="str">
        <f t="shared" si="1"/>
        <v>-001</v>
      </c>
      <c r="D848" s="5" t="str">
        <f>IFERROR(__xludf.DUMMYFUNCTION("IFERROR(REGEXEXTRACT(A848, ""x:([-+]?[0-9]*\.?[0-9]+)""), """")"),"")</f>
        <v/>
      </c>
      <c r="E848" s="5" t="str">
        <f>IFERROR(__xludf.DUMMYFUNCTION("IFERROR(REGEXEXTRACT(A848, ""y:([-+]?[0-9]*\.?[0-9]+)""), """")"),"")</f>
        <v/>
      </c>
    </row>
    <row r="849">
      <c r="A849" s="13"/>
      <c r="B849" s="4">
        <f>IFERROR(__xludf.DUMMYFUNCTION("IFERROR(VALUE(REGEXEXTRACT(A849, ""angle:(\d+)"")), -1)"),-1.0)</f>
        <v>-1</v>
      </c>
      <c r="C849" s="5" t="str">
        <f t="shared" si="1"/>
        <v>-001</v>
      </c>
      <c r="D849" s="5" t="str">
        <f>IFERROR(__xludf.DUMMYFUNCTION("IFERROR(REGEXEXTRACT(A849, ""x:([-+]?[0-9]*\.?[0-9]+)""), """")"),"")</f>
        <v/>
      </c>
      <c r="E849" s="5" t="str">
        <f>IFERROR(__xludf.DUMMYFUNCTION("IFERROR(REGEXEXTRACT(A849, ""y:([-+]?[0-9]*\.?[0-9]+)""), """")"),"")</f>
        <v/>
      </c>
    </row>
    <row r="850">
      <c r="A850" s="13"/>
      <c r="B850" s="4">
        <f>IFERROR(__xludf.DUMMYFUNCTION("IFERROR(VALUE(REGEXEXTRACT(A850, ""angle:(\d+)"")), -1)"),-1.0)</f>
        <v>-1</v>
      </c>
      <c r="C850" s="5" t="str">
        <f t="shared" si="1"/>
        <v>-001</v>
      </c>
      <c r="D850" s="5" t="str">
        <f>IFERROR(__xludf.DUMMYFUNCTION("IFERROR(REGEXEXTRACT(A850, ""x:([-+]?[0-9]*\.?[0-9]+)""), """")"),"")</f>
        <v/>
      </c>
      <c r="E850" s="5" t="str">
        <f>IFERROR(__xludf.DUMMYFUNCTION("IFERROR(REGEXEXTRACT(A850, ""y:([-+]?[0-9]*\.?[0-9]+)""), """")"),"")</f>
        <v/>
      </c>
    </row>
    <row r="851">
      <c r="A851" s="13"/>
      <c r="B851" s="4">
        <f>IFERROR(__xludf.DUMMYFUNCTION("IFERROR(VALUE(REGEXEXTRACT(A851, ""angle:(\d+)"")), -1)"),-1.0)</f>
        <v>-1</v>
      </c>
      <c r="C851" s="5" t="str">
        <f t="shared" si="1"/>
        <v>-001</v>
      </c>
      <c r="D851" s="5" t="str">
        <f>IFERROR(__xludf.DUMMYFUNCTION("IFERROR(REGEXEXTRACT(A851, ""x:([-+]?[0-9]*\.?[0-9]+)""), """")"),"")</f>
        <v/>
      </c>
      <c r="E851" s="5" t="str">
        <f>IFERROR(__xludf.DUMMYFUNCTION("IFERROR(REGEXEXTRACT(A851, ""y:([-+]?[0-9]*\.?[0-9]+)""), """")"),"")</f>
        <v/>
      </c>
    </row>
    <row r="852">
      <c r="A852" s="13"/>
      <c r="B852" s="4">
        <f>IFERROR(__xludf.DUMMYFUNCTION("IFERROR(VALUE(REGEXEXTRACT(A852, ""angle:(\d+)"")), -1)"),-1.0)</f>
        <v>-1</v>
      </c>
      <c r="C852" s="5" t="str">
        <f t="shared" si="1"/>
        <v>-001</v>
      </c>
      <c r="D852" s="5" t="str">
        <f>IFERROR(__xludf.DUMMYFUNCTION("IFERROR(REGEXEXTRACT(A852, ""x:([-+]?[0-9]*\.?[0-9]+)""), """")"),"")</f>
        <v/>
      </c>
      <c r="E852" s="5" t="str">
        <f>IFERROR(__xludf.DUMMYFUNCTION("IFERROR(REGEXEXTRACT(A852, ""y:([-+]?[0-9]*\.?[0-9]+)""), """")"),"")</f>
        <v/>
      </c>
    </row>
    <row r="853">
      <c r="A853" s="13"/>
      <c r="B853" s="4">
        <f>IFERROR(__xludf.DUMMYFUNCTION("IFERROR(VALUE(REGEXEXTRACT(A853, ""angle:(\d+)"")), -1)"),-1.0)</f>
        <v>-1</v>
      </c>
      <c r="C853" s="5" t="str">
        <f t="shared" si="1"/>
        <v>-001</v>
      </c>
      <c r="D853" s="5" t="str">
        <f>IFERROR(__xludf.DUMMYFUNCTION("IFERROR(REGEXEXTRACT(A853, ""x:([-+]?[0-9]*\.?[0-9]+)""), """")"),"")</f>
        <v/>
      </c>
      <c r="E853" s="5" t="str">
        <f>IFERROR(__xludf.DUMMYFUNCTION("IFERROR(REGEXEXTRACT(A853, ""y:([-+]?[0-9]*\.?[0-9]+)""), """")"),"")</f>
        <v/>
      </c>
    </row>
    <row r="854">
      <c r="A854" s="13"/>
      <c r="B854" s="4">
        <f>IFERROR(__xludf.DUMMYFUNCTION("IFERROR(VALUE(REGEXEXTRACT(A854, ""angle:(\d+)"")), -1)"),-1.0)</f>
        <v>-1</v>
      </c>
      <c r="C854" s="5" t="str">
        <f t="shared" si="1"/>
        <v>-001</v>
      </c>
      <c r="D854" s="5" t="str">
        <f>IFERROR(__xludf.DUMMYFUNCTION("IFERROR(REGEXEXTRACT(A854, ""x:([-+]?[0-9]*\.?[0-9]+)""), """")"),"")</f>
        <v/>
      </c>
      <c r="E854" s="5" t="str">
        <f>IFERROR(__xludf.DUMMYFUNCTION("IFERROR(REGEXEXTRACT(A854, ""y:([-+]?[0-9]*\.?[0-9]+)""), """")"),"")</f>
        <v/>
      </c>
    </row>
    <row r="855">
      <c r="A855" s="13"/>
      <c r="B855" s="4">
        <f>IFERROR(__xludf.DUMMYFUNCTION("IFERROR(VALUE(REGEXEXTRACT(A855, ""angle:(\d+)"")), -1)"),-1.0)</f>
        <v>-1</v>
      </c>
      <c r="C855" s="5" t="str">
        <f t="shared" si="1"/>
        <v>-001</v>
      </c>
      <c r="D855" s="5" t="str">
        <f>IFERROR(__xludf.DUMMYFUNCTION("IFERROR(REGEXEXTRACT(A855, ""x:([-+]?[0-9]*\.?[0-9]+)""), """")"),"")</f>
        <v/>
      </c>
      <c r="E855" s="5" t="str">
        <f>IFERROR(__xludf.DUMMYFUNCTION("IFERROR(REGEXEXTRACT(A855, ""y:([-+]?[0-9]*\.?[0-9]+)""), """")"),"")</f>
        <v/>
      </c>
    </row>
    <row r="856">
      <c r="A856" s="13"/>
      <c r="B856" s="4">
        <f>IFERROR(__xludf.DUMMYFUNCTION("IFERROR(VALUE(REGEXEXTRACT(A856, ""angle:(\d+)"")), -1)"),-1.0)</f>
        <v>-1</v>
      </c>
      <c r="C856" s="5" t="str">
        <f t="shared" si="1"/>
        <v>-001</v>
      </c>
      <c r="D856" s="5" t="str">
        <f>IFERROR(__xludf.DUMMYFUNCTION("IFERROR(REGEXEXTRACT(A856, ""x:([-+]?[0-9]*\.?[0-9]+)""), """")"),"")</f>
        <v/>
      </c>
      <c r="E856" s="5" t="str">
        <f>IFERROR(__xludf.DUMMYFUNCTION("IFERROR(REGEXEXTRACT(A856, ""y:([-+]?[0-9]*\.?[0-9]+)""), """")"),"")</f>
        <v/>
      </c>
    </row>
    <row r="857">
      <c r="A857" s="13"/>
      <c r="B857" s="4">
        <f>IFERROR(__xludf.DUMMYFUNCTION("IFERROR(VALUE(REGEXEXTRACT(A857, ""angle:(\d+)"")), -1)"),-1.0)</f>
        <v>-1</v>
      </c>
      <c r="C857" s="5" t="str">
        <f t="shared" si="1"/>
        <v>-001</v>
      </c>
      <c r="D857" s="5" t="str">
        <f>IFERROR(__xludf.DUMMYFUNCTION("IFERROR(REGEXEXTRACT(A857, ""x:([-+]?[0-9]*\.?[0-9]+)""), """")"),"")</f>
        <v/>
      </c>
      <c r="E857" s="5" t="str">
        <f>IFERROR(__xludf.DUMMYFUNCTION("IFERROR(REGEXEXTRACT(A857, ""y:([-+]?[0-9]*\.?[0-9]+)""), """")"),"")</f>
        <v/>
      </c>
    </row>
    <row r="858">
      <c r="A858" s="13"/>
      <c r="B858" s="4">
        <f>IFERROR(__xludf.DUMMYFUNCTION("IFERROR(VALUE(REGEXEXTRACT(A858, ""angle:(\d+)"")), -1)"),-1.0)</f>
        <v>-1</v>
      </c>
      <c r="C858" s="5" t="str">
        <f t="shared" si="1"/>
        <v>-001</v>
      </c>
      <c r="D858" s="5" t="str">
        <f>IFERROR(__xludf.DUMMYFUNCTION("IFERROR(REGEXEXTRACT(A858, ""x:([-+]?[0-9]*\.?[0-9]+)""), """")"),"")</f>
        <v/>
      </c>
      <c r="E858" s="5" t="str">
        <f>IFERROR(__xludf.DUMMYFUNCTION("IFERROR(REGEXEXTRACT(A858, ""y:([-+]?[0-9]*\.?[0-9]+)""), """")"),"")</f>
        <v/>
      </c>
    </row>
    <row r="859">
      <c r="A859" s="13"/>
      <c r="B859" s="4">
        <f>IFERROR(__xludf.DUMMYFUNCTION("IFERROR(VALUE(REGEXEXTRACT(A859, ""angle:(\d+)"")), -1)"),-1.0)</f>
        <v>-1</v>
      </c>
      <c r="C859" s="5" t="str">
        <f t="shared" si="1"/>
        <v>-001</v>
      </c>
      <c r="D859" s="5" t="str">
        <f>IFERROR(__xludf.DUMMYFUNCTION("IFERROR(REGEXEXTRACT(A859, ""x:([-+]?[0-9]*\.?[0-9]+)""), """")"),"")</f>
        <v/>
      </c>
      <c r="E859" s="5" t="str">
        <f>IFERROR(__xludf.DUMMYFUNCTION("IFERROR(REGEXEXTRACT(A859, ""y:([-+]?[0-9]*\.?[0-9]+)""), """")"),"")</f>
        <v/>
      </c>
    </row>
    <row r="860">
      <c r="A860" s="13"/>
      <c r="B860" s="4">
        <f>IFERROR(__xludf.DUMMYFUNCTION("IFERROR(VALUE(REGEXEXTRACT(A860, ""angle:(\d+)"")), -1)"),-1.0)</f>
        <v>-1</v>
      </c>
      <c r="C860" s="5" t="str">
        <f t="shared" si="1"/>
        <v>-001</v>
      </c>
      <c r="D860" s="5" t="str">
        <f>IFERROR(__xludf.DUMMYFUNCTION("IFERROR(REGEXEXTRACT(A860, ""x:([-+]?[0-9]*\.?[0-9]+)""), """")"),"")</f>
        <v/>
      </c>
      <c r="E860" s="5" t="str">
        <f>IFERROR(__xludf.DUMMYFUNCTION("IFERROR(REGEXEXTRACT(A860, ""y:([-+]?[0-9]*\.?[0-9]+)""), """")"),"")</f>
        <v/>
      </c>
    </row>
    <row r="861">
      <c r="A861" s="13"/>
      <c r="B861" s="4">
        <f>IFERROR(__xludf.DUMMYFUNCTION("IFERROR(VALUE(REGEXEXTRACT(A861, ""angle:(\d+)"")), -1)"),-1.0)</f>
        <v>-1</v>
      </c>
      <c r="C861" s="5" t="str">
        <f t="shared" si="1"/>
        <v>-001</v>
      </c>
      <c r="D861" s="5" t="str">
        <f>IFERROR(__xludf.DUMMYFUNCTION("IFERROR(REGEXEXTRACT(A861, ""x:([-+]?[0-9]*\.?[0-9]+)""), """")"),"")</f>
        <v/>
      </c>
      <c r="E861" s="5" t="str">
        <f>IFERROR(__xludf.DUMMYFUNCTION("IFERROR(REGEXEXTRACT(A861, ""y:([-+]?[0-9]*\.?[0-9]+)""), """")"),"")</f>
        <v/>
      </c>
    </row>
    <row r="862">
      <c r="A862" s="13"/>
      <c r="B862" s="4">
        <f>IFERROR(__xludf.DUMMYFUNCTION("IFERROR(VALUE(REGEXEXTRACT(A862, ""angle:(\d+)"")), -1)"),-1.0)</f>
        <v>-1</v>
      </c>
      <c r="C862" s="5" t="str">
        <f t="shared" si="1"/>
        <v>-001</v>
      </c>
      <c r="D862" s="5" t="str">
        <f>IFERROR(__xludf.DUMMYFUNCTION("IFERROR(REGEXEXTRACT(A862, ""x:([-+]?[0-9]*\.?[0-9]+)""), """")"),"")</f>
        <v/>
      </c>
      <c r="E862" s="5" t="str">
        <f>IFERROR(__xludf.DUMMYFUNCTION("IFERROR(REGEXEXTRACT(A862, ""y:([-+]?[0-9]*\.?[0-9]+)""), """")"),"")</f>
        <v/>
      </c>
    </row>
    <row r="863">
      <c r="A863" s="13"/>
      <c r="B863" s="4">
        <f>IFERROR(__xludf.DUMMYFUNCTION("IFERROR(VALUE(REGEXEXTRACT(A863, ""angle:(\d+)"")), -1)"),-1.0)</f>
        <v>-1</v>
      </c>
      <c r="C863" s="5" t="str">
        <f t="shared" si="1"/>
        <v>-001</v>
      </c>
      <c r="D863" s="5" t="str">
        <f>IFERROR(__xludf.DUMMYFUNCTION("IFERROR(REGEXEXTRACT(A863, ""x:([-+]?[0-9]*\.?[0-9]+)""), """")"),"")</f>
        <v/>
      </c>
      <c r="E863" s="5" t="str">
        <f>IFERROR(__xludf.DUMMYFUNCTION("IFERROR(REGEXEXTRACT(A863, ""y:([-+]?[0-9]*\.?[0-9]+)""), """")"),"")</f>
        <v/>
      </c>
    </row>
    <row r="864">
      <c r="A864" s="13"/>
      <c r="B864" s="4">
        <f>IFERROR(__xludf.DUMMYFUNCTION("IFERROR(VALUE(REGEXEXTRACT(A864, ""angle:(\d+)"")), -1)"),-1.0)</f>
        <v>-1</v>
      </c>
      <c r="C864" s="5" t="str">
        <f t="shared" si="1"/>
        <v>-001</v>
      </c>
      <c r="D864" s="5" t="str">
        <f>IFERROR(__xludf.DUMMYFUNCTION("IFERROR(REGEXEXTRACT(A864, ""x:([-+]?[0-9]*\.?[0-9]+)""), """")"),"")</f>
        <v/>
      </c>
      <c r="E864" s="5" t="str">
        <f>IFERROR(__xludf.DUMMYFUNCTION("IFERROR(REGEXEXTRACT(A864, ""y:([-+]?[0-9]*\.?[0-9]+)""), """")"),"")</f>
        <v/>
      </c>
    </row>
    <row r="865">
      <c r="A865" s="13"/>
      <c r="B865" s="4">
        <f>IFERROR(__xludf.DUMMYFUNCTION("IFERROR(VALUE(REGEXEXTRACT(A865, ""angle:(\d+)"")), -1)"),-1.0)</f>
        <v>-1</v>
      </c>
      <c r="C865" s="5" t="str">
        <f t="shared" si="1"/>
        <v>-001</v>
      </c>
      <c r="D865" s="5" t="str">
        <f>IFERROR(__xludf.DUMMYFUNCTION("IFERROR(REGEXEXTRACT(A865, ""x:([-+]?[0-9]*\.?[0-9]+)""), """")"),"")</f>
        <v/>
      </c>
      <c r="E865" s="5" t="str">
        <f>IFERROR(__xludf.DUMMYFUNCTION("IFERROR(REGEXEXTRACT(A865, ""y:([-+]?[0-9]*\.?[0-9]+)""), """")"),"")</f>
        <v/>
      </c>
    </row>
    <row r="866">
      <c r="A866" s="13"/>
      <c r="B866" s="4">
        <f>IFERROR(__xludf.DUMMYFUNCTION("IFERROR(VALUE(REGEXEXTRACT(A866, ""angle:(\d+)"")), -1)"),-1.0)</f>
        <v>-1</v>
      </c>
      <c r="C866" s="5" t="str">
        <f t="shared" si="1"/>
        <v>-001</v>
      </c>
      <c r="D866" s="5" t="str">
        <f>IFERROR(__xludf.DUMMYFUNCTION("IFERROR(REGEXEXTRACT(A866, ""x:([-+]?[0-9]*\.?[0-9]+)""), """")"),"")</f>
        <v/>
      </c>
      <c r="E866" s="5" t="str">
        <f>IFERROR(__xludf.DUMMYFUNCTION("IFERROR(REGEXEXTRACT(A866, ""y:([-+]?[0-9]*\.?[0-9]+)""), """")"),"")</f>
        <v/>
      </c>
    </row>
    <row r="867">
      <c r="A867" s="13"/>
      <c r="B867" s="4">
        <f>IFERROR(__xludf.DUMMYFUNCTION("IFERROR(VALUE(REGEXEXTRACT(A867, ""angle:(\d+)"")), -1)"),-1.0)</f>
        <v>-1</v>
      </c>
      <c r="C867" s="5" t="str">
        <f t="shared" si="1"/>
        <v>-001</v>
      </c>
      <c r="D867" s="5" t="str">
        <f>IFERROR(__xludf.DUMMYFUNCTION("IFERROR(REGEXEXTRACT(A867, ""x:([-+]?[0-9]*\.?[0-9]+)""), """")"),"")</f>
        <v/>
      </c>
      <c r="E867" s="5" t="str">
        <f>IFERROR(__xludf.DUMMYFUNCTION("IFERROR(REGEXEXTRACT(A867, ""y:([-+]?[0-9]*\.?[0-9]+)""), """")"),"")</f>
        <v/>
      </c>
    </row>
    <row r="868">
      <c r="A868" s="13"/>
      <c r="B868" s="4">
        <f>IFERROR(__xludf.DUMMYFUNCTION("IFERROR(VALUE(REGEXEXTRACT(A868, ""angle:(\d+)"")), -1)"),-1.0)</f>
        <v>-1</v>
      </c>
      <c r="C868" s="5" t="str">
        <f t="shared" si="1"/>
        <v>-001</v>
      </c>
      <c r="D868" s="5" t="str">
        <f>IFERROR(__xludf.DUMMYFUNCTION("IFERROR(REGEXEXTRACT(A868, ""x:([-+]?[0-9]*\.?[0-9]+)""), """")"),"")</f>
        <v/>
      </c>
      <c r="E868" s="5" t="str">
        <f>IFERROR(__xludf.DUMMYFUNCTION("IFERROR(REGEXEXTRACT(A868, ""y:([-+]?[0-9]*\.?[0-9]+)""), """")"),"")</f>
        <v/>
      </c>
    </row>
    <row r="869">
      <c r="A869" s="13"/>
      <c r="B869" s="4">
        <f>IFERROR(__xludf.DUMMYFUNCTION("IFERROR(VALUE(REGEXEXTRACT(A869, ""angle:(\d+)"")), -1)"),-1.0)</f>
        <v>-1</v>
      </c>
      <c r="C869" s="5" t="str">
        <f t="shared" si="1"/>
        <v>-001</v>
      </c>
      <c r="D869" s="5" t="str">
        <f>IFERROR(__xludf.DUMMYFUNCTION("IFERROR(REGEXEXTRACT(A869, ""x:([-+]?[0-9]*\.?[0-9]+)""), """")"),"")</f>
        <v/>
      </c>
      <c r="E869" s="5" t="str">
        <f>IFERROR(__xludf.DUMMYFUNCTION("IFERROR(REGEXEXTRACT(A869, ""y:([-+]?[0-9]*\.?[0-9]+)""), """")"),"")</f>
        <v/>
      </c>
    </row>
    <row r="870">
      <c r="A870" s="13"/>
      <c r="B870" s="4">
        <f>IFERROR(__xludf.DUMMYFUNCTION("IFERROR(VALUE(REGEXEXTRACT(A870, ""angle:(\d+)"")), -1)"),-1.0)</f>
        <v>-1</v>
      </c>
      <c r="C870" s="5" t="str">
        <f t="shared" si="1"/>
        <v>-001</v>
      </c>
      <c r="D870" s="5" t="str">
        <f>IFERROR(__xludf.DUMMYFUNCTION("IFERROR(REGEXEXTRACT(A870, ""x:([-+]?[0-9]*\.?[0-9]+)""), """")"),"")</f>
        <v/>
      </c>
      <c r="E870" s="5" t="str">
        <f>IFERROR(__xludf.DUMMYFUNCTION("IFERROR(REGEXEXTRACT(A870, ""y:([-+]?[0-9]*\.?[0-9]+)""), """")"),"")</f>
        <v/>
      </c>
    </row>
    <row r="871">
      <c r="A871" s="13"/>
      <c r="B871" s="4">
        <f>IFERROR(__xludf.DUMMYFUNCTION("IFERROR(VALUE(REGEXEXTRACT(A871, ""angle:(\d+)"")), -1)"),-1.0)</f>
        <v>-1</v>
      </c>
      <c r="C871" s="5" t="str">
        <f t="shared" si="1"/>
        <v>-001</v>
      </c>
      <c r="D871" s="5" t="str">
        <f>IFERROR(__xludf.DUMMYFUNCTION("IFERROR(REGEXEXTRACT(A871, ""x:([-+]?[0-9]*\.?[0-9]+)""), """")"),"")</f>
        <v/>
      </c>
      <c r="E871" s="5" t="str">
        <f>IFERROR(__xludf.DUMMYFUNCTION("IFERROR(REGEXEXTRACT(A871, ""y:([-+]?[0-9]*\.?[0-9]+)""), """")"),"")</f>
        <v/>
      </c>
    </row>
    <row r="872">
      <c r="A872" s="13"/>
      <c r="B872" s="4">
        <f>IFERROR(__xludf.DUMMYFUNCTION("IFERROR(VALUE(REGEXEXTRACT(A872, ""angle:(\d+)"")), -1)"),-1.0)</f>
        <v>-1</v>
      </c>
      <c r="C872" s="5" t="str">
        <f t="shared" si="1"/>
        <v>-001</v>
      </c>
      <c r="D872" s="5" t="str">
        <f>IFERROR(__xludf.DUMMYFUNCTION("IFERROR(REGEXEXTRACT(A872, ""x:([-+]?[0-9]*\.?[0-9]+)""), """")"),"")</f>
        <v/>
      </c>
      <c r="E872" s="5" t="str">
        <f>IFERROR(__xludf.DUMMYFUNCTION("IFERROR(REGEXEXTRACT(A872, ""y:([-+]?[0-9]*\.?[0-9]+)""), """")"),"")</f>
        <v/>
      </c>
    </row>
    <row r="873">
      <c r="A873" s="13"/>
      <c r="B873" s="4">
        <f>IFERROR(__xludf.DUMMYFUNCTION("IFERROR(VALUE(REGEXEXTRACT(A873, ""angle:(\d+)"")), -1)"),-1.0)</f>
        <v>-1</v>
      </c>
      <c r="C873" s="5" t="str">
        <f t="shared" si="1"/>
        <v>-001</v>
      </c>
      <c r="D873" s="5" t="str">
        <f>IFERROR(__xludf.DUMMYFUNCTION("IFERROR(REGEXEXTRACT(A873, ""x:([-+]?[0-9]*\.?[0-9]+)""), """")"),"")</f>
        <v/>
      </c>
      <c r="E873" s="5" t="str">
        <f>IFERROR(__xludf.DUMMYFUNCTION("IFERROR(REGEXEXTRACT(A873, ""y:([-+]?[0-9]*\.?[0-9]+)""), """")"),"")</f>
        <v/>
      </c>
    </row>
    <row r="874">
      <c r="A874" s="13"/>
      <c r="B874" s="4">
        <f>IFERROR(__xludf.DUMMYFUNCTION("IFERROR(VALUE(REGEXEXTRACT(A874, ""angle:(\d+)"")), -1)"),-1.0)</f>
        <v>-1</v>
      </c>
      <c r="C874" s="5" t="str">
        <f t="shared" si="1"/>
        <v>-001</v>
      </c>
      <c r="D874" s="5" t="str">
        <f>IFERROR(__xludf.DUMMYFUNCTION("IFERROR(REGEXEXTRACT(A874, ""x:([-+]?[0-9]*\.?[0-9]+)""), """")"),"")</f>
        <v/>
      </c>
      <c r="E874" s="5" t="str">
        <f>IFERROR(__xludf.DUMMYFUNCTION("IFERROR(REGEXEXTRACT(A874, ""y:([-+]?[0-9]*\.?[0-9]+)""), """")"),"")</f>
        <v/>
      </c>
    </row>
    <row r="875">
      <c r="A875" s="13"/>
      <c r="B875" s="4">
        <f>IFERROR(__xludf.DUMMYFUNCTION("IFERROR(VALUE(REGEXEXTRACT(A875, ""angle:(\d+)"")), -1)"),-1.0)</f>
        <v>-1</v>
      </c>
      <c r="C875" s="5" t="str">
        <f t="shared" si="1"/>
        <v>-001</v>
      </c>
      <c r="D875" s="5" t="str">
        <f>IFERROR(__xludf.DUMMYFUNCTION("IFERROR(REGEXEXTRACT(A875, ""x:([-+]?[0-9]*\.?[0-9]+)""), """")"),"")</f>
        <v/>
      </c>
      <c r="E875" s="5" t="str">
        <f>IFERROR(__xludf.DUMMYFUNCTION("IFERROR(REGEXEXTRACT(A875, ""y:([-+]?[0-9]*\.?[0-9]+)""), """")"),"")</f>
        <v/>
      </c>
    </row>
    <row r="876">
      <c r="A876" s="13"/>
      <c r="B876" s="4">
        <f>IFERROR(__xludf.DUMMYFUNCTION("IFERROR(VALUE(REGEXEXTRACT(A876, ""angle:(\d+)"")), -1)"),-1.0)</f>
        <v>-1</v>
      </c>
      <c r="C876" s="5" t="str">
        <f t="shared" si="1"/>
        <v>-001</v>
      </c>
      <c r="D876" s="5" t="str">
        <f>IFERROR(__xludf.DUMMYFUNCTION("IFERROR(REGEXEXTRACT(A876, ""x:([-+]?[0-9]*\.?[0-9]+)""), """")"),"")</f>
        <v/>
      </c>
      <c r="E876" s="5" t="str">
        <f>IFERROR(__xludf.DUMMYFUNCTION("IFERROR(REGEXEXTRACT(A876, ""y:([-+]?[0-9]*\.?[0-9]+)""), """")"),"")</f>
        <v/>
      </c>
    </row>
    <row r="877">
      <c r="A877" s="13"/>
      <c r="B877" s="4">
        <f>IFERROR(__xludf.DUMMYFUNCTION("IFERROR(VALUE(REGEXEXTRACT(A877, ""angle:(\d+)"")), -1)"),-1.0)</f>
        <v>-1</v>
      </c>
      <c r="C877" s="5" t="str">
        <f t="shared" si="1"/>
        <v>-001</v>
      </c>
      <c r="D877" s="5" t="str">
        <f>IFERROR(__xludf.DUMMYFUNCTION("IFERROR(REGEXEXTRACT(A877, ""x:([-+]?[0-9]*\.?[0-9]+)""), """")"),"")</f>
        <v/>
      </c>
      <c r="E877" s="5" t="str">
        <f>IFERROR(__xludf.DUMMYFUNCTION("IFERROR(REGEXEXTRACT(A877, ""y:([-+]?[0-9]*\.?[0-9]+)""), """")"),"")</f>
        <v/>
      </c>
    </row>
    <row r="878">
      <c r="A878" s="13"/>
      <c r="B878" s="4">
        <f>IFERROR(__xludf.DUMMYFUNCTION("IFERROR(VALUE(REGEXEXTRACT(A878, ""angle:(\d+)"")), -1)"),-1.0)</f>
        <v>-1</v>
      </c>
      <c r="C878" s="5" t="str">
        <f t="shared" si="1"/>
        <v>-001</v>
      </c>
      <c r="D878" s="5" t="str">
        <f>IFERROR(__xludf.DUMMYFUNCTION("IFERROR(REGEXEXTRACT(A878, ""x:([-+]?[0-9]*\.?[0-9]+)""), """")"),"")</f>
        <v/>
      </c>
      <c r="E878" s="5" t="str">
        <f>IFERROR(__xludf.DUMMYFUNCTION("IFERROR(REGEXEXTRACT(A878, ""y:([-+]?[0-9]*\.?[0-9]+)""), """")"),"")</f>
        <v/>
      </c>
    </row>
    <row r="879">
      <c r="A879" s="13"/>
      <c r="B879" s="4">
        <f>IFERROR(__xludf.DUMMYFUNCTION("IFERROR(VALUE(REGEXEXTRACT(A879, ""angle:(\d+)"")), -1)"),-1.0)</f>
        <v>-1</v>
      </c>
      <c r="C879" s="5" t="str">
        <f t="shared" si="1"/>
        <v>-001</v>
      </c>
      <c r="D879" s="5" t="str">
        <f>IFERROR(__xludf.DUMMYFUNCTION("IFERROR(REGEXEXTRACT(A879, ""x:([-+]?[0-9]*\.?[0-9]+)""), """")"),"")</f>
        <v/>
      </c>
      <c r="E879" s="5" t="str">
        <f>IFERROR(__xludf.DUMMYFUNCTION("IFERROR(REGEXEXTRACT(A879, ""y:([-+]?[0-9]*\.?[0-9]+)""), """")"),"")</f>
        <v/>
      </c>
    </row>
    <row r="880">
      <c r="A880" s="13"/>
      <c r="B880" s="4">
        <f>IFERROR(__xludf.DUMMYFUNCTION("IFERROR(VALUE(REGEXEXTRACT(A880, ""angle:(\d+)"")), -1)"),-1.0)</f>
        <v>-1</v>
      </c>
      <c r="C880" s="5" t="str">
        <f t="shared" si="1"/>
        <v>-001</v>
      </c>
      <c r="D880" s="5" t="str">
        <f>IFERROR(__xludf.DUMMYFUNCTION("IFERROR(REGEXEXTRACT(A880, ""x:([-+]?[0-9]*\.?[0-9]+)""), """")"),"")</f>
        <v/>
      </c>
      <c r="E880" s="5" t="str">
        <f>IFERROR(__xludf.DUMMYFUNCTION("IFERROR(REGEXEXTRACT(A880, ""y:([-+]?[0-9]*\.?[0-9]+)""), """")"),"")</f>
        <v/>
      </c>
    </row>
    <row r="881">
      <c r="A881" s="13"/>
      <c r="B881" s="4">
        <f>IFERROR(__xludf.DUMMYFUNCTION("IFERROR(VALUE(REGEXEXTRACT(A881, ""angle:(\d+)"")), -1)"),-1.0)</f>
        <v>-1</v>
      </c>
      <c r="C881" s="5" t="str">
        <f t="shared" si="1"/>
        <v>-001</v>
      </c>
      <c r="D881" s="5" t="str">
        <f>IFERROR(__xludf.DUMMYFUNCTION("IFERROR(REGEXEXTRACT(A881, ""x:([-+]?[0-9]*\.?[0-9]+)""), """")"),"")</f>
        <v/>
      </c>
      <c r="E881" s="5" t="str">
        <f>IFERROR(__xludf.DUMMYFUNCTION("IFERROR(REGEXEXTRACT(A881, ""y:([-+]?[0-9]*\.?[0-9]+)""), """")"),"")</f>
        <v/>
      </c>
    </row>
    <row r="882">
      <c r="A882" s="13"/>
      <c r="B882" s="4">
        <f>IFERROR(__xludf.DUMMYFUNCTION("IFERROR(VALUE(REGEXEXTRACT(A882, ""angle:(\d+)"")), -1)"),-1.0)</f>
        <v>-1</v>
      </c>
      <c r="C882" s="5" t="str">
        <f t="shared" si="1"/>
        <v>-001</v>
      </c>
      <c r="D882" s="5" t="str">
        <f>IFERROR(__xludf.DUMMYFUNCTION("IFERROR(REGEXEXTRACT(A882, ""x:([-+]?[0-9]*\.?[0-9]+)""), """")"),"")</f>
        <v/>
      </c>
      <c r="E882" s="5" t="str">
        <f>IFERROR(__xludf.DUMMYFUNCTION("IFERROR(REGEXEXTRACT(A882, ""y:([-+]?[0-9]*\.?[0-9]+)""), """")"),"")</f>
        <v/>
      </c>
    </row>
    <row r="883">
      <c r="A883" s="13"/>
      <c r="B883" s="4">
        <f>IFERROR(__xludf.DUMMYFUNCTION("IFERROR(VALUE(REGEXEXTRACT(A883, ""angle:(\d+)"")), -1)"),-1.0)</f>
        <v>-1</v>
      </c>
      <c r="C883" s="5" t="str">
        <f t="shared" si="1"/>
        <v>-001</v>
      </c>
      <c r="D883" s="5" t="str">
        <f>IFERROR(__xludf.DUMMYFUNCTION("IFERROR(REGEXEXTRACT(A883, ""x:([-+]?[0-9]*\.?[0-9]+)""), """")"),"")</f>
        <v/>
      </c>
      <c r="E883" s="5" t="str">
        <f>IFERROR(__xludf.DUMMYFUNCTION("IFERROR(REGEXEXTRACT(A883, ""y:([-+]?[0-9]*\.?[0-9]+)""), """")"),"")</f>
        <v/>
      </c>
    </row>
    <row r="884">
      <c r="A884" s="13"/>
      <c r="B884" s="4">
        <f>IFERROR(__xludf.DUMMYFUNCTION("IFERROR(VALUE(REGEXEXTRACT(A884, ""angle:(\d+)"")), -1)"),-1.0)</f>
        <v>-1</v>
      </c>
      <c r="C884" s="5" t="str">
        <f t="shared" si="1"/>
        <v>-001</v>
      </c>
      <c r="D884" s="5" t="str">
        <f>IFERROR(__xludf.DUMMYFUNCTION("IFERROR(REGEXEXTRACT(A884, ""x:([-+]?[0-9]*\.?[0-9]+)""), """")"),"")</f>
        <v/>
      </c>
      <c r="E884" s="5" t="str">
        <f>IFERROR(__xludf.DUMMYFUNCTION("IFERROR(REGEXEXTRACT(A884, ""y:([-+]?[0-9]*\.?[0-9]+)""), """")"),"")</f>
        <v/>
      </c>
    </row>
    <row r="885">
      <c r="A885" s="13"/>
      <c r="B885" s="4">
        <f>IFERROR(__xludf.DUMMYFUNCTION("IFERROR(VALUE(REGEXEXTRACT(A885, ""angle:(\d+)"")), -1)"),-1.0)</f>
        <v>-1</v>
      </c>
      <c r="C885" s="5" t="str">
        <f t="shared" si="1"/>
        <v>-001</v>
      </c>
      <c r="D885" s="5" t="str">
        <f>IFERROR(__xludf.DUMMYFUNCTION("IFERROR(REGEXEXTRACT(A885, ""x:([-+]?[0-9]*\.?[0-9]+)""), """")"),"")</f>
        <v/>
      </c>
      <c r="E885" s="5" t="str">
        <f>IFERROR(__xludf.DUMMYFUNCTION("IFERROR(REGEXEXTRACT(A885, ""y:([-+]?[0-9]*\.?[0-9]+)""), """")"),"")</f>
        <v/>
      </c>
    </row>
    <row r="886">
      <c r="A886" s="13"/>
      <c r="B886" s="4">
        <f>IFERROR(__xludf.DUMMYFUNCTION("IFERROR(VALUE(REGEXEXTRACT(A886, ""angle:(\d+)"")), -1)"),-1.0)</f>
        <v>-1</v>
      </c>
      <c r="C886" s="5" t="str">
        <f t="shared" si="1"/>
        <v>-001</v>
      </c>
      <c r="D886" s="5" t="str">
        <f>IFERROR(__xludf.DUMMYFUNCTION("IFERROR(REGEXEXTRACT(A886, ""x:([-+]?[0-9]*\.?[0-9]+)""), """")"),"")</f>
        <v/>
      </c>
      <c r="E886" s="5" t="str">
        <f>IFERROR(__xludf.DUMMYFUNCTION("IFERROR(REGEXEXTRACT(A886, ""y:([-+]?[0-9]*\.?[0-9]+)""), """")"),"")</f>
        <v/>
      </c>
    </row>
    <row r="887">
      <c r="A887" s="13"/>
      <c r="B887" s="4">
        <f>IFERROR(__xludf.DUMMYFUNCTION("IFERROR(VALUE(REGEXEXTRACT(A887, ""angle:(\d+)"")), -1)"),-1.0)</f>
        <v>-1</v>
      </c>
      <c r="C887" s="5" t="str">
        <f t="shared" si="1"/>
        <v>-001</v>
      </c>
      <c r="D887" s="5" t="str">
        <f>IFERROR(__xludf.DUMMYFUNCTION("IFERROR(REGEXEXTRACT(A887, ""x:([-+]?[0-9]*\.?[0-9]+)""), """")"),"")</f>
        <v/>
      </c>
      <c r="E887" s="5" t="str">
        <f>IFERROR(__xludf.DUMMYFUNCTION("IFERROR(REGEXEXTRACT(A887, ""y:([-+]?[0-9]*\.?[0-9]+)""), """")"),"")</f>
        <v/>
      </c>
    </row>
    <row r="888">
      <c r="A888" s="13"/>
      <c r="B888" s="4">
        <f>IFERROR(__xludf.DUMMYFUNCTION("IFERROR(VALUE(REGEXEXTRACT(A888, ""angle:(\d+)"")), -1)"),-1.0)</f>
        <v>-1</v>
      </c>
      <c r="C888" s="5" t="str">
        <f t="shared" si="1"/>
        <v>-001</v>
      </c>
      <c r="D888" s="5" t="str">
        <f>IFERROR(__xludf.DUMMYFUNCTION("IFERROR(REGEXEXTRACT(A888, ""x:([-+]?[0-9]*\.?[0-9]+)""), """")"),"")</f>
        <v/>
      </c>
      <c r="E888" s="5" t="str">
        <f>IFERROR(__xludf.DUMMYFUNCTION("IFERROR(REGEXEXTRACT(A888, ""y:([-+]?[0-9]*\.?[0-9]+)""), """")"),"")</f>
        <v/>
      </c>
    </row>
    <row r="889">
      <c r="A889" s="13"/>
      <c r="B889" s="4">
        <f>IFERROR(__xludf.DUMMYFUNCTION("IFERROR(VALUE(REGEXEXTRACT(A889, ""angle:(\d+)"")), -1)"),-1.0)</f>
        <v>-1</v>
      </c>
      <c r="C889" s="5" t="str">
        <f t="shared" si="1"/>
        <v>-001</v>
      </c>
      <c r="D889" s="5" t="str">
        <f>IFERROR(__xludf.DUMMYFUNCTION("IFERROR(REGEXEXTRACT(A889, ""x:([-+]?[0-9]*\.?[0-9]+)""), """")"),"")</f>
        <v/>
      </c>
      <c r="E889" s="5" t="str">
        <f>IFERROR(__xludf.DUMMYFUNCTION("IFERROR(REGEXEXTRACT(A889, ""y:([-+]?[0-9]*\.?[0-9]+)""), """")"),"")</f>
        <v/>
      </c>
    </row>
    <row r="890">
      <c r="A890" s="13"/>
      <c r="B890" s="4">
        <f>IFERROR(__xludf.DUMMYFUNCTION("IFERROR(VALUE(REGEXEXTRACT(A890, ""angle:(\d+)"")), -1)"),-1.0)</f>
        <v>-1</v>
      </c>
      <c r="C890" s="5" t="str">
        <f t="shared" si="1"/>
        <v>-001</v>
      </c>
      <c r="D890" s="5" t="str">
        <f>IFERROR(__xludf.DUMMYFUNCTION("IFERROR(REGEXEXTRACT(A890, ""x:([-+]?[0-9]*\.?[0-9]+)""), """")"),"")</f>
        <v/>
      </c>
      <c r="E890" s="5" t="str">
        <f>IFERROR(__xludf.DUMMYFUNCTION("IFERROR(REGEXEXTRACT(A890, ""y:([-+]?[0-9]*\.?[0-9]+)""), """")"),"")</f>
        <v/>
      </c>
    </row>
    <row r="891">
      <c r="A891" s="13"/>
      <c r="B891" s="4">
        <f>IFERROR(__xludf.DUMMYFUNCTION("IFERROR(VALUE(REGEXEXTRACT(A891, ""angle:(\d+)"")), -1)"),-1.0)</f>
        <v>-1</v>
      </c>
      <c r="C891" s="5" t="str">
        <f t="shared" si="1"/>
        <v>-001</v>
      </c>
      <c r="D891" s="5" t="str">
        <f>IFERROR(__xludf.DUMMYFUNCTION("IFERROR(REGEXEXTRACT(A891, ""x:([-+]?[0-9]*\.?[0-9]+)""), """")"),"")</f>
        <v/>
      </c>
      <c r="E891" s="5" t="str">
        <f>IFERROR(__xludf.DUMMYFUNCTION("IFERROR(REGEXEXTRACT(A891, ""y:([-+]?[0-9]*\.?[0-9]+)""), """")"),"")</f>
        <v/>
      </c>
    </row>
    <row r="892">
      <c r="A892" s="13"/>
      <c r="B892" s="4">
        <f>IFERROR(__xludf.DUMMYFUNCTION("IFERROR(VALUE(REGEXEXTRACT(A892, ""angle:(\d+)"")), -1)"),-1.0)</f>
        <v>-1</v>
      </c>
      <c r="C892" s="5" t="str">
        <f t="shared" si="1"/>
        <v>-001</v>
      </c>
      <c r="D892" s="5" t="str">
        <f>IFERROR(__xludf.DUMMYFUNCTION("IFERROR(REGEXEXTRACT(A892, ""x:([-+]?[0-9]*\.?[0-9]+)""), """")"),"")</f>
        <v/>
      </c>
      <c r="E892" s="5" t="str">
        <f>IFERROR(__xludf.DUMMYFUNCTION("IFERROR(REGEXEXTRACT(A892, ""y:([-+]?[0-9]*\.?[0-9]+)""), """")"),"")</f>
        <v/>
      </c>
    </row>
    <row r="893">
      <c r="A893" s="13"/>
      <c r="B893" s="4">
        <f>IFERROR(__xludf.DUMMYFUNCTION("IFERROR(VALUE(REGEXEXTRACT(A893, ""angle:(\d+)"")), -1)"),-1.0)</f>
        <v>-1</v>
      </c>
      <c r="C893" s="5" t="str">
        <f t="shared" si="1"/>
        <v>-001</v>
      </c>
      <c r="D893" s="5" t="str">
        <f>IFERROR(__xludf.DUMMYFUNCTION("IFERROR(REGEXEXTRACT(A893, ""x:([-+]?[0-9]*\.?[0-9]+)""), """")"),"")</f>
        <v/>
      </c>
      <c r="E893" s="5" t="str">
        <f>IFERROR(__xludf.DUMMYFUNCTION("IFERROR(REGEXEXTRACT(A893, ""y:([-+]?[0-9]*\.?[0-9]+)""), """")"),"")</f>
        <v/>
      </c>
    </row>
    <row r="894">
      <c r="A894" s="13"/>
      <c r="B894" s="4">
        <f>IFERROR(__xludf.DUMMYFUNCTION("IFERROR(VALUE(REGEXEXTRACT(A894, ""angle:(\d+)"")), -1)"),-1.0)</f>
        <v>-1</v>
      </c>
      <c r="C894" s="5" t="str">
        <f t="shared" si="1"/>
        <v>-001</v>
      </c>
      <c r="D894" s="5" t="str">
        <f>IFERROR(__xludf.DUMMYFUNCTION("IFERROR(REGEXEXTRACT(A894, ""x:([-+]?[0-9]*\.?[0-9]+)""), """")"),"")</f>
        <v/>
      </c>
      <c r="E894" s="5" t="str">
        <f>IFERROR(__xludf.DUMMYFUNCTION("IFERROR(REGEXEXTRACT(A894, ""y:([-+]?[0-9]*\.?[0-9]+)""), """")"),"")</f>
        <v/>
      </c>
    </row>
    <row r="895">
      <c r="A895" s="13"/>
      <c r="B895" s="4">
        <f>IFERROR(__xludf.DUMMYFUNCTION("IFERROR(VALUE(REGEXEXTRACT(A895, ""angle:(\d+)"")), -1)"),-1.0)</f>
        <v>-1</v>
      </c>
      <c r="C895" s="5" t="str">
        <f t="shared" si="1"/>
        <v>-001</v>
      </c>
      <c r="D895" s="5" t="str">
        <f>IFERROR(__xludf.DUMMYFUNCTION("IFERROR(REGEXEXTRACT(A895, ""x:([-+]?[0-9]*\.?[0-9]+)""), """")"),"")</f>
        <v/>
      </c>
      <c r="E895" s="5" t="str">
        <f>IFERROR(__xludf.DUMMYFUNCTION("IFERROR(REGEXEXTRACT(A895, ""y:([-+]?[0-9]*\.?[0-9]+)""), """")"),"")</f>
        <v/>
      </c>
    </row>
    <row r="896">
      <c r="A896" s="13"/>
      <c r="B896" s="4">
        <f>IFERROR(__xludf.DUMMYFUNCTION("IFERROR(VALUE(REGEXEXTRACT(A896, ""angle:(\d+)"")), -1)"),-1.0)</f>
        <v>-1</v>
      </c>
      <c r="C896" s="5" t="str">
        <f t="shared" si="1"/>
        <v>-001</v>
      </c>
      <c r="D896" s="5" t="str">
        <f>IFERROR(__xludf.DUMMYFUNCTION("IFERROR(REGEXEXTRACT(A896, ""x:([-+]?[0-9]*\.?[0-9]+)""), """")"),"")</f>
        <v/>
      </c>
      <c r="E896" s="5" t="str">
        <f>IFERROR(__xludf.DUMMYFUNCTION("IFERROR(REGEXEXTRACT(A896, ""y:([-+]?[0-9]*\.?[0-9]+)""), """")"),"")</f>
        <v/>
      </c>
    </row>
    <row r="897">
      <c r="A897" s="13"/>
      <c r="B897" s="4">
        <f>IFERROR(__xludf.DUMMYFUNCTION("IFERROR(VALUE(REGEXEXTRACT(A897, ""angle:(\d+)"")), -1)"),-1.0)</f>
        <v>-1</v>
      </c>
      <c r="C897" s="5" t="str">
        <f t="shared" si="1"/>
        <v>-001</v>
      </c>
      <c r="D897" s="5" t="str">
        <f>IFERROR(__xludf.DUMMYFUNCTION("IFERROR(REGEXEXTRACT(A897, ""x:([-+]?[0-9]*\.?[0-9]+)""), """")"),"")</f>
        <v/>
      </c>
      <c r="E897" s="5" t="str">
        <f>IFERROR(__xludf.DUMMYFUNCTION("IFERROR(REGEXEXTRACT(A897, ""y:([-+]?[0-9]*\.?[0-9]+)""), """")"),"")</f>
        <v/>
      </c>
    </row>
    <row r="898">
      <c r="A898" s="13"/>
      <c r="B898" s="4">
        <f>IFERROR(__xludf.DUMMYFUNCTION("IFERROR(VALUE(REGEXEXTRACT(A898, ""angle:(\d+)"")), -1)"),-1.0)</f>
        <v>-1</v>
      </c>
      <c r="C898" s="5" t="str">
        <f t="shared" si="1"/>
        <v>-001</v>
      </c>
      <c r="D898" s="5" t="str">
        <f>IFERROR(__xludf.DUMMYFUNCTION("IFERROR(REGEXEXTRACT(A898, ""x:([-+]?[0-9]*\.?[0-9]+)""), """")"),"")</f>
        <v/>
      </c>
      <c r="E898" s="5" t="str">
        <f>IFERROR(__xludf.DUMMYFUNCTION("IFERROR(REGEXEXTRACT(A898, ""y:([-+]?[0-9]*\.?[0-9]+)""), """")"),"")</f>
        <v/>
      </c>
    </row>
    <row r="899">
      <c r="A899" s="13"/>
      <c r="B899" s="4">
        <f>IFERROR(__xludf.DUMMYFUNCTION("IFERROR(VALUE(REGEXEXTRACT(A899, ""angle:(\d+)"")), -1)"),-1.0)</f>
        <v>-1</v>
      </c>
      <c r="C899" s="5" t="str">
        <f t="shared" si="1"/>
        <v>-001</v>
      </c>
      <c r="D899" s="5" t="str">
        <f>IFERROR(__xludf.DUMMYFUNCTION("IFERROR(REGEXEXTRACT(A899, ""x:([-+]?[0-9]*\.?[0-9]+)""), """")"),"")</f>
        <v/>
      </c>
      <c r="E899" s="5" t="str">
        <f>IFERROR(__xludf.DUMMYFUNCTION("IFERROR(REGEXEXTRACT(A899, ""y:([-+]?[0-9]*\.?[0-9]+)""), """")"),"")</f>
        <v/>
      </c>
    </row>
    <row r="900">
      <c r="A900" s="13"/>
      <c r="B900" s="4">
        <f>IFERROR(__xludf.DUMMYFUNCTION("IFERROR(VALUE(REGEXEXTRACT(A900, ""angle:(\d+)"")), -1)"),-1.0)</f>
        <v>-1</v>
      </c>
      <c r="C900" s="5" t="str">
        <f t="shared" si="1"/>
        <v>-001</v>
      </c>
      <c r="D900" s="5" t="str">
        <f>IFERROR(__xludf.DUMMYFUNCTION("IFERROR(REGEXEXTRACT(A900, ""x:([-+]?[0-9]*\.?[0-9]+)""), """")"),"")</f>
        <v/>
      </c>
      <c r="E900" s="5" t="str">
        <f>IFERROR(__xludf.DUMMYFUNCTION("IFERROR(REGEXEXTRACT(A900, ""y:([-+]?[0-9]*\.?[0-9]+)""), """")"),"")</f>
        <v/>
      </c>
    </row>
    <row r="901">
      <c r="A901" s="13"/>
      <c r="B901" s="4">
        <f>IFERROR(__xludf.DUMMYFUNCTION("IFERROR(VALUE(REGEXEXTRACT(A901, ""angle:(\d+)"")), -1)"),-1.0)</f>
        <v>-1</v>
      </c>
      <c r="C901" s="5" t="str">
        <f t="shared" si="1"/>
        <v>-001</v>
      </c>
      <c r="D901" s="5" t="str">
        <f>IFERROR(__xludf.DUMMYFUNCTION("IFERROR(REGEXEXTRACT(A901, ""x:([-+]?[0-9]*\.?[0-9]+)""), """")"),"")</f>
        <v/>
      </c>
      <c r="E901" s="5" t="str">
        <f>IFERROR(__xludf.DUMMYFUNCTION("IFERROR(REGEXEXTRACT(A901, ""y:([-+]?[0-9]*\.?[0-9]+)""), """")"),"")</f>
        <v/>
      </c>
    </row>
    <row r="902">
      <c r="A902" s="13"/>
      <c r="B902" s="4">
        <f>IFERROR(__xludf.DUMMYFUNCTION("IFERROR(VALUE(REGEXEXTRACT(A902, ""angle:(\d+)"")), -1)"),-1.0)</f>
        <v>-1</v>
      </c>
      <c r="C902" s="5" t="str">
        <f t="shared" si="1"/>
        <v>-001</v>
      </c>
      <c r="D902" s="5" t="str">
        <f>IFERROR(__xludf.DUMMYFUNCTION("IFERROR(REGEXEXTRACT(A902, ""x:([-+]?[0-9]*\.?[0-9]+)""), """")"),"")</f>
        <v/>
      </c>
      <c r="E902" s="5" t="str">
        <f>IFERROR(__xludf.DUMMYFUNCTION("IFERROR(REGEXEXTRACT(A902, ""y:([-+]?[0-9]*\.?[0-9]+)""), """")"),"")</f>
        <v/>
      </c>
    </row>
    <row r="903">
      <c r="A903" s="13"/>
      <c r="B903" s="4">
        <f>IFERROR(__xludf.DUMMYFUNCTION("IFERROR(VALUE(REGEXEXTRACT(A903, ""angle:(\d+)"")), -1)"),-1.0)</f>
        <v>-1</v>
      </c>
      <c r="C903" s="5" t="str">
        <f t="shared" si="1"/>
        <v>-001</v>
      </c>
      <c r="D903" s="5" t="str">
        <f>IFERROR(__xludf.DUMMYFUNCTION("IFERROR(REGEXEXTRACT(A903, ""x:([-+]?[0-9]*\.?[0-9]+)""), """")"),"")</f>
        <v/>
      </c>
      <c r="E903" s="5" t="str">
        <f>IFERROR(__xludf.DUMMYFUNCTION("IFERROR(REGEXEXTRACT(A903, ""y:([-+]?[0-9]*\.?[0-9]+)""), """")"),"")</f>
        <v/>
      </c>
    </row>
    <row r="904">
      <c r="A904" s="13"/>
      <c r="B904" s="4">
        <f>IFERROR(__xludf.DUMMYFUNCTION("IFERROR(VALUE(REGEXEXTRACT(A904, ""angle:(\d+)"")), -1)"),-1.0)</f>
        <v>-1</v>
      </c>
      <c r="C904" s="5" t="str">
        <f t="shared" si="1"/>
        <v>-001</v>
      </c>
      <c r="D904" s="5" t="str">
        <f>IFERROR(__xludf.DUMMYFUNCTION("IFERROR(REGEXEXTRACT(A904, ""x:([-+]?[0-9]*\.?[0-9]+)""), """")"),"")</f>
        <v/>
      </c>
      <c r="E904" s="5" t="str">
        <f>IFERROR(__xludf.DUMMYFUNCTION("IFERROR(REGEXEXTRACT(A904, ""y:([-+]?[0-9]*\.?[0-9]+)""), """")"),"")</f>
        <v/>
      </c>
    </row>
    <row r="905">
      <c r="A905" s="13"/>
      <c r="B905" s="4">
        <f>IFERROR(__xludf.DUMMYFUNCTION("IFERROR(VALUE(REGEXEXTRACT(A905, ""angle:(\d+)"")), -1)"),-1.0)</f>
        <v>-1</v>
      </c>
      <c r="C905" s="5" t="str">
        <f t="shared" si="1"/>
        <v>-001</v>
      </c>
      <c r="D905" s="5" t="str">
        <f>IFERROR(__xludf.DUMMYFUNCTION("IFERROR(REGEXEXTRACT(A905, ""x:([-+]?[0-9]*\.?[0-9]+)""), """")"),"")</f>
        <v/>
      </c>
      <c r="E905" s="5" t="str">
        <f>IFERROR(__xludf.DUMMYFUNCTION("IFERROR(REGEXEXTRACT(A905, ""y:([-+]?[0-9]*\.?[0-9]+)""), """")"),"")</f>
        <v/>
      </c>
    </row>
    <row r="906">
      <c r="A906" s="13"/>
      <c r="B906" s="4">
        <f>IFERROR(__xludf.DUMMYFUNCTION("IFERROR(VALUE(REGEXEXTRACT(A906, ""angle:(\d+)"")), -1)"),-1.0)</f>
        <v>-1</v>
      </c>
      <c r="C906" s="5" t="str">
        <f t="shared" si="1"/>
        <v>-001</v>
      </c>
      <c r="D906" s="5" t="str">
        <f>IFERROR(__xludf.DUMMYFUNCTION("IFERROR(REGEXEXTRACT(A906, ""x:([-+]?[0-9]*\.?[0-9]+)""), """")"),"")</f>
        <v/>
      </c>
      <c r="E906" s="5" t="str">
        <f>IFERROR(__xludf.DUMMYFUNCTION("IFERROR(REGEXEXTRACT(A906, ""y:([-+]?[0-9]*\.?[0-9]+)""), """")"),"")</f>
        <v/>
      </c>
    </row>
    <row r="907">
      <c r="A907" s="13"/>
      <c r="B907" s="4">
        <f>IFERROR(__xludf.DUMMYFUNCTION("IFERROR(VALUE(REGEXEXTRACT(A907, ""angle:(\d+)"")), -1)"),-1.0)</f>
        <v>-1</v>
      </c>
      <c r="C907" s="5" t="str">
        <f t="shared" si="1"/>
        <v>-001</v>
      </c>
      <c r="D907" s="5" t="str">
        <f>IFERROR(__xludf.DUMMYFUNCTION("IFERROR(REGEXEXTRACT(A907, ""x:([-+]?[0-9]*\.?[0-9]+)""), """")"),"")</f>
        <v/>
      </c>
      <c r="E907" s="5" t="str">
        <f>IFERROR(__xludf.DUMMYFUNCTION("IFERROR(REGEXEXTRACT(A907, ""y:([-+]?[0-9]*\.?[0-9]+)""), """")"),"")</f>
        <v/>
      </c>
    </row>
    <row r="908">
      <c r="A908" s="13"/>
      <c r="B908" s="4">
        <f>IFERROR(__xludf.DUMMYFUNCTION("IFERROR(VALUE(REGEXEXTRACT(A908, ""angle:(\d+)"")), -1)"),-1.0)</f>
        <v>-1</v>
      </c>
      <c r="C908" s="5" t="str">
        <f t="shared" si="1"/>
        <v>-001</v>
      </c>
      <c r="D908" s="5" t="str">
        <f>IFERROR(__xludf.DUMMYFUNCTION("IFERROR(REGEXEXTRACT(A908, ""x:([-+]?[0-9]*\.?[0-9]+)""), """")"),"")</f>
        <v/>
      </c>
      <c r="E908" s="5" t="str">
        <f>IFERROR(__xludf.DUMMYFUNCTION("IFERROR(REGEXEXTRACT(A908, ""y:([-+]?[0-9]*\.?[0-9]+)""), """")"),"")</f>
        <v/>
      </c>
    </row>
    <row r="909">
      <c r="A909" s="13"/>
      <c r="B909" s="4">
        <f>IFERROR(__xludf.DUMMYFUNCTION("IFERROR(VALUE(REGEXEXTRACT(A909, ""angle:(\d+)"")), -1)"),-1.0)</f>
        <v>-1</v>
      </c>
      <c r="C909" s="5" t="str">
        <f t="shared" si="1"/>
        <v>-001</v>
      </c>
      <c r="D909" s="5" t="str">
        <f>IFERROR(__xludf.DUMMYFUNCTION("IFERROR(REGEXEXTRACT(A909, ""x:([-+]?[0-9]*\.?[0-9]+)""), """")"),"")</f>
        <v/>
      </c>
      <c r="E909" s="5" t="str">
        <f>IFERROR(__xludf.DUMMYFUNCTION("IFERROR(REGEXEXTRACT(A909, ""y:([-+]?[0-9]*\.?[0-9]+)""), """")"),"")</f>
        <v/>
      </c>
    </row>
    <row r="910">
      <c r="A910" s="13"/>
      <c r="B910" s="4">
        <f>IFERROR(__xludf.DUMMYFUNCTION("IFERROR(VALUE(REGEXEXTRACT(A910, ""angle:(\d+)"")), -1)"),-1.0)</f>
        <v>-1</v>
      </c>
      <c r="C910" s="5" t="str">
        <f t="shared" si="1"/>
        <v>-001</v>
      </c>
      <c r="D910" s="5" t="str">
        <f>IFERROR(__xludf.DUMMYFUNCTION("IFERROR(REGEXEXTRACT(A910, ""x:([-+]?[0-9]*\.?[0-9]+)""), """")"),"")</f>
        <v/>
      </c>
      <c r="E910" s="5" t="str">
        <f>IFERROR(__xludf.DUMMYFUNCTION("IFERROR(REGEXEXTRACT(A910, ""y:([-+]?[0-9]*\.?[0-9]+)""), """")"),"")</f>
        <v/>
      </c>
    </row>
    <row r="911">
      <c r="A911" s="13"/>
      <c r="B911" s="4">
        <f>IFERROR(__xludf.DUMMYFUNCTION("IFERROR(VALUE(REGEXEXTRACT(A911, ""angle:(\d+)"")), -1)"),-1.0)</f>
        <v>-1</v>
      </c>
      <c r="C911" s="5" t="str">
        <f t="shared" si="1"/>
        <v>-001</v>
      </c>
      <c r="D911" s="5" t="str">
        <f>IFERROR(__xludf.DUMMYFUNCTION("IFERROR(REGEXEXTRACT(A911, ""x:([-+]?[0-9]*\.?[0-9]+)""), """")"),"")</f>
        <v/>
      </c>
      <c r="E911" s="5" t="str">
        <f>IFERROR(__xludf.DUMMYFUNCTION("IFERROR(REGEXEXTRACT(A911, ""y:([-+]?[0-9]*\.?[0-9]+)""), """")"),"")</f>
        <v/>
      </c>
    </row>
    <row r="912">
      <c r="A912" s="13"/>
      <c r="B912" s="4">
        <f>IFERROR(__xludf.DUMMYFUNCTION("IFERROR(VALUE(REGEXEXTRACT(A912, ""angle:(\d+)"")), -1)"),-1.0)</f>
        <v>-1</v>
      </c>
      <c r="C912" s="5" t="str">
        <f t="shared" si="1"/>
        <v>-001</v>
      </c>
      <c r="D912" s="5" t="str">
        <f>IFERROR(__xludf.DUMMYFUNCTION("IFERROR(REGEXEXTRACT(A912, ""x:([-+]?[0-9]*\.?[0-9]+)""), """")"),"")</f>
        <v/>
      </c>
      <c r="E912" s="5" t="str">
        <f>IFERROR(__xludf.DUMMYFUNCTION("IFERROR(REGEXEXTRACT(A912, ""y:([-+]?[0-9]*\.?[0-9]+)""), """")"),"")</f>
        <v/>
      </c>
    </row>
    <row r="913">
      <c r="A913" s="13"/>
      <c r="B913" s="4">
        <f>IFERROR(__xludf.DUMMYFUNCTION("IFERROR(VALUE(REGEXEXTRACT(A913, ""angle:(\d+)"")), -1)"),-1.0)</f>
        <v>-1</v>
      </c>
      <c r="C913" s="5" t="str">
        <f t="shared" si="1"/>
        <v>-001</v>
      </c>
      <c r="D913" s="5" t="str">
        <f>IFERROR(__xludf.DUMMYFUNCTION("IFERROR(REGEXEXTRACT(A913, ""x:([-+]?[0-9]*\.?[0-9]+)""), """")"),"")</f>
        <v/>
      </c>
      <c r="E913" s="5" t="str">
        <f>IFERROR(__xludf.DUMMYFUNCTION("IFERROR(REGEXEXTRACT(A913, ""y:([-+]?[0-9]*\.?[0-9]+)""), """")"),"")</f>
        <v/>
      </c>
    </row>
    <row r="914">
      <c r="A914" s="13"/>
      <c r="B914" s="4">
        <f>IFERROR(__xludf.DUMMYFUNCTION("IFERROR(VALUE(REGEXEXTRACT(A914, ""angle:(\d+)"")), -1)"),-1.0)</f>
        <v>-1</v>
      </c>
      <c r="C914" s="5" t="str">
        <f t="shared" si="1"/>
        <v>-001</v>
      </c>
      <c r="D914" s="5" t="str">
        <f>IFERROR(__xludf.DUMMYFUNCTION("IFERROR(REGEXEXTRACT(A914, ""x:([-+]?[0-9]*\.?[0-9]+)""), """")"),"")</f>
        <v/>
      </c>
      <c r="E914" s="5" t="str">
        <f>IFERROR(__xludf.DUMMYFUNCTION("IFERROR(REGEXEXTRACT(A914, ""y:([-+]?[0-9]*\.?[0-9]+)""), """")"),"")</f>
        <v/>
      </c>
    </row>
    <row r="915">
      <c r="A915" s="13"/>
      <c r="B915" s="4">
        <f>IFERROR(__xludf.DUMMYFUNCTION("IFERROR(VALUE(REGEXEXTRACT(A915, ""angle:(\d+)"")), -1)"),-1.0)</f>
        <v>-1</v>
      </c>
      <c r="C915" s="5" t="str">
        <f t="shared" si="1"/>
        <v>-001</v>
      </c>
      <c r="D915" s="5" t="str">
        <f>IFERROR(__xludf.DUMMYFUNCTION("IFERROR(REGEXEXTRACT(A915, ""x:([-+]?[0-9]*\.?[0-9]+)""), """")"),"")</f>
        <v/>
      </c>
      <c r="E915" s="5" t="str">
        <f>IFERROR(__xludf.DUMMYFUNCTION("IFERROR(REGEXEXTRACT(A915, ""y:([-+]?[0-9]*\.?[0-9]+)""), """")"),"")</f>
        <v/>
      </c>
    </row>
    <row r="916">
      <c r="A916" s="13"/>
      <c r="B916" s="4">
        <f>IFERROR(__xludf.DUMMYFUNCTION("IFERROR(VALUE(REGEXEXTRACT(A916, ""angle:(\d+)"")), -1)"),-1.0)</f>
        <v>-1</v>
      </c>
      <c r="C916" s="5" t="str">
        <f t="shared" si="1"/>
        <v>-001</v>
      </c>
      <c r="D916" s="5" t="str">
        <f>IFERROR(__xludf.DUMMYFUNCTION("IFERROR(REGEXEXTRACT(A916, ""x:([-+]?[0-9]*\.?[0-9]+)""), """")"),"")</f>
        <v/>
      </c>
      <c r="E916" s="5" t="str">
        <f>IFERROR(__xludf.DUMMYFUNCTION("IFERROR(REGEXEXTRACT(A916, ""y:([-+]?[0-9]*\.?[0-9]+)""), """")"),"")</f>
        <v/>
      </c>
    </row>
    <row r="917">
      <c r="A917" s="13"/>
      <c r="B917" s="4">
        <f>IFERROR(__xludf.DUMMYFUNCTION("IFERROR(VALUE(REGEXEXTRACT(A917, ""angle:(\d+)"")), -1)"),-1.0)</f>
        <v>-1</v>
      </c>
      <c r="C917" s="5" t="str">
        <f t="shared" si="1"/>
        <v>-001</v>
      </c>
      <c r="D917" s="5" t="str">
        <f>IFERROR(__xludf.DUMMYFUNCTION("IFERROR(REGEXEXTRACT(A917, ""x:([-+]?[0-9]*\.?[0-9]+)""), """")"),"")</f>
        <v/>
      </c>
      <c r="E917" s="5" t="str">
        <f>IFERROR(__xludf.DUMMYFUNCTION("IFERROR(REGEXEXTRACT(A917, ""y:([-+]?[0-9]*\.?[0-9]+)""), """")"),"")</f>
        <v/>
      </c>
    </row>
    <row r="918">
      <c r="A918" s="13"/>
      <c r="B918" s="4">
        <f>IFERROR(__xludf.DUMMYFUNCTION("IFERROR(VALUE(REGEXEXTRACT(A918, ""angle:(\d+)"")), -1)"),-1.0)</f>
        <v>-1</v>
      </c>
      <c r="C918" s="5" t="str">
        <f t="shared" si="1"/>
        <v>-001</v>
      </c>
      <c r="D918" s="5" t="str">
        <f>IFERROR(__xludf.DUMMYFUNCTION("IFERROR(REGEXEXTRACT(A918, ""x:([-+]?[0-9]*\.?[0-9]+)""), """")"),"")</f>
        <v/>
      </c>
      <c r="E918" s="5" t="str">
        <f>IFERROR(__xludf.DUMMYFUNCTION("IFERROR(REGEXEXTRACT(A918, ""y:([-+]?[0-9]*\.?[0-9]+)""), """")"),"")</f>
        <v/>
      </c>
    </row>
    <row r="919">
      <c r="A919" s="13"/>
      <c r="B919" s="4">
        <f>IFERROR(__xludf.DUMMYFUNCTION("IFERROR(VALUE(REGEXEXTRACT(A919, ""angle:(\d+)"")), -1)"),-1.0)</f>
        <v>-1</v>
      </c>
      <c r="C919" s="5" t="str">
        <f t="shared" si="1"/>
        <v>-001</v>
      </c>
      <c r="D919" s="5" t="str">
        <f>IFERROR(__xludf.DUMMYFUNCTION("IFERROR(REGEXEXTRACT(A919, ""x:([-+]?[0-9]*\.?[0-9]+)""), """")"),"")</f>
        <v/>
      </c>
      <c r="E919" s="5" t="str">
        <f>IFERROR(__xludf.DUMMYFUNCTION("IFERROR(REGEXEXTRACT(A919, ""y:([-+]?[0-9]*\.?[0-9]+)""), """")"),"")</f>
        <v/>
      </c>
    </row>
    <row r="920">
      <c r="A920" s="13"/>
      <c r="B920" s="4">
        <f>IFERROR(__xludf.DUMMYFUNCTION("IFERROR(VALUE(REGEXEXTRACT(A920, ""angle:(\d+)"")), -1)"),-1.0)</f>
        <v>-1</v>
      </c>
      <c r="C920" s="5" t="str">
        <f t="shared" si="1"/>
        <v>-001</v>
      </c>
      <c r="D920" s="5" t="str">
        <f>IFERROR(__xludf.DUMMYFUNCTION("IFERROR(REGEXEXTRACT(A920, ""x:([-+]?[0-9]*\.?[0-9]+)""), """")"),"")</f>
        <v/>
      </c>
      <c r="E920" s="5" t="str">
        <f>IFERROR(__xludf.DUMMYFUNCTION("IFERROR(REGEXEXTRACT(A920, ""y:([-+]?[0-9]*\.?[0-9]+)""), """")"),"")</f>
        <v/>
      </c>
    </row>
    <row r="921">
      <c r="A921" s="13"/>
      <c r="B921" s="4">
        <f>IFERROR(__xludf.DUMMYFUNCTION("IFERROR(VALUE(REGEXEXTRACT(A921, ""angle:(\d+)"")), -1)"),-1.0)</f>
        <v>-1</v>
      </c>
      <c r="C921" s="5" t="str">
        <f t="shared" si="1"/>
        <v>-001</v>
      </c>
      <c r="D921" s="5" t="str">
        <f>IFERROR(__xludf.DUMMYFUNCTION("IFERROR(REGEXEXTRACT(A921, ""x:([-+]?[0-9]*\.?[0-9]+)""), """")"),"")</f>
        <v/>
      </c>
      <c r="E921" s="5" t="str">
        <f>IFERROR(__xludf.DUMMYFUNCTION("IFERROR(REGEXEXTRACT(A921, ""y:([-+]?[0-9]*\.?[0-9]+)""), """")"),"")</f>
        <v/>
      </c>
    </row>
    <row r="922">
      <c r="A922" s="13"/>
      <c r="B922" s="4">
        <f>IFERROR(__xludf.DUMMYFUNCTION("IFERROR(VALUE(REGEXEXTRACT(A922, ""angle:(\d+)"")), -1)"),-1.0)</f>
        <v>-1</v>
      </c>
      <c r="C922" s="5" t="str">
        <f t="shared" si="1"/>
        <v>-001</v>
      </c>
      <c r="D922" s="5" t="str">
        <f>IFERROR(__xludf.DUMMYFUNCTION("IFERROR(REGEXEXTRACT(A922, ""x:([-+]?[0-9]*\.?[0-9]+)""), """")"),"")</f>
        <v/>
      </c>
      <c r="E922" s="5" t="str">
        <f>IFERROR(__xludf.DUMMYFUNCTION("IFERROR(REGEXEXTRACT(A922, ""y:([-+]?[0-9]*\.?[0-9]+)""), """")"),"")</f>
        <v/>
      </c>
    </row>
    <row r="923">
      <c r="A923" s="13"/>
      <c r="B923" s="4">
        <f>IFERROR(__xludf.DUMMYFUNCTION("IFERROR(VALUE(REGEXEXTRACT(A923, ""angle:(\d+)"")), -1)"),-1.0)</f>
        <v>-1</v>
      </c>
      <c r="C923" s="5" t="str">
        <f t="shared" si="1"/>
        <v>-001</v>
      </c>
      <c r="D923" s="5" t="str">
        <f>IFERROR(__xludf.DUMMYFUNCTION("IFERROR(REGEXEXTRACT(A923, ""x:([-+]?[0-9]*\.?[0-9]+)""), """")"),"")</f>
        <v/>
      </c>
      <c r="E923" s="5" t="str">
        <f>IFERROR(__xludf.DUMMYFUNCTION("IFERROR(REGEXEXTRACT(A923, ""y:([-+]?[0-9]*\.?[0-9]+)""), """")"),"")</f>
        <v/>
      </c>
    </row>
    <row r="924">
      <c r="A924" s="13"/>
      <c r="B924" s="4">
        <f>IFERROR(__xludf.DUMMYFUNCTION("IFERROR(VALUE(REGEXEXTRACT(A924, ""angle:(\d+)"")), -1)"),-1.0)</f>
        <v>-1</v>
      </c>
      <c r="C924" s="5" t="str">
        <f t="shared" si="1"/>
        <v>-001</v>
      </c>
      <c r="D924" s="5" t="str">
        <f>IFERROR(__xludf.DUMMYFUNCTION("IFERROR(REGEXEXTRACT(A924, ""x:([-+]?[0-9]*\.?[0-9]+)""), """")"),"")</f>
        <v/>
      </c>
      <c r="E924" s="5" t="str">
        <f>IFERROR(__xludf.DUMMYFUNCTION("IFERROR(REGEXEXTRACT(A924, ""y:([-+]?[0-9]*\.?[0-9]+)""), """")"),"")</f>
        <v/>
      </c>
    </row>
    <row r="925">
      <c r="A925" s="13"/>
      <c r="B925" s="4">
        <f>IFERROR(__xludf.DUMMYFUNCTION("IFERROR(VALUE(REGEXEXTRACT(A925, ""angle:(\d+)"")), -1)"),-1.0)</f>
        <v>-1</v>
      </c>
      <c r="C925" s="5" t="str">
        <f t="shared" si="1"/>
        <v>-001</v>
      </c>
      <c r="D925" s="5" t="str">
        <f>IFERROR(__xludf.DUMMYFUNCTION("IFERROR(REGEXEXTRACT(A925, ""x:([-+]?[0-9]*\.?[0-9]+)""), """")"),"")</f>
        <v/>
      </c>
      <c r="E925" s="5" t="str">
        <f>IFERROR(__xludf.DUMMYFUNCTION("IFERROR(REGEXEXTRACT(A925, ""y:([-+]?[0-9]*\.?[0-9]+)""), """")"),"")</f>
        <v/>
      </c>
    </row>
    <row r="926">
      <c r="A926" s="13"/>
      <c r="B926" s="4">
        <f>IFERROR(__xludf.DUMMYFUNCTION("IFERROR(VALUE(REGEXEXTRACT(A926, ""angle:(\d+)"")), -1)"),-1.0)</f>
        <v>-1</v>
      </c>
      <c r="C926" s="5" t="str">
        <f t="shared" si="1"/>
        <v>-001</v>
      </c>
      <c r="D926" s="5" t="str">
        <f>IFERROR(__xludf.DUMMYFUNCTION("IFERROR(REGEXEXTRACT(A926, ""x:([-+]?[0-9]*\.?[0-9]+)""), """")"),"")</f>
        <v/>
      </c>
      <c r="E926" s="5" t="str">
        <f>IFERROR(__xludf.DUMMYFUNCTION("IFERROR(REGEXEXTRACT(A926, ""y:([-+]?[0-9]*\.?[0-9]+)""), """")"),"")</f>
        <v/>
      </c>
    </row>
    <row r="927">
      <c r="A927" s="13"/>
      <c r="B927" s="4">
        <f>IFERROR(__xludf.DUMMYFUNCTION("IFERROR(VALUE(REGEXEXTRACT(A927, ""angle:(\d+)"")), -1)"),-1.0)</f>
        <v>-1</v>
      </c>
      <c r="C927" s="5" t="str">
        <f t="shared" si="1"/>
        <v>-001</v>
      </c>
      <c r="D927" s="5" t="str">
        <f>IFERROR(__xludf.DUMMYFUNCTION("IFERROR(REGEXEXTRACT(A927, ""x:([-+]?[0-9]*\.?[0-9]+)""), """")"),"")</f>
        <v/>
      </c>
      <c r="E927" s="5" t="str">
        <f>IFERROR(__xludf.DUMMYFUNCTION("IFERROR(REGEXEXTRACT(A927, ""y:([-+]?[0-9]*\.?[0-9]+)""), """")"),"")</f>
        <v/>
      </c>
    </row>
    <row r="928">
      <c r="A928" s="13"/>
      <c r="B928" s="4">
        <f>IFERROR(__xludf.DUMMYFUNCTION("IFERROR(VALUE(REGEXEXTRACT(A928, ""angle:(\d+)"")), -1)"),-1.0)</f>
        <v>-1</v>
      </c>
      <c r="C928" s="5" t="str">
        <f t="shared" si="1"/>
        <v>-001</v>
      </c>
      <c r="D928" s="5" t="str">
        <f>IFERROR(__xludf.DUMMYFUNCTION("IFERROR(REGEXEXTRACT(A928, ""x:([-+]?[0-9]*\.?[0-9]+)""), """")"),"")</f>
        <v/>
      </c>
      <c r="E928" s="5" t="str">
        <f>IFERROR(__xludf.DUMMYFUNCTION("IFERROR(REGEXEXTRACT(A928, ""y:([-+]?[0-9]*\.?[0-9]+)""), """")"),"")</f>
        <v/>
      </c>
    </row>
    <row r="929">
      <c r="A929" s="13"/>
      <c r="B929" s="4">
        <f>IFERROR(__xludf.DUMMYFUNCTION("IFERROR(VALUE(REGEXEXTRACT(A929, ""angle:(\d+)"")), -1)"),-1.0)</f>
        <v>-1</v>
      </c>
      <c r="C929" s="5" t="str">
        <f t="shared" si="1"/>
        <v>-001</v>
      </c>
      <c r="D929" s="5" t="str">
        <f>IFERROR(__xludf.DUMMYFUNCTION("IFERROR(REGEXEXTRACT(A929, ""x:([-+]?[0-9]*\.?[0-9]+)""), """")"),"")</f>
        <v/>
      </c>
      <c r="E929" s="5" t="str">
        <f>IFERROR(__xludf.DUMMYFUNCTION("IFERROR(REGEXEXTRACT(A929, ""y:([-+]?[0-9]*\.?[0-9]+)""), """")"),"")</f>
        <v/>
      </c>
    </row>
    <row r="930">
      <c r="A930" s="13"/>
      <c r="B930" s="4">
        <f>IFERROR(__xludf.DUMMYFUNCTION("IFERROR(VALUE(REGEXEXTRACT(A930, ""angle:(\d+)"")), -1)"),-1.0)</f>
        <v>-1</v>
      </c>
      <c r="C930" s="5" t="str">
        <f t="shared" si="1"/>
        <v>-001</v>
      </c>
      <c r="D930" s="5" t="str">
        <f>IFERROR(__xludf.DUMMYFUNCTION("IFERROR(REGEXEXTRACT(A930, ""x:([-+]?[0-9]*\.?[0-9]+)""), """")"),"")</f>
        <v/>
      </c>
      <c r="E930" s="5" t="str">
        <f>IFERROR(__xludf.DUMMYFUNCTION("IFERROR(REGEXEXTRACT(A930, ""y:([-+]?[0-9]*\.?[0-9]+)""), """")"),"")</f>
        <v/>
      </c>
    </row>
    <row r="931">
      <c r="A931" s="13"/>
      <c r="B931" s="4">
        <f>IFERROR(__xludf.DUMMYFUNCTION("IFERROR(VALUE(REGEXEXTRACT(A931, ""angle:(\d+)"")), -1)"),-1.0)</f>
        <v>-1</v>
      </c>
      <c r="C931" s="5" t="str">
        <f t="shared" si="1"/>
        <v>-001</v>
      </c>
      <c r="D931" s="5" t="str">
        <f>IFERROR(__xludf.DUMMYFUNCTION("IFERROR(REGEXEXTRACT(A931, ""x:([-+]?[0-9]*\.?[0-9]+)""), """")"),"")</f>
        <v/>
      </c>
      <c r="E931" s="5" t="str">
        <f>IFERROR(__xludf.DUMMYFUNCTION("IFERROR(REGEXEXTRACT(A931, ""y:([-+]?[0-9]*\.?[0-9]+)""), """")"),"")</f>
        <v/>
      </c>
    </row>
    <row r="932">
      <c r="A932" s="13"/>
      <c r="B932" s="4">
        <f>IFERROR(__xludf.DUMMYFUNCTION("IFERROR(VALUE(REGEXEXTRACT(A932, ""angle:(\d+)"")), -1)"),-1.0)</f>
        <v>-1</v>
      </c>
      <c r="C932" s="5" t="str">
        <f t="shared" si="1"/>
        <v>-001</v>
      </c>
      <c r="D932" s="5" t="str">
        <f>IFERROR(__xludf.DUMMYFUNCTION("IFERROR(REGEXEXTRACT(A932, ""x:([-+]?[0-9]*\.?[0-9]+)""), """")"),"")</f>
        <v/>
      </c>
      <c r="E932" s="5" t="str">
        <f>IFERROR(__xludf.DUMMYFUNCTION("IFERROR(REGEXEXTRACT(A932, ""y:([-+]?[0-9]*\.?[0-9]+)""), """")"),"")</f>
        <v/>
      </c>
    </row>
    <row r="933">
      <c r="A933" s="13"/>
      <c r="B933" s="4">
        <f>IFERROR(__xludf.DUMMYFUNCTION("IFERROR(VALUE(REGEXEXTRACT(A933, ""angle:(\d+)"")), -1)"),-1.0)</f>
        <v>-1</v>
      </c>
      <c r="C933" s="5" t="str">
        <f t="shared" si="1"/>
        <v>-001</v>
      </c>
      <c r="D933" s="5" t="str">
        <f>IFERROR(__xludf.DUMMYFUNCTION("IFERROR(REGEXEXTRACT(A933, ""x:([-+]?[0-9]*\.?[0-9]+)""), """")"),"")</f>
        <v/>
      </c>
      <c r="E933" s="5" t="str">
        <f>IFERROR(__xludf.DUMMYFUNCTION("IFERROR(REGEXEXTRACT(A933, ""y:([-+]?[0-9]*\.?[0-9]+)""), """")"),"")</f>
        <v/>
      </c>
    </row>
    <row r="934">
      <c r="A934" s="13"/>
      <c r="B934" s="4">
        <f>IFERROR(__xludf.DUMMYFUNCTION("IFERROR(VALUE(REGEXEXTRACT(A934, ""angle:(\d+)"")), -1)"),-1.0)</f>
        <v>-1</v>
      </c>
      <c r="C934" s="5" t="str">
        <f t="shared" si="1"/>
        <v>-001</v>
      </c>
      <c r="D934" s="5" t="str">
        <f>IFERROR(__xludf.DUMMYFUNCTION("IFERROR(REGEXEXTRACT(A934, ""x:([-+]?[0-9]*\.?[0-9]+)""), """")"),"")</f>
        <v/>
      </c>
      <c r="E934" s="5" t="str">
        <f>IFERROR(__xludf.DUMMYFUNCTION("IFERROR(REGEXEXTRACT(A934, ""y:([-+]?[0-9]*\.?[0-9]+)""), """")"),"")</f>
        <v/>
      </c>
    </row>
    <row r="935">
      <c r="A935" s="13"/>
      <c r="B935" s="4">
        <f>IFERROR(__xludf.DUMMYFUNCTION("IFERROR(VALUE(REGEXEXTRACT(A935, ""angle:(\d+)"")), -1)"),-1.0)</f>
        <v>-1</v>
      </c>
      <c r="C935" s="5" t="str">
        <f t="shared" si="1"/>
        <v>-001</v>
      </c>
      <c r="D935" s="5" t="str">
        <f>IFERROR(__xludf.DUMMYFUNCTION("IFERROR(REGEXEXTRACT(A935, ""x:([-+]?[0-9]*\.?[0-9]+)""), """")"),"")</f>
        <v/>
      </c>
      <c r="E935" s="5" t="str">
        <f>IFERROR(__xludf.DUMMYFUNCTION("IFERROR(REGEXEXTRACT(A935, ""y:([-+]?[0-9]*\.?[0-9]+)""), """")"),"")</f>
        <v/>
      </c>
    </row>
    <row r="936">
      <c r="A936" s="13"/>
      <c r="B936" s="4">
        <f>IFERROR(__xludf.DUMMYFUNCTION("IFERROR(VALUE(REGEXEXTRACT(A936, ""angle:(\d+)"")), -1)"),-1.0)</f>
        <v>-1</v>
      </c>
      <c r="C936" s="5" t="str">
        <f t="shared" si="1"/>
        <v>-001</v>
      </c>
      <c r="D936" s="5" t="str">
        <f>IFERROR(__xludf.DUMMYFUNCTION("IFERROR(REGEXEXTRACT(A936, ""x:([-+]?[0-9]*\.?[0-9]+)""), """")"),"")</f>
        <v/>
      </c>
      <c r="E936" s="5" t="str">
        <f>IFERROR(__xludf.DUMMYFUNCTION("IFERROR(REGEXEXTRACT(A936, ""y:([-+]?[0-9]*\.?[0-9]+)""), """")"),"")</f>
        <v/>
      </c>
    </row>
    <row r="937">
      <c r="A937" s="13"/>
      <c r="B937" s="4">
        <f>IFERROR(__xludf.DUMMYFUNCTION("IFERROR(VALUE(REGEXEXTRACT(A937, ""angle:(\d+)"")), -1)"),-1.0)</f>
        <v>-1</v>
      </c>
      <c r="C937" s="5" t="str">
        <f t="shared" si="1"/>
        <v>-001</v>
      </c>
      <c r="D937" s="5" t="str">
        <f>IFERROR(__xludf.DUMMYFUNCTION("IFERROR(REGEXEXTRACT(A937, ""x:([-+]?[0-9]*\.?[0-9]+)""), """")"),"")</f>
        <v/>
      </c>
      <c r="E937" s="5" t="str">
        <f>IFERROR(__xludf.DUMMYFUNCTION("IFERROR(REGEXEXTRACT(A937, ""y:([-+]?[0-9]*\.?[0-9]+)""), """")"),"")</f>
        <v/>
      </c>
    </row>
    <row r="938">
      <c r="A938" s="13"/>
      <c r="B938" s="4">
        <f>IFERROR(__xludf.DUMMYFUNCTION("IFERROR(VALUE(REGEXEXTRACT(A938, ""angle:(\d+)"")), -1)"),-1.0)</f>
        <v>-1</v>
      </c>
      <c r="C938" s="5" t="str">
        <f t="shared" si="1"/>
        <v>-001</v>
      </c>
      <c r="D938" s="5" t="str">
        <f>IFERROR(__xludf.DUMMYFUNCTION("IFERROR(REGEXEXTRACT(A938, ""x:([-+]?[0-9]*\.?[0-9]+)""), """")"),"")</f>
        <v/>
      </c>
      <c r="E938" s="5" t="str">
        <f>IFERROR(__xludf.DUMMYFUNCTION("IFERROR(REGEXEXTRACT(A938, ""y:([-+]?[0-9]*\.?[0-9]+)""), """")"),"")</f>
        <v/>
      </c>
    </row>
    <row r="939">
      <c r="A939" s="13"/>
      <c r="B939" s="4">
        <f>IFERROR(__xludf.DUMMYFUNCTION("IFERROR(VALUE(REGEXEXTRACT(A939, ""angle:(\d+)"")), -1)"),-1.0)</f>
        <v>-1</v>
      </c>
      <c r="C939" s="5" t="str">
        <f t="shared" si="1"/>
        <v>-001</v>
      </c>
      <c r="D939" s="5" t="str">
        <f>IFERROR(__xludf.DUMMYFUNCTION("IFERROR(REGEXEXTRACT(A939, ""x:([-+]?[0-9]*\.?[0-9]+)""), """")"),"")</f>
        <v/>
      </c>
      <c r="E939" s="5" t="str">
        <f>IFERROR(__xludf.DUMMYFUNCTION("IFERROR(REGEXEXTRACT(A939, ""y:([-+]?[0-9]*\.?[0-9]+)""), """")"),"")</f>
        <v/>
      </c>
    </row>
    <row r="940">
      <c r="A940" s="13"/>
      <c r="B940" s="4">
        <f>IFERROR(__xludf.DUMMYFUNCTION("IFERROR(VALUE(REGEXEXTRACT(A940, ""angle:(\d+)"")), -1)"),-1.0)</f>
        <v>-1</v>
      </c>
      <c r="C940" s="5" t="str">
        <f t="shared" si="1"/>
        <v>-001</v>
      </c>
      <c r="D940" s="5" t="str">
        <f>IFERROR(__xludf.DUMMYFUNCTION("IFERROR(REGEXEXTRACT(A940, ""x:([-+]?[0-9]*\.?[0-9]+)""), """")"),"")</f>
        <v/>
      </c>
      <c r="E940" s="5" t="str">
        <f>IFERROR(__xludf.DUMMYFUNCTION("IFERROR(REGEXEXTRACT(A940, ""y:([-+]?[0-9]*\.?[0-9]+)""), """")"),"")</f>
        <v/>
      </c>
    </row>
    <row r="941">
      <c r="A941" s="13"/>
      <c r="B941" s="4">
        <f>IFERROR(__xludf.DUMMYFUNCTION("IFERROR(VALUE(REGEXEXTRACT(A941, ""angle:(\d+)"")), -1)"),-1.0)</f>
        <v>-1</v>
      </c>
      <c r="C941" s="5" t="str">
        <f t="shared" si="1"/>
        <v>-001</v>
      </c>
      <c r="D941" s="5" t="str">
        <f>IFERROR(__xludf.DUMMYFUNCTION("IFERROR(REGEXEXTRACT(A941, ""x:([-+]?[0-9]*\.?[0-9]+)""), """")"),"")</f>
        <v/>
      </c>
      <c r="E941" s="5" t="str">
        <f>IFERROR(__xludf.DUMMYFUNCTION("IFERROR(REGEXEXTRACT(A941, ""y:([-+]?[0-9]*\.?[0-9]+)""), """")"),"")</f>
        <v/>
      </c>
    </row>
    <row r="942">
      <c r="A942" s="13"/>
      <c r="B942" s="4">
        <f>IFERROR(__xludf.DUMMYFUNCTION("IFERROR(VALUE(REGEXEXTRACT(A942, ""angle:(\d+)"")), -1)"),-1.0)</f>
        <v>-1</v>
      </c>
      <c r="C942" s="5" t="str">
        <f t="shared" si="1"/>
        <v>-001</v>
      </c>
      <c r="D942" s="5" t="str">
        <f>IFERROR(__xludf.DUMMYFUNCTION("IFERROR(REGEXEXTRACT(A942, ""x:([-+]?[0-9]*\.?[0-9]+)""), """")"),"")</f>
        <v/>
      </c>
      <c r="E942" s="5" t="str">
        <f>IFERROR(__xludf.DUMMYFUNCTION("IFERROR(REGEXEXTRACT(A942, ""y:([-+]?[0-9]*\.?[0-9]+)""), """")"),"")</f>
        <v/>
      </c>
    </row>
    <row r="943">
      <c r="A943" s="13"/>
      <c r="B943" s="4">
        <f>IFERROR(__xludf.DUMMYFUNCTION("IFERROR(VALUE(REGEXEXTRACT(A943, ""angle:(\d+)"")), -1)"),-1.0)</f>
        <v>-1</v>
      </c>
      <c r="C943" s="5" t="str">
        <f t="shared" si="1"/>
        <v>-001</v>
      </c>
      <c r="D943" s="5" t="str">
        <f>IFERROR(__xludf.DUMMYFUNCTION("IFERROR(REGEXEXTRACT(A943, ""x:([-+]?[0-9]*\.?[0-9]+)""), """")"),"")</f>
        <v/>
      </c>
      <c r="E943" s="5" t="str">
        <f>IFERROR(__xludf.DUMMYFUNCTION("IFERROR(REGEXEXTRACT(A943, ""y:([-+]?[0-9]*\.?[0-9]+)""), """")"),"")</f>
        <v/>
      </c>
    </row>
    <row r="944">
      <c r="A944" s="13"/>
      <c r="B944" s="4">
        <f>IFERROR(__xludf.DUMMYFUNCTION("IFERROR(VALUE(REGEXEXTRACT(A944, ""angle:(\d+)"")), -1)"),-1.0)</f>
        <v>-1</v>
      </c>
      <c r="C944" s="5" t="str">
        <f t="shared" si="1"/>
        <v>-001</v>
      </c>
      <c r="D944" s="5" t="str">
        <f>IFERROR(__xludf.DUMMYFUNCTION("IFERROR(REGEXEXTRACT(A944, ""x:([-+]?[0-9]*\.?[0-9]+)""), """")"),"")</f>
        <v/>
      </c>
      <c r="E944" s="5" t="str">
        <f>IFERROR(__xludf.DUMMYFUNCTION("IFERROR(REGEXEXTRACT(A944, ""y:([-+]?[0-9]*\.?[0-9]+)""), """")"),"")</f>
        <v/>
      </c>
    </row>
    <row r="945">
      <c r="A945" s="13"/>
      <c r="B945" s="4">
        <f>IFERROR(__xludf.DUMMYFUNCTION("IFERROR(VALUE(REGEXEXTRACT(A945, ""angle:(\d+)"")), -1)"),-1.0)</f>
        <v>-1</v>
      </c>
      <c r="C945" s="5" t="str">
        <f t="shared" si="1"/>
        <v>-001</v>
      </c>
      <c r="D945" s="5" t="str">
        <f>IFERROR(__xludf.DUMMYFUNCTION("IFERROR(REGEXEXTRACT(A945, ""x:([-+]?[0-9]*\.?[0-9]+)""), """")"),"")</f>
        <v/>
      </c>
      <c r="E945" s="5" t="str">
        <f>IFERROR(__xludf.DUMMYFUNCTION("IFERROR(REGEXEXTRACT(A945, ""y:([-+]?[0-9]*\.?[0-9]+)""), """")"),"")</f>
        <v/>
      </c>
    </row>
    <row r="946">
      <c r="A946" s="13"/>
      <c r="B946" s="4">
        <f>IFERROR(__xludf.DUMMYFUNCTION("IFERROR(VALUE(REGEXEXTRACT(A946, ""angle:(\d+)"")), -1)"),-1.0)</f>
        <v>-1</v>
      </c>
      <c r="C946" s="5" t="str">
        <f t="shared" si="1"/>
        <v>-001</v>
      </c>
      <c r="D946" s="5" t="str">
        <f>IFERROR(__xludf.DUMMYFUNCTION("IFERROR(REGEXEXTRACT(A946, ""x:([-+]?[0-9]*\.?[0-9]+)""), """")"),"")</f>
        <v/>
      </c>
      <c r="E946" s="5" t="str">
        <f>IFERROR(__xludf.DUMMYFUNCTION("IFERROR(REGEXEXTRACT(A946, ""y:([-+]?[0-9]*\.?[0-9]+)""), """")"),"")</f>
        <v/>
      </c>
    </row>
    <row r="947">
      <c r="A947" s="13"/>
      <c r="B947" s="4">
        <f>IFERROR(__xludf.DUMMYFUNCTION("IFERROR(VALUE(REGEXEXTRACT(A947, ""angle:(\d+)"")), -1)"),-1.0)</f>
        <v>-1</v>
      </c>
      <c r="C947" s="5" t="str">
        <f t="shared" si="1"/>
        <v>-001</v>
      </c>
      <c r="D947" s="5" t="str">
        <f>IFERROR(__xludf.DUMMYFUNCTION("IFERROR(REGEXEXTRACT(A947, ""x:([-+]?[0-9]*\.?[0-9]+)""), """")"),"")</f>
        <v/>
      </c>
      <c r="E947" s="5" t="str">
        <f>IFERROR(__xludf.DUMMYFUNCTION("IFERROR(REGEXEXTRACT(A947, ""y:([-+]?[0-9]*\.?[0-9]+)""), """")"),"")</f>
        <v/>
      </c>
    </row>
    <row r="948">
      <c r="A948" s="13"/>
      <c r="B948" s="4">
        <f>IFERROR(__xludf.DUMMYFUNCTION("IFERROR(VALUE(REGEXEXTRACT(A948, ""angle:(\d+)"")), -1)"),-1.0)</f>
        <v>-1</v>
      </c>
      <c r="C948" s="5" t="str">
        <f t="shared" si="1"/>
        <v>-001</v>
      </c>
      <c r="D948" s="5" t="str">
        <f>IFERROR(__xludf.DUMMYFUNCTION("IFERROR(REGEXEXTRACT(A948, ""x:([-+]?[0-9]*\.?[0-9]+)""), """")"),"")</f>
        <v/>
      </c>
      <c r="E948" s="5" t="str">
        <f>IFERROR(__xludf.DUMMYFUNCTION("IFERROR(REGEXEXTRACT(A948, ""y:([-+]?[0-9]*\.?[0-9]+)""), """")"),"")</f>
        <v/>
      </c>
    </row>
    <row r="949">
      <c r="A949" s="13"/>
      <c r="B949" s="4">
        <f>IFERROR(__xludf.DUMMYFUNCTION("IFERROR(VALUE(REGEXEXTRACT(A949, ""angle:(\d+)"")), -1)"),-1.0)</f>
        <v>-1</v>
      </c>
      <c r="C949" s="5" t="str">
        <f t="shared" si="1"/>
        <v>-001</v>
      </c>
      <c r="D949" s="5" t="str">
        <f>IFERROR(__xludf.DUMMYFUNCTION("IFERROR(REGEXEXTRACT(A949, ""x:([-+]?[0-9]*\.?[0-9]+)""), """")"),"")</f>
        <v/>
      </c>
      <c r="E949" s="5" t="str">
        <f>IFERROR(__xludf.DUMMYFUNCTION("IFERROR(REGEXEXTRACT(A949, ""y:([-+]?[0-9]*\.?[0-9]+)""), """")"),"")</f>
        <v/>
      </c>
    </row>
    <row r="950">
      <c r="A950" s="13"/>
      <c r="B950" s="4">
        <f>IFERROR(__xludf.DUMMYFUNCTION("IFERROR(VALUE(REGEXEXTRACT(A950, ""angle:(\d+)"")), -1)"),-1.0)</f>
        <v>-1</v>
      </c>
      <c r="C950" s="5" t="str">
        <f t="shared" si="1"/>
        <v>-001</v>
      </c>
      <c r="D950" s="5" t="str">
        <f>IFERROR(__xludf.DUMMYFUNCTION("IFERROR(REGEXEXTRACT(A950, ""x:([-+]?[0-9]*\.?[0-9]+)""), """")"),"")</f>
        <v/>
      </c>
      <c r="E950" s="5" t="str">
        <f>IFERROR(__xludf.DUMMYFUNCTION("IFERROR(REGEXEXTRACT(A950, ""y:([-+]?[0-9]*\.?[0-9]+)""), """")"),"")</f>
        <v/>
      </c>
    </row>
    <row r="951">
      <c r="A951" s="13"/>
      <c r="B951" s="4">
        <f>IFERROR(__xludf.DUMMYFUNCTION("IFERROR(VALUE(REGEXEXTRACT(A951, ""angle:(\d+)"")), -1)"),-1.0)</f>
        <v>-1</v>
      </c>
      <c r="C951" s="5" t="str">
        <f t="shared" si="1"/>
        <v>-001</v>
      </c>
      <c r="D951" s="5" t="str">
        <f>IFERROR(__xludf.DUMMYFUNCTION("IFERROR(REGEXEXTRACT(A951, ""x:([-+]?[0-9]*\.?[0-9]+)""), """")"),"")</f>
        <v/>
      </c>
      <c r="E951" s="5" t="str">
        <f>IFERROR(__xludf.DUMMYFUNCTION("IFERROR(REGEXEXTRACT(A951, ""y:([-+]?[0-9]*\.?[0-9]+)""), """")"),"")</f>
        <v/>
      </c>
    </row>
    <row r="952">
      <c r="A952" s="13"/>
      <c r="B952" s="4">
        <f>IFERROR(__xludf.DUMMYFUNCTION("IFERROR(VALUE(REGEXEXTRACT(A952, ""angle:(\d+)"")), -1)"),-1.0)</f>
        <v>-1</v>
      </c>
      <c r="C952" s="5" t="str">
        <f t="shared" si="1"/>
        <v>-001</v>
      </c>
      <c r="D952" s="5" t="str">
        <f>IFERROR(__xludf.DUMMYFUNCTION("IFERROR(REGEXEXTRACT(A952, ""x:([-+]?[0-9]*\.?[0-9]+)""), """")"),"")</f>
        <v/>
      </c>
      <c r="E952" s="5" t="str">
        <f>IFERROR(__xludf.DUMMYFUNCTION("IFERROR(REGEXEXTRACT(A952, ""y:([-+]?[0-9]*\.?[0-9]+)""), """")"),"")</f>
        <v/>
      </c>
    </row>
    <row r="953">
      <c r="A953" s="13"/>
      <c r="B953" s="4">
        <f>IFERROR(__xludf.DUMMYFUNCTION("IFERROR(VALUE(REGEXEXTRACT(A953, ""angle:(\d+)"")), -1)"),-1.0)</f>
        <v>-1</v>
      </c>
      <c r="C953" s="5" t="str">
        <f t="shared" si="1"/>
        <v>-001</v>
      </c>
      <c r="D953" s="5" t="str">
        <f>IFERROR(__xludf.DUMMYFUNCTION("IFERROR(REGEXEXTRACT(A953, ""x:([-+]?[0-9]*\.?[0-9]+)""), """")"),"")</f>
        <v/>
      </c>
      <c r="E953" s="5" t="str">
        <f>IFERROR(__xludf.DUMMYFUNCTION("IFERROR(REGEXEXTRACT(A953, ""y:([-+]?[0-9]*\.?[0-9]+)""), """")"),"")</f>
        <v/>
      </c>
    </row>
    <row r="954">
      <c r="A954" s="13"/>
      <c r="B954" s="4">
        <f>IFERROR(__xludf.DUMMYFUNCTION("IFERROR(VALUE(REGEXEXTRACT(A954, ""angle:(\d+)"")), -1)"),-1.0)</f>
        <v>-1</v>
      </c>
      <c r="C954" s="5" t="str">
        <f t="shared" si="1"/>
        <v>-001</v>
      </c>
      <c r="D954" s="5" t="str">
        <f>IFERROR(__xludf.DUMMYFUNCTION("IFERROR(REGEXEXTRACT(A954, ""x:([-+]?[0-9]*\.?[0-9]+)""), """")"),"")</f>
        <v/>
      </c>
      <c r="E954" s="5" t="str">
        <f>IFERROR(__xludf.DUMMYFUNCTION("IFERROR(REGEXEXTRACT(A954, ""y:([-+]?[0-9]*\.?[0-9]+)""), """")"),"")</f>
        <v/>
      </c>
    </row>
    <row r="955">
      <c r="A955" s="13"/>
      <c r="B955" s="4">
        <f>IFERROR(__xludf.DUMMYFUNCTION("IFERROR(VALUE(REGEXEXTRACT(A955, ""angle:(\d+)"")), -1)"),-1.0)</f>
        <v>-1</v>
      </c>
      <c r="C955" s="5" t="str">
        <f t="shared" si="1"/>
        <v>-001</v>
      </c>
      <c r="D955" s="5" t="str">
        <f>IFERROR(__xludf.DUMMYFUNCTION("IFERROR(REGEXEXTRACT(A955, ""x:([-+]?[0-9]*\.?[0-9]+)""), """")"),"")</f>
        <v/>
      </c>
      <c r="E955" s="5" t="str">
        <f>IFERROR(__xludf.DUMMYFUNCTION("IFERROR(REGEXEXTRACT(A955, ""y:([-+]?[0-9]*\.?[0-9]+)""), """")"),"")</f>
        <v/>
      </c>
    </row>
    <row r="956">
      <c r="A956" s="13"/>
      <c r="B956" s="4">
        <f>IFERROR(__xludf.DUMMYFUNCTION("IFERROR(VALUE(REGEXEXTRACT(A956, ""angle:(\d+)"")), -1)"),-1.0)</f>
        <v>-1</v>
      </c>
      <c r="C956" s="5" t="str">
        <f t="shared" si="1"/>
        <v>-001</v>
      </c>
      <c r="D956" s="5" t="str">
        <f>IFERROR(__xludf.DUMMYFUNCTION("IFERROR(REGEXEXTRACT(A956, ""x:([-+]?[0-9]*\.?[0-9]+)""), """")"),"")</f>
        <v/>
      </c>
      <c r="E956" s="5" t="str">
        <f>IFERROR(__xludf.DUMMYFUNCTION("IFERROR(REGEXEXTRACT(A956, ""y:([-+]?[0-9]*\.?[0-9]+)""), """")"),"")</f>
        <v/>
      </c>
    </row>
    <row r="957">
      <c r="A957" s="13"/>
      <c r="B957" s="4">
        <f>IFERROR(__xludf.DUMMYFUNCTION("IFERROR(VALUE(REGEXEXTRACT(A957, ""angle:(\d+)"")), -1)"),-1.0)</f>
        <v>-1</v>
      </c>
      <c r="C957" s="5" t="str">
        <f t="shared" si="1"/>
        <v>-001</v>
      </c>
      <c r="D957" s="5" t="str">
        <f>IFERROR(__xludf.DUMMYFUNCTION("IFERROR(REGEXEXTRACT(A957, ""x:([-+]?[0-9]*\.?[0-9]+)""), """")"),"")</f>
        <v/>
      </c>
      <c r="E957" s="5" t="str">
        <f>IFERROR(__xludf.DUMMYFUNCTION("IFERROR(REGEXEXTRACT(A957, ""y:([-+]?[0-9]*\.?[0-9]+)""), """")"),"")</f>
        <v/>
      </c>
    </row>
    <row r="958">
      <c r="A958" s="13"/>
      <c r="B958" s="4">
        <f>IFERROR(__xludf.DUMMYFUNCTION("IFERROR(VALUE(REGEXEXTRACT(A958, ""angle:(\d+)"")), -1)"),-1.0)</f>
        <v>-1</v>
      </c>
      <c r="C958" s="5" t="str">
        <f t="shared" si="1"/>
        <v>-001</v>
      </c>
      <c r="D958" s="5" t="str">
        <f>IFERROR(__xludf.DUMMYFUNCTION("IFERROR(REGEXEXTRACT(A958, ""x:([-+]?[0-9]*\.?[0-9]+)""), """")"),"")</f>
        <v/>
      </c>
      <c r="E958" s="5" t="str">
        <f>IFERROR(__xludf.DUMMYFUNCTION("IFERROR(REGEXEXTRACT(A958, ""y:([-+]?[0-9]*\.?[0-9]+)""), """")"),"")</f>
        <v/>
      </c>
    </row>
    <row r="959">
      <c r="A959" s="13"/>
      <c r="B959" s="4">
        <f>IFERROR(__xludf.DUMMYFUNCTION("IFERROR(VALUE(REGEXEXTRACT(A959, ""angle:(\d+)"")), -1)"),-1.0)</f>
        <v>-1</v>
      </c>
      <c r="C959" s="5" t="str">
        <f t="shared" si="1"/>
        <v>-001</v>
      </c>
      <c r="D959" s="5" t="str">
        <f>IFERROR(__xludf.DUMMYFUNCTION("IFERROR(REGEXEXTRACT(A959, ""x:([-+]?[0-9]*\.?[0-9]+)""), """")"),"")</f>
        <v/>
      </c>
      <c r="E959" s="5" t="str">
        <f>IFERROR(__xludf.DUMMYFUNCTION("IFERROR(REGEXEXTRACT(A959, ""y:([-+]?[0-9]*\.?[0-9]+)""), """")"),"")</f>
        <v/>
      </c>
    </row>
    <row r="960">
      <c r="A960" s="13"/>
      <c r="B960" s="4">
        <f>IFERROR(__xludf.DUMMYFUNCTION("IFERROR(VALUE(REGEXEXTRACT(A960, ""angle:(\d+)"")), -1)"),-1.0)</f>
        <v>-1</v>
      </c>
      <c r="C960" s="5" t="str">
        <f t="shared" si="1"/>
        <v>-001</v>
      </c>
      <c r="D960" s="5" t="str">
        <f>IFERROR(__xludf.DUMMYFUNCTION("IFERROR(REGEXEXTRACT(A960, ""x:([-+]?[0-9]*\.?[0-9]+)""), """")"),"")</f>
        <v/>
      </c>
      <c r="E960" s="5" t="str">
        <f>IFERROR(__xludf.DUMMYFUNCTION("IFERROR(REGEXEXTRACT(A960, ""y:([-+]?[0-9]*\.?[0-9]+)""), """")"),"")</f>
        <v/>
      </c>
    </row>
    <row r="961">
      <c r="A961" s="13"/>
      <c r="B961" s="4">
        <f>IFERROR(__xludf.DUMMYFUNCTION("IFERROR(VALUE(REGEXEXTRACT(A961, ""angle:(\d+)"")), -1)"),-1.0)</f>
        <v>-1</v>
      </c>
      <c r="C961" s="5" t="str">
        <f t="shared" si="1"/>
        <v>-001</v>
      </c>
      <c r="D961" s="5" t="str">
        <f>IFERROR(__xludf.DUMMYFUNCTION("IFERROR(REGEXEXTRACT(A961, ""x:([-+]?[0-9]*\.?[0-9]+)""), """")"),"")</f>
        <v/>
      </c>
      <c r="E961" s="5" t="str">
        <f>IFERROR(__xludf.DUMMYFUNCTION("IFERROR(REGEXEXTRACT(A961, ""y:([-+]?[0-9]*\.?[0-9]+)""), """")"),"")</f>
        <v/>
      </c>
    </row>
    <row r="962">
      <c r="A962" s="13"/>
      <c r="B962" s="4">
        <f>IFERROR(__xludf.DUMMYFUNCTION("IFERROR(VALUE(REGEXEXTRACT(A962, ""angle:(\d+)"")), -1)"),-1.0)</f>
        <v>-1</v>
      </c>
      <c r="C962" s="5" t="str">
        <f t="shared" si="1"/>
        <v>-001</v>
      </c>
      <c r="D962" s="5" t="str">
        <f>IFERROR(__xludf.DUMMYFUNCTION("IFERROR(REGEXEXTRACT(A962, ""x:([-+]?[0-9]*\.?[0-9]+)""), """")"),"")</f>
        <v/>
      </c>
      <c r="E962" s="5" t="str">
        <f>IFERROR(__xludf.DUMMYFUNCTION("IFERROR(REGEXEXTRACT(A962, ""y:([-+]?[0-9]*\.?[0-9]+)""), """")"),"")</f>
        <v/>
      </c>
    </row>
    <row r="963">
      <c r="A963" s="13"/>
      <c r="B963" s="4">
        <f>IFERROR(__xludf.DUMMYFUNCTION("IFERROR(VALUE(REGEXEXTRACT(A963, ""angle:(\d+)"")), -1)"),-1.0)</f>
        <v>-1</v>
      </c>
      <c r="C963" s="5" t="str">
        <f t="shared" si="1"/>
        <v>-001</v>
      </c>
      <c r="D963" s="5" t="str">
        <f>IFERROR(__xludf.DUMMYFUNCTION("IFERROR(REGEXEXTRACT(A963, ""x:([-+]?[0-9]*\.?[0-9]+)""), """")"),"")</f>
        <v/>
      </c>
      <c r="E963" s="5" t="str">
        <f>IFERROR(__xludf.DUMMYFUNCTION("IFERROR(REGEXEXTRACT(A963, ""y:([-+]?[0-9]*\.?[0-9]+)""), """")"),"")</f>
        <v/>
      </c>
    </row>
    <row r="964">
      <c r="A964" s="13"/>
      <c r="B964" s="4">
        <f>IFERROR(__xludf.DUMMYFUNCTION("IFERROR(VALUE(REGEXEXTRACT(A964, ""angle:(\d+)"")), -1)"),-1.0)</f>
        <v>-1</v>
      </c>
      <c r="C964" s="5" t="str">
        <f t="shared" si="1"/>
        <v>-001</v>
      </c>
      <c r="D964" s="5" t="str">
        <f>IFERROR(__xludf.DUMMYFUNCTION("IFERROR(REGEXEXTRACT(A964, ""x:([-+]?[0-9]*\.?[0-9]+)""), """")"),"")</f>
        <v/>
      </c>
      <c r="E964" s="5" t="str">
        <f>IFERROR(__xludf.DUMMYFUNCTION("IFERROR(REGEXEXTRACT(A964, ""y:([-+]?[0-9]*\.?[0-9]+)""), """")"),"")</f>
        <v/>
      </c>
    </row>
    <row r="965">
      <c r="A965" s="13"/>
      <c r="B965" s="4">
        <f>IFERROR(__xludf.DUMMYFUNCTION("IFERROR(VALUE(REGEXEXTRACT(A965, ""angle:(\d+)"")), -1)"),-1.0)</f>
        <v>-1</v>
      </c>
      <c r="C965" s="5" t="str">
        <f t="shared" si="1"/>
        <v>-001</v>
      </c>
      <c r="D965" s="5" t="str">
        <f>IFERROR(__xludf.DUMMYFUNCTION("IFERROR(REGEXEXTRACT(A965, ""x:([-+]?[0-9]*\.?[0-9]+)""), """")"),"")</f>
        <v/>
      </c>
      <c r="E965" s="5" t="str">
        <f>IFERROR(__xludf.DUMMYFUNCTION("IFERROR(REGEXEXTRACT(A965, ""y:([-+]?[0-9]*\.?[0-9]+)""), """")"),"")</f>
        <v/>
      </c>
    </row>
    <row r="966">
      <c r="A966" s="13"/>
      <c r="B966" s="4">
        <f>IFERROR(__xludf.DUMMYFUNCTION("IFERROR(VALUE(REGEXEXTRACT(A966, ""angle:(\d+)"")), -1)"),-1.0)</f>
        <v>-1</v>
      </c>
      <c r="C966" s="5" t="str">
        <f t="shared" si="1"/>
        <v>-001</v>
      </c>
      <c r="D966" s="5" t="str">
        <f>IFERROR(__xludf.DUMMYFUNCTION("IFERROR(REGEXEXTRACT(A966, ""x:([-+]?[0-9]*\.?[0-9]+)""), """")"),"")</f>
        <v/>
      </c>
      <c r="E966" s="5" t="str">
        <f>IFERROR(__xludf.DUMMYFUNCTION("IFERROR(REGEXEXTRACT(A966, ""y:([-+]?[0-9]*\.?[0-9]+)""), """")"),"")</f>
        <v/>
      </c>
    </row>
    <row r="967">
      <c r="A967" s="13"/>
      <c r="B967" s="4">
        <f>IFERROR(__xludf.DUMMYFUNCTION("IFERROR(VALUE(REGEXEXTRACT(A967, ""angle:(\d+)"")), -1)"),-1.0)</f>
        <v>-1</v>
      </c>
      <c r="C967" s="5" t="str">
        <f t="shared" si="1"/>
        <v>-001</v>
      </c>
      <c r="D967" s="5" t="str">
        <f>IFERROR(__xludf.DUMMYFUNCTION("IFERROR(REGEXEXTRACT(A967, ""x:([-+]?[0-9]*\.?[0-9]+)""), """")"),"")</f>
        <v/>
      </c>
      <c r="E967" s="5" t="str">
        <f>IFERROR(__xludf.DUMMYFUNCTION("IFERROR(REGEXEXTRACT(A967, ""y:([-+]?[0-9]*\.?[0-9]+)""), """")"),"")</f>
        <v/>
      </c>
    </row>
    <row r="968">
      <c r="A968" s="13"/>
      <c r="B968" s="4">
        <f>IFERROR(__xludf.DUMMYFUNCTION("IFERROR(VALUE(REGEXEXTRACT(A968, ""angle:(\d+)"")), -1)"),-1.0)</f>
        <v>-1</v>
      </c>
      <c r="C968" s="5" t="str">
        <f t="shared" si="1"/>
        <v>-001</v>
      </c>
      <c r="D968" s="5" t="str">
        <f>IFERROR(__xludf.DUMMYFUNCTION("IFERROR(REGEXEXTRACT(A968, ""x:([-+]?[0-9]*\.?[0-9]+)""), """")"),"")</f>
        <v/>
      </c>
      <c r="E968" s="5" t="str">
        <f>IFERROR(__xludf.DUMMYFUNCTION("IFERROR(REGEXEXTRACT(A968, ""y:([-+]?[0-9]*\.?[0-9]+)""), """")"),"")</f>
        <v/>
      </c>
    </row>
    <row r="969">
      <c r="A969" s="13"/>
      <c r="B969" s="4">
        <f>IFERROR(__xludf.DUMMYFUNCTION("IFERROR(VALUE(REGEXEXTRACT(A969, ""angle:(\d+)"")), -1)"),-1.0)</f>
        <v>-1</v>
      </c>
      <c r="C969" s="5" t="str">
        <f t="shared" si="1"/>
        <v>-001</v>
      </c>
      <c r="D969" s="5" t="str">
        <f>IFERROR(__xludf.DUMMYFUNCTION("IFERROR(REGEXEXTRACT(A969, ""x:([-+]?[0-9]*\.?[0-9]+)""), """")"),"")</f>
        <v/>
      </c>
      <c r="E969" s="5" t="str">
        <f>IFERROR(__xludf.DUMMYFUNCTION("IFERROR(REGEXEXTRACT(A969, ""y:([-+]?[0-9]*\.?[0-9]+)""), """")"),"")</f>
        <v/>
      </c>
    </row>
    <row r="970">
      <c r="A970" s="13"/>
      <c r="B970" s="4">
        <f>IFERROR(__xludf.DUMMYFUNCTION("IFERROR(VALUE(REGEXEXTRACT(A970, ""angle:(\d+)"")), -1)"),-1.0)</f>
        <v>-1</v>
      </c>
      <c r="C970" s="5" t="str">
        <f t="shared" si="1"/>
        <v>-001</v>
      </c>
      <c r="D970" s="5" t="str">
        <f>IFERROR(__xludf.DUMMYFUNCTION("IFERROR(REGEXEXTRACT(A970, ""x:([-+]?[0-9]*\.?[0-9]+)""), """")"),"")</f>
        <v/>
      </c>
      <c r="E970" s="5" t="str">
        <f>IFERROR(__xludf.DUMMYFUNCTION("IFERROR(REGEXEXTRACT(A970, ""y:([-+]?[0-9]*\.?[0-9]+)""), """")"),"")</f>
        <v/>
      </c>
    </row>
    <row r="971">
      <c r="A971" s="13"/>
      <c r="B971" s="4">
        <f>IFERROR(__xludf.DUMMYFUNCTION("IFERROR(VALUE(REGEXEXTRACT(A971, ""angle:(\d+)"")), -1)"),-1.0)</f>
        <v>-1</v>
      </c>
      <c r="C971" s="5" t="str">
        <f t="shared" si="1"/>
        <v>-001</v>
      </c>
      <c r="D971" s="5" t="str">
        <f>IFERROR(__xludf.DUMMYFUNCTION("IFERROR(REGEXEXTRACT(A971, ""x:([-+]?[0-9]*\.?[0-9]+)""), """")"),"")</f>
        <v/>
      </c>
      <c r="E971" s="5" t="str">
        <f>IFERROR(__xludf.DUMMYFUNCTION("IFERROR(REGEXEXTRACT(A971, ""y:([-+]?[0-9]*\.?[0-9]+)""), """")"),"")</f>
        <v/>
      </c>
    </row>
    <row r="972">
      <c r="A972" s="13"/>
      <c r="B972" s="4">
        <f>IFERROR(__xludf.DUMMYFUNCTION("IFERROR(VALUE(REGEXEXTRACT(A972, ""angle:(\d+)"")), -1)"),-1.0)</f>
        <v>-1</v>
      </c>
      <c r="C972" s="5" t="str">
        <f t="shared" si="1"/>
        <v>-001</v>
      </c>
      <c r="D972" s="5" t="str">
        <f>IFERROR(__xludf.DUMMYFUNCTION("IFERROR(REGEXEXTRACT(A972, ""x:([-+]?[0-9]*\.?[0-9]+)""), """")"),"")</f>
        <v/>
      </c>
      <c r="E972" s="5" t="str">
        <f>IFERROR(__xludf.DUMMYFUNCTION("IFERROR(REGEXEXTRACT(A972, ""y:([-+]?[0-9]*\.?[0-9]+)""), """")"),"")</f>
        <v/>
      </c>
    </row>
    <row r="973">
      <c r="A973" s="13"/>
      <c r="B973" s="4">
        <f>IFERROR(__xludf.DUMMYFUNCTION("IFERROR(VALUE(REGEXEXTRACT(A973, ""angle:(\d+)"")), -1)"),-1.0)</f>
        <v>-1</v>
      </c>
      <c r="C973" s="5" t="str">
        <f t="shared" si="1"/>
        <v>-001</v>
      </c>
      <c r="D973" s="5" t="str">
        <f>IFERROR(__xludf.DUMMYFUNCTION("IFERROR(REGEXEXTRACT(A973, ""x:([-+]?[0-9]*\.?[0-9]+)""), """")"),"")</f>
        <v/>
      </c>
      <c r="E973" s="5" t="str">
        <f>IFERROR(__xludf.DUMMYFUNCTION("IFERROR(REGEXEXTRACT(A973, ""y:([-+]?[0-9]*\.?[0-9]+)""), """")"),"")</f>
        <v/>
      </c>
    </row>
    <row r="974">
      <c r="A974" s="13"/>
      <c r="B974" s="4">
        <f>IFERROR(__xludf.DUMMYFUNCTION("IFERROR(VALUE(REGEXEXTRACT(A974, ""angle:(\d+)"")), -1)"),-1.0)</f>
        <v>-1</v>
      </c>
      <c r="C974" s="5" t="str">
        <f t="shared" si="1"/>
        <v>-001</v>
      </c>
      <c r="D974" s="5" t="str">
        <f>IFERROR(__xludf.DUMMYFUNCTION("IFERROR(REGEXEXTRACT(A974, ""x:([-+]?[0-9]*\.?[0-9]+)""), """")"),"")</f>
        <v/>
      </c>
      <c r="E974" s="5" t="str">
        <f>IFERROR(__xludf.DUMMYFUNCTION("IFERROR(REGEXEXTRACT(A974, ""y:([-+]?[0-9]*\.?[0-9]+)""), """")"),"")</f>
        <v/>
      </c>
    </row>
    <row r="975">
      <c r="A975" s="13"/>
      <c r="B975" s="4">
        <f>IFERROR(__xludf.DUMMYFUNCTION("IFERROR(VALUE(REGEXEXTRACT(A975, ""angle:(\d+)"")), -1)"),-1.0)</f>
        <v>-1</v>
      </c>
      <c r="C975" s="5" t="str">
        <f t="shared" si="1"/>
        <v>-001</v>
      </c>
      <c r="D975" s="5" t="str">
        <f>IFERROR(__xludf.DUMMYFUNCTION("IFERROR(REGEXEXTRACT(A975, ""x:([-+]?[0-9]*\.?[0-9]+)""), """")"),"")</f>
        <v/>
      </c>
      <c r="E975" s="5" t="str">
        <f>IFERROR(__xludf.DUMMYFUNCTION("IFERROR(REGEXEXTRACT(A975, ""y:([-+]?[0-9]*\.?[0-9]+)""), """")"),"")</f>
        <v/>
      </c>
    </row>
    <row r="976">
      <c r="A976" s="13"/>
      <c r="B976" s="4">
        <f>IFERROR(__xludf.DUMMYFUNCTION("IFERROR(VALUE(REGEXEXTRACT(A976, ""angle:(\d+)"")), -1)"),-1.0)</f>
        <v>-1</v>
      </c>
      <c r="C976" s="5" t="str">
        <f t="shared" si="1"/>
        <v>-001</v>
      </c>
      <c r="D976" s="5" t="str">
        <f>IFERROR(__xludf.DUMMYFUNCTION("IFERROR(REGEXEXTRACT(A976, ""x:([-+]?[0-9]*\.?[0-9]+)""), """")"),"")</f>
        <v/>
      </c>
      <c r="E976" s="5" t="str">
        <f>IFERROR(__xludf.DUMMYFUNCTION("IFERROR(REGEXEXTRACT(A976, ""y:([-+]?[0-9]*\.?[0-9]+)""), """")"),"")</f>
        <v/>
      </c>
    </row>
    <row r="977">
      <c r="A977" s="13"/>
      <c r="B977" s="4">
        <f>IFERROR(__xludf.DUMMYFUNCTION("IFERROR(VALUE(REGEXEXTRACT(A977, ""angle:(\d+)"")), -1)"),-1.0)</f>
        <v>-1</v>
      </c>
      <c r="C977" s="5" t="str">
        <f t="shared" si="1"/>
        <v>-001</v>
      </c>
      <c r="D977" s="5" t="str">
        <f>IFERROR(__xludf.DUMMYFUNCTION("IFERROR(REGEXEXTRACT(A977, ""x:([-+]?[0-9]*\.?[0-9]+)""), """")"),"")</f>
        <v/>
      </c>
      <c r="E977" s="5" t="str">
        <f>IFERROR(__xludf.DUMMYFUNCTION("IFERROR(REGEXEXTRACT(A977, ""y:([-+]?[0-9]*\.?[0-9]+)""), """")"),"")</f>
        <v/>
      </c>
    </row>
    <row r="978">
      <c r="A978" s="13"/>
      <c r="B978" s="4">
        <f>IFERROR(__xludf.DUMMYFUNCTION("IFERROR(VALUE(REGEXEXTRACT(A978, ""angle:(\d+)"")), -1)"),-1.0)</f>
        <v>-1</v>
      </c>
      <c r="C978" s="5" t="str">
        <f t="shared" si="1"/>
        <v>-001</v>
      </c>
      <c r="D978" s="5" t="str">
        <f>IFERROR(__xludf.DUMMYFUNCTION("IFERROR(REGEXEXTRACT(A978, ""x:([-+]?[0-9]*\.?[0-9]+)""), """")"),"")</f>
        <v/>
      </c>
      <c r="E978" s="5" t="str">
        <f>IFERROR(__xludf.DUMMYFUNCTION("IFERROR(REGEXEXTRACT(A978, ""y:([-+]?[0-9]*\.?[0-9]+)""), """")"),"")</f>
        <v/>
      </c>
    </row>
    <row r="979">
      <c r="A979" s="13"/>
      <c r="B979" s="4">
        <f>IFERROR(__xludf.DUMMYFUNCTION("IFERROR(VALUE(REGEXEXTRACT(A979, ""angle:(\d+)"")), -1)"),-1.0)</f>
        <v>-1</v>
      </c>
      <c r="C979" s="5" t="str">
        <f t="shared" si="1"/>
        <v>-001</v>
      </c>
      <c r="D979" s="5" t="str">
        <f>IFERROR(__xludf.DUMMYFUNCTION("IFERROR(REGEXEXTRACT(A979, ""x:([-+]?[0-9]*\.?[0-9]+)""), """")"),"")</f>
        <v/>
      </c>
      <c r="E979" s="5" t="str">
        <f>IFERROR(__xludf.DUMMYFUNCTION("IFERROR(REGEXEXTRACT(A979, ""y:([-+]?[0-9]*\.?[0-9]+)""), """")"),"")</f>
        <v/>
      </c>
    </row>
    <row r="980">
      <c r="A980" s="13"/>
      <c r="B980" s="4">
        <f>IFERROR(__xludf.DUMMYFUNCTION("IFERROR(VALUE(REGEXEXTRACT(A980, ""angle:(\d+)"")), -1)"),-1.0)</f>
        <v>-1</v>
      </c>
      <c r="C980" s="5" t="str">
        <f t="shared" si="1"/>
        <v>-001</v>
      </c>
      <c r="D980" s="5" t="str">
        <f>IFERROR(__xludf.DUMMYFUNCTION("IFERROR(REGEXEXTRACT(A980, ""x:([-+]?[0-9]*\.?[0-9]+)""), """")"),"")</f>
        <v/>
      </c>
      <c r="E980" s="5" t="str">
        <f>IFERROR(__xludf.DUMMYFUNCTION("IFERROR(REGEXEXTRACT(A980, ""y:([-+]?[0-9]*\.?[0-9]+)""), """")"),"")</f>
        <v/>
      </c>
    </row>
    <row r="981">
      <c r="A981" s="13"/>
      <c r="B981" s="4">
        <f>IFERROR(__xludf.DUMMYFUNCTION("IFERROR(VALUE(REGEXEXTRACT(A981, ""angle:(\d+)"")), -1)"),-1.0)</f>
        <v>-1</v>
      </c>
      <c r="C981" s="5" t="str">
        <f t="shared" si="1"/>
        <v>-001</v>
      </c>
      <c r="D981" s="5" t="str">
        <f>IFERROR(__xludf.DUMMYFUNCTION("IFERROR(REGEXEXTRACT(A981, ""x:([-+]?[0-9]*\.?[0-9]+)""), """")"),"")</f>
        <v/>
      </c>
      <c r="E981" s="5" t="str">
        <f>IFERROR(__xludf.DUMMYFUNCTION("IFERROR(REGEXEXTRACT(A981, ""y:([-+]?[0-9]*\.?[0-9]+)""), """")"),"")</f>
        <v/>
      </c>
    </row>
    <row r="982">
      <c r="A982" s="13"/>
      <c r="B982" s="4">
        <f>IFERROR(__xludf.DUMMYFUNCTION("IFERROR(VALUE(REGEXEXTRACT(A982, ""angle:(\d+)"")), -1)"),-1.0)</f>
        <v>-1</v>
      </c>
      <c r="C982" s="5" t="str">
        <f t="shared" si="1"/>
        <v>-001</v>
      </c>
      <c r="D982" s="5" t="str">
        <f>IFERROR(__xludf.DUMMYFUNCTION("IFERROR(REGEXEXTRACT(A982, ""x:([-+]?[0-9]*\.?[0-9]+)""), """")"),"")</f>
        <v/>
      </c>
      <c r="E982" s="5" t="str">
        <f>IFERROR(__xludf.DUMMYFUNCTION("IFERROR(REGEXEXTRACT(A982, ""y:([-+]?[0-9]*\.?[0-9]+)""), """")"),"")</f>
        <v/>
      </c>
    </row>
    <row r="983">
      <c r="A983" s="13"/>
      <c r="B983" s="4">
        <f>IFERROR(__xludf.DUMMYFUNCTION("IFERROR(VALUE(REGEXEXTRACT(A983, ""angle:(\d+)"")), -1)"),-1.0)</f>
        <v>-1</v>
      </c>
      <c r="C983" s="5" t="str">
        <f t="shared" si="1"/>
        <v>-001</v>
      </c>
      <c r="D983" s="5" t="str">
        <f>IFERROR(__xludf.DUMMYFUNCTION("IFERROR(REGEXEXTRACT(A983, ""x:([-+]?[0-9]*\.?[0-9]+)""), """")"),"")</f>
        <v/>
      </c>
      <c r="E983" s="5" t="str">
        <f>IFERROR(__xludf.DUMMYFUNCTION("IFERROR(REGEXEXTRACT(A983, ""y:([-+]?[0-9]*\.?[0-9]+)""), """")"),"")</f>
        <v/>
      </c>
    </row>
    <row r="984">
      <c r="A984" s="13"/>
      <c r="B984" s="4">
        <f>IFERROR(__xludf.DUMMYFUNCTION("IFERROR(VALUE(REGEXEXTRACT(A984, ""angle:(\d+)"")), -1)"),-1.0)</f>
        <v>-1</v>
      </c>
      <c r="C984" s="5" t="str">
        <f t="shared" si="1"/>
        <v>-001</v>
      </c>
      <c r="D984" s="5" t="str">
        <f>IFERROR(__xludf.DUMMYFUNCTION("IFERROR(REGEXEXTRACT(A984, ""x:([-+]?[0-9]*\.?[0-9]+)""), """")"),"")</f>
        <v/>
      </c>
      <c r="E984" s="5" t="str">
        <f>IFERROR(__xludf.DUMMYFUNCTION("IFERROR(REGEXEXTRACT(A984, ""y:([-+]?[0-9]*\.?[0-9]+)""), """")"),"")</f>
        <v/>
      </c>
    </row>
    <row r="985">
      <c r="A985" s="13"/>
      <c r="B985" s="4">
        <f>IFERROR(__xludf.DUMMYFUNCTION("IFERROR(VALUE(REGEXEXTRACT(A985, ""angle:(\d+)"")), -1)"),-1.0)</f>
        <v>-1</v>
      </c>
      <c r="C985" s="5" t="str">
        <f t="shared" si="1"/>
        <v>-001</v>
      </c>
      <c r="D985" s="5" t="str">
        <f>IFERROR(__xludf.DUMMYFUNCTION("IFERROR(REGEXEXTRACT(A985, ""x:([-+]?[0-9]*\.?[0-9]+)""), """")"),"")</f>
        <v/>
      </c>
      <c r="E985" s="5" t="str">
        <f>IFERROR(__xludf.DUMMYFUNCTION("IFERROR(REGEXEXTRACT(A985, ""y:([-+]?[0-9]*\.?[0-9]+)""), """")"),"")</f>
        <v/>
      </c>
    </row>
    <row r="986">
      <c r="A986" s="13"/>
      <c r="B986" s="4">
        <f>IFERROR(__xludf.DUMMYFUNCTION("IFERROR(VALUE(REGEXEXTRACT(A986, ""angle:(\d+)"")), -1)"),-1.0)</f>
        <v>-1</v>
      </c>
      <c r="C986" s="5" t="str">
        <f t="shared" si="1"/>
        <v>-001</v>
      </c>
      <c r="D986" s="5" t="str">
        <f>IFERROR(__xludf.DUMMYFUNCTION("IFERROR(REGEXEXTRACT(A986, ""x:([-+]?[0-9]*\.?[0-9]+)""), """")"),"")</f>
        <v/>
      </c>
      <c r="E986" s="5" t="str">
        <f>IFERROR(__xludf.DUMMYFUNCTION("IFERROR(REGEXEXTRACT(A986, ""y:([-+]?[0-9]*\.?[0-9]+)""), """")"),"")</f>
        <v/>
      </c>
    </row>
    <row r="987">
      <c r="A987" s="13"/>
      <c r="B987" s="4">
        <f>IFERROR(__xludf.DUMMYFUNCTION("IFERROR(VALUE(REGEXEXTRACT(A987, ""angle:(\d+)"")), -1)"),-1.0)</f>
        <v>-1</v>
      </c>
      <c r="C987" s="5" t="str">
        <f t="shared" si="1"/>
        <v>-001</v>
      </c>
      <c r="D987" s="5" t="str">
        <f>IFERROR(__xludf.DUMMYFUNCTION("IFERROR(REGEXEXTRACT(A987, ""x:([-+]?[0-9]*\.?[0-9]+)""), """")"),"")</f>
        <v/>
      </c>
      <c r="E987" s="5" t="str">
        <f>IFERROR(__xludf.DUMMYFUNCTION("IFERROR(REGEXEXTRACT(A987, ""y:([-+]?[0-9]*\.?[0-9]+)""), """")"),"")</f>
        <v/>
      </c>
    </row>
    <row r="988">
      <c r="A988" s="13"/>
      <c r="B988" s="4">
        <f>IFERROR(__xludf.DUMMYFUNCTION("IFERROR(VALUE(REGEXEXTRACT(A988, ""angle:(\d+)"")), -1)"),-1.0)</f>
        <v>-1</v>
      </c>
      <c r="C988" s="5" t="str">
        <f t="shared" si="1"/>
        <v>-001</v>
      </c>
      <c r="D988" s="5" t="str">
        <f>IFERROR(__xludf.DUMMYFUNCTION("IFERROR(REGEXEXTRACT(A988, ""x:([-+]?[0-9]*\.?[0-9]+)""), """")"),"")</f>
        <v/>
      </c>
      <c r="E988" s="5" t="str">
        <f>IFERROR(__xludf.DUMMYFUNCTION("IFERROR(REGEXEXTRACT(A988, ""y:([-+]?[0-9]*\.?[0-9]+)""), """")"),"")</f>
        <v/>
      </c>
    </row>
    <row r="989">
      <c r="A989" s="13"/>
      <c r="B989" s="4">
        <f>IFERROR(__xludf.DUMMYFUNCTION("IFERROR(VALUE(REGEXEXTRACT(A989, ""angle:(\d+)"")), -1)"),-1.0)</f>
        <v>-1</v>
      </c>
      <c r="C989" s="5" t="str">
        <f t="shared" si="1"/>
        <v>-001</v>
      </c>
      <c r="D989" s="5" t="str">
        <f>IFERROR(__xludf.DUMMYFUNCTION("IFERROR(REGEXEXTRACT(A989, ""x:([-+]?[0-9]*\.?[0-9]+)""), """")"),"")</f>
        <v/>
      </c>
      <c r="E989" s="5" t="str">
        <f>IFERROR(__xludf.DUMMYFUNCTION("IFERROR(REGEXEXTRACT(A989, ""y:([-+]?[0-9]*\.?[0-9]+)""), """")"),"")</f>
        <v/>
      </c>
    </row>
    <row r="990">
      <c r="A990" s="13"/>
      <c r="B990" s="4">
        <f>IFERROR(__xludf.DUMMYFUNCTION("IFERROR(VALUE(REGEXEXTRACT(A990, ""angle:(\d+)"")), -1)"),-1.0)</f>
        <v>-1</v>
      </c>
      <c r="C990" s="5" t="str">
        <f t="shared" si="1"/>
        <v>-001</v>
      </c>
      <c r="D990" s="5" t="str">
        <f>IFERROR(__xludf.DUMMYFUNCTION("IFERROR(REGEXEXTRACT(A990, ""x:([-+]?[0-9]*\.?[0-9]+)""), """")"),"")</f>
        <v/>
      </c>
      <c r="E990" s="5" t="str">
        <f>IFERROR(__xludf.DUMMYFUNCTION("IFERROR(REGEXEXTRACT(A990, ""y:([-+]?[0-9]*\.?[0-9]+)""), """")"),"")</f>
        <v/>
      </c>
    </row>
    <row r="991">
      <c r="A991" s="13"/>
      <c r="B991" s="4">
        <f>IFERROR(__xludf.DUMMYFUNCTION("IFERROR(VALUE(REGEXEXTRACT(A991, ""angle:(\d+)"")), -1)"),-1.0)</f>
        <v>-1</v>
      </c>
      <c r="C991" s="5" t="str">
        <f t="shared" si="1"/>
        <v>-001</v>
      </c>
      <c r="D991" s="5" t="str">
        <f>IFERROR(__xludf.DUMMYFUNCTION("IFERROR(REGEXEXTRACT(A991, ""x:([-+]?[0-9]*\.?[0-9]+)""), """")"),"")</f>
        <v/>
      </c>
      <c r="E991" s="5" t="str">
        <f>IFERROR(__xludf.DUMMYFUNCTION("IFERROR(REGEXEXTRACT(A991, ""y:([-+]?[0-9]*\.?[0-9]+)""), """")"),"")</f>
        <v/>
      </c>
    </row>
    <row r="992">
      <c r="A992" s="13"/>
      <c r="B992" s="4">
        <f>IFERROR(__xludf.DUMMYFUNCTION("IFERROR(VALUE(REGEXEXTRACT(A992, ""angle:(\d+)"")), -1)"),-1.0)</f>
        <v>-1</v>
      </c>
      <c r="C992" s="5" t="str">
        <f t="shared" si="1"/>
        <v>-001</v>
      </c>
      <c r="D992" s="5" t="str">
        <f>IFERROR(__xludf.DUMMYFUNCTION("IFERROR(REGEXEXTRACT(A992, ""x:([-+]?[0-9]*\.?[0-9]+)""), """")"),"")</f>
        <v/>
      </c>
      <c r="E992" s="5" t="str">
        <f>IFERROR(__xludf.DUMMYFUNCTION("IFERROR(REGEXEXTRACT(A992, ""y:([-+]?[0-9]*\.?[0-9]+)""), """")"),"")</f>
        <v/>
      </c>
    </row>
    <row r="993">
      <c r="A993" s="13"/>
      <c r="B993" s="4">
        <f>IFERROR(__xludf.DUMMYFUNCTION("IFERROR(VALUE(REGEXEXTRACT(A993, ""angle:(\d+)"")), -1)"),-1.0)</f>
        <v>-1</v>
      </c>
      <c r="C993" s="5" t="str">
        <f t="shared" si="1"/>
        <v>-001</v>
      </c>
      <c r="D993" s="5" t="str">
        <f>IFERROR(__xludf.DUMMYFUNCTION("IFERROR(REGEXEXTRACT(A993, ""x:([-+]?[0-9]*\.?[0-9]+)""), """")"),"")</f>
        <v/>
      </c>
      <c r="E993" s="5" t="str">
        <f>IFERROR(__xludf.DUMMYFUNCTION("IFERROR(REGEXEXTRACT(A993, ""y:([-+]?[0-9]*\.?[0-9]+)""), """")"),"")</f>
        <v/>
      </c>
    </row>
    <row r="994">
      <c r="A994" s="13"/>
      <c r="B994" s="4">
        <f>IFERROR(__xludf.DUMMYFUNCTION("IFERROR(VALUE(REGEXEXTRACT(A994, ""angle:(\d+)"")), -1)"),-1.0)</f>
        <v>-1</v>
      </c>
      <c r="C994" s="5" t="str">
        <f t="shared" si="1"/>
        <v>-001</v>
      </c>
      <c r="D994" s="5" t="str">
        <f>IFERROR(__xludf.DUMMYFUNCTION("IFERROR(REGEXEXTRACT(A994, ""x:([-+]?[0-9]*\.?[0-9]+)""), """")"),"")</f>
        <v/>
      </c>
      <c r="E994" s="5" t="str">
        <f>IFERROR(__xludf.DUMMYFUNCTION("IFERROR(REGEXEXTRACT(A994, ""y:([-+]?[0-9]*\.?[0-9]+)""), """")"),"")</f>
        <v/>
      </c>
    </row>
    <row r="995">
      <c r="A995" s="13"/>
      <c r="B995" s="4">
        <f>IFERROR(__xludf.DUMMYFUNCTION("IFERROR(VALUE(REGEXEXTRACT(A995, ""angle:(\d+)"")), -1)"),-1.0)</f>
        <v>-1</v>
      </c>
      <c r="C995" s="5" t="str">
        <f t="shared" si="1"/>
        <v>-001</v>
      </c>
      <c r="D995" s="5" t="str">
        <f>IFERROR(__xludf.DUMMYFUNCTION("IFERROR(REGEXEXTRACT(A995, ""x:([-+]?[0-9]*\.?[0-9]+)""), """")"),"")</f>
        <v/>
      </c>
      <c r="E995" s="5" t="str">
        <f>IFERROR(__xludf.DUMMYFUNCTION("IFERROR(REGEXEXTRACT(A995, ""y:([-+]?[0-9]*\.?[0-9]+)""), """")"),"")</f>
        <v/>
      </c>
    </row>
    <row r="996">
      <c r="A996" s="13"/>
      <c r="B996" s="4">
        <f>IFERROR(__xludf.DUMMYFUNCTION("IFERROR(VALUE(REGEXEXTRACT(A996, ""angle:(\d+)"")), -1)"),-1.0)</f>
        <v>-1</v>
      </c>
      <c r="C996" s="5" t="str">
        <f t="shared" si="1"/>
        <v>-001</v>
      </c>
      <c r="D996" s="5" t="str">
        <f>IFERROR(__xludf.DUMMYFUNCTION("IFERROR(REGEXEXTRACT(A996, ""x:([-+]?[0-9]*\.?[0-9]+)""), """")"),"")</f>
        <v/>
      </c>
      <c r="E996" s="5" t="str">
        <f>IFERROR(__xludf.DUMMYFUNCTION("IFERROR(REGEXEXTRACT(A996, ""y:([-+]?[0-9]*\.?[0-9]+)""), """")"),"")</f>
        <v/>
      </c>
    </row>
    <row r="997">
      <c r="A997" s="13"/>
      <c r="B997" s="4">
        <f>IFERROR(__xludf.DUMMYFUNCTION("IFERROR(VALUE(REGEXEXTRACT(A997, ""angle:(\d+)"")), -1)"),-1.0)</f>
        <v>-1</v>
      </c>
      <c r="C997" s="5" t="str">
        <f t="shared" si="1"/>
        <v>-001</v>
      </c>
      <c r="D997" s="5" t="str">
        <f>IFERROR(__xludf.DUMMYFUNCTION("IFERROR(REGEXEXTRACT(A997, ""x:([-+]?[0-9]*\.?[0-9]+)""), """")"),"")</f>
        <v/>
      </c>
      <c r="E997" s="5" t="str">
        <f>IFERROR(__xludf.DUMMYFUNCTION("IFERROR(REGEXEXTRACT(A997, ""y:([-+]?[0-9]*\.?[0-9]+)""), """")"),"")</f>
        <v/>
      </c>
    </row>
    <row r="998">
      <c r="A998" s="13"/>
      <c r="B998" s="4">
        <f>IFERROR(__xludf.DUMMYFUNCTION("IFERROR(VALUE(REGEXEXTRACT(A998, ""angle:(\d+)"")), -1)"),-1.0)</f>
        <v>-1</v>
      </c>
      <c r="C998" s="5" t="str">
        <f t="shared" si="1"/>
        <v>-001</v>
      </c>
      <c r="D998" s="5" t="str">
        <f>IFERROR(__xludf.DUMMYFUNCTION("IFERROR(REGEXEXTRACT(A998, ""x:([-+]?[0-9]*\.?[0-9]+)""), """")"),"")</f>
        <v/>
      </c>
      <c r="E998" s="5" t="str">
        <f>IFERROR(__xludf.DUMMYFUNCTION("IFERROR(REGEXEXTRACT(A998, ""y:([-+]?[0-9]*\.?[0-9]+)""), """")"),"")</f>
        <v/>
      </c>
    </row>
    <row r="999">
      <c r="A999" s="13"/>
      <c r="B999" s="4">
        <f>IFERROR(__xludf.DUMMYFUNCTION("IFERROR(VALUE(REGEXEXTRACT(A999, ""angle:(\d+)"")), -1)"),-1.0)</f>
        <v>-1</v>
      </c>
      <c r="C999" s="5" t="str">
        <f t="shared" si="1"/>
        <v>-001</v>
      </c>
      <c r="D999" s="5" t="str">
        <f>IFERROR(__xludf.DUMMYFUNCTION("IFERROR(REGEXEXTRACT(A999, ""x:([-+]?[0-9]*\.?[0-9]+)""), """")"),"")</f>
        <v/>
      </c>
      <c r="E999" s="5" t="str">
        <f>IFERROR(__xludf.DUMMYFUNCTION("IFERROR(REGEXEXTRACT(A999, ""y:([-+]?[0-9]*\.?[0-9]+)""), """")"),"")</f>
        <v/>
      </c>
    </row>
    <row r="1000">
      <c r="A1000" s="13"/>
      <c r="B1000" s="4">
        <f>IFERROR(__xludf.DUMMYFUNCTION("IFERROR(VALUE(REGEXEXTRACT(A1000, ""angle:(\d+)"")), -1)"),-1.0)</f>
        <v>-1</v>
      </c>
      <c r="C1000" s="5" t="str">
        <f t="shared" si="1"/>
        <v>-001</v>
      </c>
      <c r="D1000" s="5" t="str">
        <f>IFERROR(__xludf.DUMMYFUNCTION("IFERROR(REGEXEXTRACT(A1000, ""x:([-+]?[0-9]*\.?[0-9]+)""), """")"),"")</f>
        <v/>
      </c>
      <c r="E1000" s="5" t="str">
        <f>IFERROR(__xludf.DUMMYFUNCTION("IFERROR(REGEXEXTRACT(A1000, ""y:([-+]?[0-9]*\.?[0-9]+)""), """")"),"")</f>
        <v/>
      </c>
    </row>
  </sheetData>
  <hyperlinks>
    <hyperlink r:id="rId1" ref="F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3.75"/>
  </cols>
  <sheetData>
    <row r="1">
      <c r="A1" s="14" t="s">
        <v>1</v>
      </c>
      <c r="B1" s="14" t="s">
        <v>3</v>
      </c>
      <c r="C1" s="14" t="s">
        <v>4</v>
      </c>
      <c r="D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>
        <f>IFERROR(__xludf.DUMMYFUNCTION("SORT(UNIQUE(FILTER({'1) Raw Input'!B2:B1000, '1) Raw Input'!D2:D1000, '1) Raw Input'!E2:E1000}, ISNUMBER('1) Raw Input'!B2:B1000))), 1, TRUE)"),-1.0)</f>
        <v>-1</v>
      </c>
      <c r="B2" s="16" t="str">
        <f>IFERROR(__xludf.DUMMYFUNCTION("""COMPUTED_VALUE"""),"")</f>
        <v/>
      </c>
      <c r="C2" s="16" t="str">
        <f>IFERROR(__xludf.DUMMYFUNCTION("""COMPUTED_VALUE"""),"")</f>
        <v/>
      </c>
    </row>
    <row r="3">
      <c r="A3" s="17">
        <f>IFERROR(__xludf.DUMMYFUNCTION("""COMPUTED_VALUE"""),0.0)</f>
        <v>0</v>
      </c>
      <c r="B3" s="5" t="str">
        <f>IFERROR(__xludf.DUMMYFUNCTION("""COMPUTED_VALUE"""),"+0.39")</f>
        <v>+0.39</v>
      </c>
      <c r="C3" s="5" t="str">
        <f>IFERROR(__xludf.DUMMYFUNCTION("""COMPUTED_VALUE"""),"-100.00")</f>
        <v>-100.00</v>
      </c>
      <c r="D3" s="14"/>
    </row>
    <row r="4">
      <c r="A4" s="5">
        <f>IFERROR(__xludf.DUMMYFUNCTION("""COMPUTED_VALUE"""),1.0)</f>
        <v>1</v>
      </c>
      <c r="B4" s="5" t="str">
        <f>IFERROR(__xludf.DUMMYFUNCTION("""COMPUTED_VALUE"""),"+2.75")</f>
        <v>+2.75</v>
      </c>
      <c r="C4" s="5" t="str">
        <f>IFERROR(__xludf.DUMMYFUNCTION("""COMPUTED_VALUE"""),"-100.00")</f>
        <v>-100.00</v>
      </c>
      <c r="D4" s="14"/>
    </row>
    <row r="5">
      <c r="A5" s="5">
        <f>IFERROR(__xludf.DUMMYFUNCTION("""COMPUTED_VALUE"""),2.0)</f>
        <v>2</v>
      </c>
      <c r="B5" s="5" t="str">
        <f>IFERROR(__xludf.DUMMYFUNCTION("""COMPUTED_VALUE"""),"+5.10")</f>
        <v>+5.10</v>
      </c>
      <c r="C5" s="5" t="str">
        <f>IFERROR(__xludf.DUMMYFUNCTION("""COMPUTED_VALUE"""),"-100.00")</f>
        <v>-100.00</v>
      </c>
      <c r="D5" s="9" t="s">
        <v>18</v>
      </c>
    </row>
    <row r="6">
      <c r="A6" s="5">
        <f>IFERROR(__xludf.DUMMYFUNCTION("""COMPUTED_VALUE"""),3.0)</f>
        <v>3</v>
      </c>
      <c r="B6" s="5" t="str">
        <f>IFERROR(__xludf.DUMMYFUNCTION("""COMPUTED_VALUE"""),"+6.67")</f>
        <v>+6.67</v>
      </c>
      <c r="C6" s="5" t="str">
        <f>IFERROR(__xludf.DUMMYFUNCTION("""COMPUTED_VALUE"""),"-100.00")</f>
        <v>-100.00</v>
      </c>
      <c r="D6" s="10" t="s">
        <v>393</v>
      </c>
    </row>
    <row r="7">
      <c r="A7" s="5">
        <f>IFERROR(__xludf.DUMMYFUNCTION("""COMPUTED_VALUE"""),4.0)</f>
        <v>4</v>
      </c>
      <c r="B7" s="5" t="str">
        <f>IFERROR(__xludf.DUMMYFUNCTION("""COMPUTED_VALUE"""),"+8.24")</f>
        <v>+8.24</v>
      </c>
      <c r="C7" s="5" t="str">
        <f>IFERROR(__xludf.DUMMYFUNCTION("""COMPUTED_VALUE"""),"-100.00")</f>
        <v>-100.00</v>
      </c>
      <c r="D7" s="10" t="s">
        <v>394</v>
      </c>
    </row>
    <row r="8">
      <c r="A8" s="5">
        <f>IFERROR(__xludf.DUMMYFUNCTION("""COMPUTED_VALUE"""),5.0)</f>
        <v>5</v>
      </c>
      <c r="B8" s="5" t="str">
        <f>IFERROR(__xludf.DUMMYFUNCTION("""COMPUTED_VALUE"""),"+10.59")</f>
        <v>+10.59</v>
      </c>
      <c r="C8" s="5" t="str">
        <f>IFERROR(__xludf.DUMMYFUNCTION("""COMPUTED_VALUE"""),"-100.00")</f>
        <v>-100.00</v>
      </c>
      <c r="D8" s="10"/>
    </row>
    <row r="9">
      <c r="A9" s="5">
        <f>IFERROR(__xludf.DUMMYFUNCTION("""COMPUTED_VALUE"""),6.0)</f>
        <v>6</v>
      </c>
      <c r="B9" s="5" t="str">
        <f>IFERROR(__xludf.DUMMYFUNCTION("""COMPUTED_VALUE"""),"+12.16")</f>
        <v>+12.16</v>
      </c>
      <c r="C9" s="5" t="str">
        <f>IFERROR(__xludf.DUMMYFUNCTION("""COMPUTED_VALUE"""),"-100.00")</f>
        <v>-100.00</v>
      </c>
      <c r="D9" s="10"/>
    </row>
    <row r="10">
      <c r="A10" s="5">
        <f>IFERROR(__xludf.DUMMYFUNCTION("""COMPUTED_VALUE"""),7.0)</f>
        <v>7</v>
      </c>
      <c r="B10" s="5" t="str">
        <f>IFERROR(__xludf.DUMMYFUNCTION("""COMPUTED_VALUE"""),"+13.73")</f>
        <v>+13.73</v>
      </c>
      <c r="C10" s="5" t="str">
        <f>IFERROR(__xludf.DUMMYFUNCTION("""COMPUTED_VALUE"""),"-100.00")</f>
        <v>-100.00</v>
      </c>
      <c r="D10" s="10"/>
    </row>
    <row r="11">
      <c r="A11" s="5">
        <f>IFERROR(__xludf.DUMMYFUNCTION("""COMPUTED_VALUE"""),8.0)</f>
        <v>8</v>
      </c>
      <c r="B11" s="5" t="str">
        <f>IFERROR(__xludf.DUMMYFUNCTION("""COMPUTED_VALUE"""),"+15.29")</f>
        <v>+15.29</v>
      </c>
      <c r="C11" s="5" t="str">
        <f>IFERROR(__xludf.DUMMYFUNCTION("""COMPUTED_VALUE"""),"-100.00")</f>
        <v>-100.00</v>
      </c>
    </row>
    <row r="12">
      <c r="A12" s="5">
        <f>IFERROR(__xludf.DUMMYFUNCTION("""COMPUTED_VALUE"""),9.0)</f>
        <v>9</v>
      </c>
      <c r="B12" s="5" t="str">
        <f>IFERROR(__xludf.DUMMYFUNCTION("""COMPUTED_VALUE"""),"+17.65")</f>
        <v>+17.65</v>
      </c>
      <c r="C12" s="5" t="str">
        <f>IFERROR(__xludf.DUMMYFUNCTION("""COMPUTED_VALUE"""),"-100.00")</f>
        <v>-100.00</v>
      </c>
    </row>
    <row r="13">
      <c r="A13" s="5">
        <f>IFERROR(__xludf.DUMMYFUNCTION("""COMPUTED_VALUE"""),10.0)</f>
        <v>10</v>
      </c>
      <c r="B13" s="5" t="str">
        <f>IFERROR(__xludf.DUMMYFUNCTION("""COMPUTED_VALUE"""),"+19.22")</f>
        <v>+19.22</v>
      </c>
      <c r="C13" s="5" t="str">
        <f>IFERROR(__xludf.DUMMYFUNCTION("""COMPUTED_VALUE"""),"-100.00")</f>
        <v>-100.00</v>
      </c>
    </row>
    <row r="14">
      <c r="A14" s="5">
        <f>IFERROR(__xludf.DUMMYFUNCTION("""COMPUTED_VALUE"""),11.0)</f>
        <v>11</v>
      </c>
      <c r="B14" s="5" t="str">
        <f>IFERROR(__xludf.DUMMYFUNCTION("""COMPUTED_VALUE"""),"+20.78")</f>
        <v>+20.78</v>
      </c>
      <c r="C14" s="5" t="str">
        <f>IFERROR(__xludf.DUMMYFUNCTION("""COMPUTED_VALUE"""),"-100.00")</f>
        <v>-100.00</v>
      </c>
      <c r="D14" s="11"/>
    </row>
    <row r="15">
      <c r="A15" s="5">
        <f>IFERROR(__xludf.DUMMYFUNCTION("""COMPUTED_VALUE"""),12.0)</f>
        <v>12</v>
      </c>
      <c r="B15" s="5" t="str">
        <f>IFERROR(__xludf.DUMMYFUNCTION("""COMPUTED_VALUE"""),"+22.35")</f>
        <v>+22.35</v>
      </c>
      <c r="C15" s="5" t="str">
        <f>IFERROR(__xludf.DUMMYFUNCTION("""COMPUTED_VALUE"""),"-100.00")</f>
        <v>-100.00</v>
      </c>
    </row>
    <row r="16">
      <c r="A16" s="5">
        <f>IFERROR(__xludf.DUMMYFUNCTION("""COMPUTED_VALUE"""),13.0)</f>
        <v>13</v>
      </c>
      <c r="B16" s="5" t="str">
        <f>IFERROR(__xludf.DUMMYFUNCTION("""COMPUTED_VALUE"""),"+23.92")</f>
        <v>+23.92</v>
      </c>
      <c r="C16" s="5" t="str">
        <f>IFERROR(__xludf.DUMMYFUNCTION("""COMPUTED_VALUE"""),"-100.00")</f>
        <v>-100.00</v>
      </c>
    </row>
    <row r="17">
      <c r="A17" s="5">
        <f>IFERROR(__xludf.DUMMYFUNCTION("""COMPUTED_VALUE"""),14.0)</f>
        <v>14</v>
      </c>
      <c r="B17" s="5" t="str">
        <f>IFERROR(__xludf.DUMMYFUNCTION("""COMPUTED_VALUE"""),"+25.49")</f>
        <v>+25.49</v>
      </c>
      <c r="C17" s="5" t="str">
        <f>IFERROR(__xludf.DUMMYFUNCTION("""COMPUTED_VALUE"""),"-100.00")</f>
        <v>-100.00</v>
      </c>
    </row>
    <row r="18">
      <c r="A18" s="5">
        <f>IFERROR(__xludf.DUMMYFUNCTION("""COMPUTED_VALUE"""),15.0)</f>
        <v>15</v>
      </c>
      <c r="B18" s="5" t="str">
        <f>IFERROR(__xludf.DUMMYFUNCTION("""COMPUTED_VALUE"""),"+27.84")</f>
        <v>+27.84</v>
      </c>
      <c r="C18" s="5" t="str">
        <f>IFERROR(__xludf.DUMMYFUNCTION("""COMPUTED_VALUE"""),"-100.00")</f>
        <v>-100.00</v>
      </c>
    </row>
    <row r="19">
      <c r="A19" s="5">
        <f>IFERROR(__xludf.DUMMYFUNCTION("""COMPUTED_VALUE"""),16.0)</f>
        <v>16</v>
      </c>
      <c r="B19" s="5" t="str">
        <f>IFERROR(__xludf.DUMMYFUNCTION("""COMPUTED_VALUE"""),"+29.41")</f>
        <v>+29.41</v>
      </c>
      <c r="C19" s="5" t="str">
        <f>IFERROR(__xludf.DUMMYFUNCTION("""COMPUTED_VALUE"""),"-100.00")</f>
        <v>-100.00</v>
      </c>
    </row>
    <row r="20">
      <c r="A20" s="5">
        <f>IFERROR(__xludf.DUMMYFUNCTION("""COMPUTED_VALUE"""),17.0)</f>
        <v>17</v>
      </c>
      <c r="B20" s="5" t="str">
        <f>IFERROR(__xludf.DUMMYFUNCTION("""COMPUTED_VALUE"""),"+31.77")</f>
        <v>+31.77</v>
      </c>
      <c r="C20" s="5" t="str">
        <f>IFERROR(__xludf.DUMMYFUNCTION("""COMPUTED_VALUE"""),"-100.00")</f>
        <v>-100.00</v>
      </c>
    </row>
    <row r="21">
      <c r="A21" s="5">
        <f>IFERROR(__xludf.DUMMYFUNCTION("""COMPUTED_VALUE"""),18.0)</f>
        <v>18</v>
      </c>
      <c r="B21" s="5" t="str">
        <f>IFERROR(__xludf.DUMMYFUNCTION("""COMPUTED_VALUE"""),"+33.33")</f>
        <v>+33.33</v>
      </c>
      <c r="C21" s="5" t="str">
        <f>IFERROR(__xludf.DUMMYFUNCTION("""COMPUTED_VALUE"""),"-100.00")</f>
        <v>-100.00</v>
      </c>
    </row>
    <row r="22">
      <c r="A22" s="5">
        <f>IFERROR(__xludf.DUMMYFUNCTION("""COMPUTED_VALUE"""),19.0)</f>
        <v>19</v>
      </c>
      <c r="B22" s="5" t="str">
        <f>IFERROR(__xludf.DUMMYFUNCTION("""COMPUTED_VALUE"""),"+34.90")</f>
        <v>+34.90</v>
      </c>
      <c r="C22" s="5" t="str">
        <f>IFERROR(__xludf.DUMMYFUNCTION("""COMPUTED_VALUE"""),"-100.00")</f>
        <v>-100.00</v>
      </c>
    </row>
    <row r="23">
      <c r="A23" s="5">
        <f>IFERROR(__xludf.DUMMYFUNCTION("""COMPUTED_VALUE"""),20.0)</f>
        <v>20</v>
      </c>
      <c r="B23" s="5" t="str">
        <f>IFERROR(__xludf.DUMMYFUNCTION("""COMPUTED_VALUE"""),"+37.26")</f>
        <v>+37.26</v>
      </c>
      <c r="C23" s="5" t="str">
        <f>IFERROR(__xludf.DUMMYFUNCTION("""COMPUTED_VALUE"""),"-100.00")</f>
        <v>-100.00</v>
      </c>
    </row>
    <row r="24">
      <c r="A24" s="5">
        <f>IFERROR(__xludf.DUMMYFUNCTION("""COMPUTED_VALUE"""),21.0)</f>
        <v>21</v>
      </c>
      <c r="B24" s="5" t="str">
        <f>IFERROR(__xludf.DUMMYFUNCTION("""COMPUTED_VALUE"""),"+38.82")</f>
        <v>+38.82</v>
      </c>
      <c r="C24" s="5" t="str">
        <f>IFERROR(__xludf.DUMMYFUNCTION("""COMPUTED_VALUE"""),"-100.00")</f>
        <v>-100.00</v>
      </c>
    </row>
    <row r="25">
      <c r="A25" s="5">
        <f>IFERROR(__xludf.DUMMYFUNCTION("""COMPUTED_VALUE"""),22.0)</f>
        <v>22</v>
      </c>
      <c r="B25" s="5" t="str">
        <f>IFERROR(__xludf.DUMMYFUNCTION("""COMPUTED_VALUE"""),"+41.18")</f>
        <v>+41.18</v>
      </c>
      <c r="C25" s="5" t="str">
        <f>IFERROR(__xludf.DUMMYFUNCTION("""COMPUTED_VALUE"""),"-100.00")</f>
        <v>-100.00</v>
      </c>
    </row>
    <row r="26">
      <c r="A26" s="5">
        <f>IFERROR(__xludf.DUMMYFUNCTION("""COMPUTED_VALUE"""),23.0)</f>
        <v>23</v>
      </c>
      <c r="B26" s="5" t="str">
        <f>IFERROR(__xludf.DUMMYFUNCTION("""COMPUTED_VALUE"""),"+42.75")</f>
        <v>+42.75</v>
      </c>
      <c r="C26" s="5" t="str">
        <f>IFERROR(__xludf.DUMMYFUNCTION("""COMPUTED_VALUE"""),"-100.00")</f>
        <v>-100.00</v>
      </c>
    </row>
    <row r="27">
      <c r="A27" s="5">
        <f>IFERROR(__xludf.DUMMYFUNCTION("""COMPUTED_VALUE"""),24.0)</f>
        <v>24</v>
      </c>
      <c r="B27" s="5" t="str">
        <f>IFERROR(__xludf.DUMMYFUNCTION("""COMPUTED_VALUE"""),"+45.10")</f>
        <v>+45.10</v>
      </c>
      <c r="C27" s="5" t="str">
        <f>IFERROR(__xludf.DUMMYFUNCTION("""COMPUTED_VALUE"""),"-100.00")</f>
        <v>-100.00</v>
      </c>
    </row>
    <row r="28">
      <c r="A28" s="5">
        <f>IFERROR(__xludf.DUMMYFUNCTION("""COMPUTED_VALUE"""),25.0)</f>
        <v>25</v>
      </c>
      <c r="B28" s="5" t="str">
        <f>IFERROR(__xludf.DUMMYFUNCTION("""COMPUTED_VALUE"""),"+47.45")</f>
        <v>+47.45</v>
      </c>
      <c r="C28" s="5" t="str">
        <f>IFERROR(__xludf.DUMMYFUNCTION("""COMPUTED_VALUE"""),"-100.00")</f>
        <v>-100.00</v>
      </c>
    </row>
    <row r="29">
      <c r="A29" s="5">
        <f>IFERROR(__xludf.DUMMYFUNCTION("""COMPUTED_VALUE"""),26.0)</f>
        <v>26</v>
      </c>
      <c r="B29" s="5" t="str">
        <f>IFERROR(__xludf.DUMMYFUNCTION("""COMPUTED_VALUE"""),"+49.02")</f>
        <v>+49.02</v>
      </c>
      <c r="C29" s="5" t="str">
        <f>IFERROR(__xludf.DUMMYFUNCTION("""COMPUTED_VALUE"""),"-100.00")</f>
        <v>-100.00</v>
      </c>
    </row>
    <row r="30">
      <c r="A30" s="5">
        <f>IFERROR(__xludf.DUMMYFUNCTION("""COMPUTED_VALUE"""),27.0)</f>
        <v>27</v>
      </c>
      <c r="B30" s="5" t="str">
        <f>IFERROR(__xludf.DUMMYFUNCTION("""COMPUTED_VALUE"""),"+51.37")</f>
        <v>+51.37</v>
      </c>
      <c r="C30" s="5" t="str">
        <f>IFERROR(__xludf.DUMMYFUNCTION("""COMPUTED_VALUE"""),"-99.22")</f>
        <v>-99.22</v>
      </c>
    </row>
    <row r="31">
      <c r="A31" s="5">
        <f>IFERROR(__xludf.DUMMYFUNCTION("""COMPUTED_VALUE"""),28.0)</f>
        <v>28</v>
      </c>
      <c r="B31" s="5" t="str">
        <f>IFERROR(__xludf.DUMMYFUNCTION("""COMPUTED_VALUE"""),"+52.94")</f>
        <v>+52.94</v>
      </c>
      <c r="C31" s="5" t="str">
        <f>IFERROR(__xludf.DUMMYFUNCTION("""COMPUTED_VALUE"""),"-99.22")</f>
        <v>-99.22</v>
      </c>
    </row>
    <row r="32">
      <c r="A32" s="5">
        <f>IFERROR(__xludf.DUMMYFUNCTION("""COMPUTED_VALUE"""),29.0)</f>
        <v>29</v>
      </c>
      <c r="B32" s="5" t="str">
        <f>IFERROR(__xludf.DUMMYFUNCTION("""COMPUTED_VALUE"""),"+55.29")</f>
        <v>+55.29</v>
      </c>
      <c r="C32" s="5" t="str">
        <f>IFERROR(__xludf.DUMMYFUNCTION("""COMPUTED_VALUE"""),"-98.43")</f>
        <v>-98.43</v>
      </c>
    </row>
    <row r="33">
      <c r="A33" s="5">
        <f>IFERROR(__xludf.DUMMYFUNCTION("""COMPUTED_VALUE"""),30.0)</f>
        <v>30</v>
      </c>
      <c r="B33" s="5" t="str">
        <f>IFERROR(__xludf.DUMMYFUNCTION("""COMPUTED_VALUE"""),"+56.08")</f>
        <v>+56.08</v>
      </c>
      <c r="C33" s="5" t="str">
        <f>IFERROR(__xludf.DUMMYFUNCTION("""COMPUTED_VALUE"""),"-96.86")</f>
        <v>-96.86</v>
      </c>
    </row>
    <row r="34">
      <c r="A34" s="5">
        <f>IFERROR(__xludf.DUMMYFUNCTION("""COMPUTED_VALUE"""),31.0)</f>
        <v>31</v>
      </c>
      <c r="B34" s="5" t="str">
        <f>IFERROR(__xludf.DUMMYFUNCTION("""COMPUTED_VALUE"""),"+58.43")</f>
        <v>+58.43</v>
      </c>
      <c r="C34" s="5" t="str">
        <f>IFERROR(__xludf.DUMMYFUNCTION("""COMPUTED_VALUE"""),"-96.08")</f>
        <v>-96.08</v>
      </c>
    </row>
    <row r="35">
      <c r="A35" s="5">
        <f>IFERROR(__xludf.DUMMYFUNCTION("""COMPUTED_VALUE"""),32.0)</f>
        <v>32</v>
      </c>
      <c r="B35" s="5" t="str">
        <f>IFERROR(__xludf.DUMMYFUNCTION("""COMPUTED_VALUE"""),"+60.00")</f>
        <v>+60.00</v>
      </c>
      <c r="C35" s="5" t="str">
        <f>IFERROR(__xludf.DUMMYFUNCTION("""COMPUTED_VALUE"""),"-95.29")</f>
        <v>-95.29</v>
      </c>
    </row>
    <row r="36">
      <c r="A36" s="5">
        <f>IFERROR(__xludf.DUMMYFUNCTION("""COMPUTED_VALUE"""),33.0)</f>
        <v>33</v>
      </c>
      <c r="B36" s="5" t="str">
        <f>IFERROR(__xludf.DUMMYFUNCTION("""COMPUTED_VALUE"""),"+61.57")</f>
        <v>+61.57</v>
      </c>
      <c r="C36" s="5" t="str">
        <f>IFERROR(__xludf.DUMMYFUNCTION("""COMPUTED_VALUE"""),"-94.51")</f>
        <v>-94.51</v>
      </c>
    </row>
    <row r="37">
      <c r="A37" s="5">
        <f>IFERROR(__xludf.DUMMYFUNCTION("""COMPUTED_VALUE"""),34.0)</f>
        <v>34</v>
      </c>
      <c r="B37" s="5" t="str">
        <f>IFERROR(__xludf.DUMMYFUNCTION("""COMPUTED_VALUE"""),"+63.92")</f>
        <v>+63.92</v>
      </c>
      <c r="C37" s="5" t="str">
        <f>IFERROR(__xludf.DUMMYFUNCTION("""COMPUTED_VALUE"""),"-93.73")</f>
        <v>-93.73</v>
      </c>
    </row>
    <row r="38">
      <c r="A38" s="5">
        <f>IFERROR(__xludf.DUMMYFUNCTION("""COMPUTED_VALUE"""),35.0)</f>
        <v>35</v>
      </c>
      <c r="B38" s="5" t="str">
        <f>IFERROR(__xludf.DUMMYFUNCTION("""COMPUTED_VALUE"""),"+65.49")</f>
        <v>+65.49</v>
      </c>
      <c r="C38" s="5" t="str">
        <f>IFERROR(__xludf.DUMMYFUNCTION("""COMPUTED_VALUE"""),"-92.94")</f>
        <v>-92.94</v>
      </c>
    </row>
    <row r="39">
      <c r="A39" s="5">
        <f>IFERROR(__xludf.DUMMYFUNCTION("""COMPUTED_VALUE"""),36.0)</f>
        <v>36</v>
      </c>
      <c r="B39" s="5" t="str">
        <f>IFERROR(__xludf.DUMMYFUNCTION("""COMPUTED_VALUE"""),"+63.92")</f>
        <v>+63.92</v>
      </c>
      <c r="C39" s="5" t="str">
        <f>IFERROR(__xludf.DUMMYFUNCTION("""COMPUTED_VALUE"""),"-89.80")</f>
        <v>-89.80</v>
      </c>
    </row>
    <row r="40">
      <c r="A40" s="5">
        <f>IFERROR(__xludf.DUMMYFUNCTION("""COMPUTED_VALUE"""),37.0)</f>
        <v>37</v>
      </c>
      <c r="B40" s="5" t="str">
        <f>IFERROR(__xludf.DUMMYFUNCTION("""COMPUTED_VALUE"""),"+66.28")</f>
        <v>+66.28</v>
      </c>
      <c r="C40" s="5" t="str">
        <f>IFERROR(__xludf.DUMMYFUNCTION("""COMPUTED_VALUE"""),"-89.02")</f>
        <v>-89.02</v>
      </c>
    </row>
    <row r="41">
      <c r="A41" s="5">
        <f>IFERROR(__xludf.DUMMYFUNCTION("""COMPUTED_VALUE"""),38.0)</f>
        <v>38</v>
      </c>
      <c r="B41" s="5" t="str">
        <f>IFERROR(__xludf.DUMMYFUNCTION("""COMPUTED_VALUE"""),"+70.98")</f>
        <v>+70.98</v>
      </c>
      <c r="C41" s="5" t="str">
        <f>IFERROR(__xludf.DUMMYFUNCTION("""COMPUTED_VALUE"""),"-89.80")</f>
        <v>-89.80</v>
      </c>
    </row>
    <row r="42">
      <c r="A42" s="5">
        <f>IFERROR(__xludf.DUMMYFUNCTION("""COMPUTED_VALUE"""),39.0)</f>
        <v>39</v>
      </c>
      <c r="B42" s="5" t="str">
        <f>IFERROR(__xludf.DUMMYFUNCTION("""COMPUTED_VALUE"""),"+71.77")</f>
        <v>+71.77</v>
      </c>
      <c r="C42" s="5" t="str">
        <f>IFERROR(__xludf.DUMMYFUNCTION("""COMPUTED_VALUE"""),"-87.45")</f>
        <v>-87.45</v>
      </c>
    </row>
    <row r="43">
      <c r="A43" s="5">
        <f>IFERROR(__xludf.DUMMYFUNCTION("""COMPUTED_VALUE"""),40.0)</f>
        <v>40</v>
      </c>
      <c r="B43" s="5" t="str">
        <f>IFERROR(__xludf.DUMMYFUNCTION("""COMPUTED_VALUE"""),"+70.20")</f>
        <v>+70.20</v>
      </c>
      <c r="C43" s="5" t="str">
        <f>IFERROR(__xludf.DUMMYFUNCTION("""COMPUTED_VALUE"""),"-82.75")</f>
        <v>-82.75</v>
      </c>
    </row>
    <row r="44">
      <c r="A44" s="5">
        <f>IFERROR(__xludf.DUMMYFUNCTION("""COMPUTED_VALUE"""),41.0)</f>
        <v>41</v>
      </c>
      <c r="B44" s="5" t="str">
        <f>IFERROR(__xludf.DUMMYFUNCTION("""COMPUTED_VALUE"""),"+75.69")</f>
        <v>+75.69</v>
      </c>
      <c r="C44" s="5" t="str">
        <f>IFERROR(__xludf.DUMMYFUNCTION("""COMPUTED_VALUE"""),"-85.88")</f>
        <v>-85.88</v>
      </c>
    </row>
    <row r="45">
      <c r="A45" s="5">
        <f>IFERROR(__xludf.DUMMYFUNCTION("""COMPUTED_VALUE"""),42.0)</f>
        <v>42</v>
      </c>
      <c r="B45" s="5" t="str">
        <f>IFERROR(__xludf.DUMMYFUNCTION("""COMPUTED_VALUE"""),"+74.12")</f>
        <v>+74.12</v>
      </c>
      <c r="C45" s="5" t="str">
        <f>IFERROR(__xludf.DUMMYFUNCTION("""COMPUTED_VALUE"""),"-81.96")</f>
        <v>-81.96</v>
      </c>
    </row>
    <row r="46">
      <c r="A46" s="5">
        <f>IFERROR(__xludf.DUMMYFUNCTION("""COMPUTED_VALUE"""),43.0)</f>
        <v>43</v>
      </c>
      <c r="B46" s="5" t="str">
        <f>IFERROR(__xludf.DUMMYFUNCTION("""COMPUTED_VALUE"""),"+76.47")</f>
        <v>+76.47</v>
      </c>
      <c r="C46" s="5" t="str">
        <f>IFERROR(__xludf.DUMMYFUNCTION("""COMPUTED_VALUE"""),"-81.96")</f>
        <v>-81.96</v>
      </c>
    </row>
    <row r="47">
      <c r="A47" s="5">
        <f>IFERROR(__xludf.DUMMYFUNCTION("""COMPUTED_VALUE"""),44.0)</f>
        <v>44</v>
      </c>
      <c r="B47" s="5" t="str">
        <f>IFERROR(__xludf.DUMMYFUNCTION("""COMPUTED_VALUE"""),"+77.26")</f>
        <v>+77.26</v>
      </c>
      <c r="C47" s="5" t="str">
        <f>IFERROR(__xludf.DUMMYFUNCTION("""COMPUTED_VALUE"""),"-81.18")</f>
        <v>-81.18</v>
      </c>
    </row>
    <row r="48">
      <c r="A48" s="5">
        <f>IFERROR(__xludf.DUMMYFUNCTION("""COMPUTED_VALUE"""),45.0)</f>
        <v>45</v>
      </c>
      <c r="B48" s="5" t="str">
        <f>IFERROR(__xludf.DUMMYFUNCTION("""COMPUTED_VALUE"""),"+81.96")</f>
        <v>+81.96</v>
      </c>
      <c r="C48" s="5" t="str">
        <f>IFERROR(__xludf.DUMMYFUNCTION("""COMPUTED_VALUE"""),"-81.18")</f>
        <v>-81.18</v>
      </c>
    </row>
    <row r="49">
      <c r="A49" s="5">
        <f>IFERROR(__xludf.DUMMYFUNCTION("""COMPUTED_VALUE"""),46.0)</f>
        <v>46</v>
      </c>
      <c r="B49" s="5" t="str">
        <f>IFERROR(__xludf.DUMMYFUNCTION("""COMPUTED_VALUE"""),"+82.75")</f>
        <v>+82.75</v>
      </c>
      <c r="C49" s="5" t="str">
        <f>IFERROR(__xludf.DUMMYFUNCTION("""COMPUTED_VALUE"""),"-78.82")</f>
        <v>-78.82</v>
      </c>
    </row>
    <row r="50">
      <c r="A50" s="5">
        <f>IFERROR(__xludf.DUMMYFUNCTION("""COMPUTED_VALUE"""),47.0)</f>
        <v>47</v>
      </c>
      <c r="B50" s="5" t="str">
        <f>IFERROR(__xludf.DUMMYFUNCTION("""COMPUTED_VALUE"""),"+84.31")</f>
        <v>+84.31</v>
      </c>
      <c r="C50" s="5" t="str">
        <f>IFERROR(__xludf.DUMMYFUNCTION("""COMPUTED_VALUE"""),"-77.25")</f>
        <v>-77.25</v>
      </c>
    </row>
    <row r="51">
      <c r="A51" s="5">
        <f>IFERROR(__xludf.DUMMYFUNCTION("""COMPUTED_VALUE"""),48.0)</f>
        <v>48</v>
      </c>
      <c r="B51" s="5" t="str">
        <f>IFERROR(__xludf.DUMMYFUNCTION("""COMPUTED_VALUE"""),"+85.10")</f>
        <v>+85.10</v>
      </c>
      <c r="C51" s="5" t="str">
        <f>IFERROR(__xludf.DUMMYFUNCTION("""COMPUTED_VALUE"""),"-75.69")</f>
        <v>-75.69</v>
      </c>
    </row>
    <row r="52">
      <c r="A52" s="5">
        <f>IFERROR(__xludf.DUMMYFUNCTION("""COMPUTED_VALUE"""),49.0)</f>
        <v>49</v>
      </c>
      <c r="B52" s="5" t="str">
        <f>IFERROR(__xludf.DUMMYFUNCTION("""COMPUTED_VALUE"""),"+86.67")</f>
        <v>+86.67</v>
      </c>
      <c r="C52" s="5" t="str">
        <f>IFERROR(__xludf.DUMMYFUNCTION("""COMPUTED_VALUE"""),"-74.12")</f>
        <v>-74.12</v>
      </c>
    </row>
    <row r="53">
      <c r="A53" s="5">
        <f>IFERROR(__xludf.DUMMYFUNCTION("""COMPUTED_VALUE"""),50.0)</f>
        <v>50</v>
      </c>
      <c r="B53" s="5" t="str">
        <f>IFERROR(__xludf.DUMMYFUNCTION("""COMPUTED_VALUE"""),"+88.24")</f>
        <v>+88.24</v>
      </c>
      <c r="C53" s="5" t="str">
        <f>IFERROR(__xludf.DUMMYFUNCTION("""COMPUTED_VALUE"""),"-72.55")</f>
        <v>-72.55</v>
      </c>
    </row>
    <row r="54">
      <c r="A54" s="5">
        <f>IFERROR(__xludf.DUMMYFUNCTION("""COMPUTED_VALUE"""),51.0)</f>
        <v>51</v>
      </c>
      <c r="B54" s="5" t="str">
        <f>IFERROR(__xludf.DUMMYFUNCTION("""COMPUTED_VALUE"""),"+89.80")</f>
        <v>+89.80</v>
      </c>
      <c r="C54" s="5" t="str">
        <f>IFERROR(__xludf.DUMMYFUNCTION("""COMPUTED_VALUE"""),"-71.76")</f>
        <v>-71.76</v>
      </c>
    </row>
    <row r="55">
      <c r="A55" s="5">
        <f>IFERROR(__xludf.DUMMYFUNCTION("""COMPUTED_VALUE"""),52.0)</f>
        <v>52</v>
      </c>
      <c r="B55" s="5" t="str">
        <f>IFERROR(__xludf.DUMMYFUNCTION("""COMPUTED_VALUE"""),"+90.59")</f>
        <v>+90.59</v>
      </c>
      <c r="C55" s="5" t="str">
        <f>IFERROR(__xludf.DUMMYFUNCTION("""COMPUTED_VALUE"""),"-69.41")</f>
        <v>-69.41</v>
      </c>
    </row>
    <row r="56">
      <c r="A56" s="5">
        <f>IFERROR(__xludf.DUMMYFUNCTION("""COMPUTED_VALUE"""),53.0)</f>
        <v>53</v>
      </c>
      <c r="B56" s="5" t="str">
        <f>IFERROR(__xludf.DUMMYFUNCTION("""COMPUTED_VALUE"""),"+92.16")</f>
        <v>+92.16</v>
      </c>
      <c r="C56" s="5" t="str">
        <f>IFERROR(__xludf.DUMMYFUNCTION("""COMPUTED_VALUE"""),"-68.63")</f>
        <v>-68.63</v>
      </c>
    </row>
    <row r="57">
      <c r="A57" s="5">
        <f>IFERROR(__xludf.DUMMYFUNCTION("""COMPUTED_VALUE"""),54.0)</f>
        <v>54</v>
      </c>
      <c r="B57" s="5" t="str">
        <f>IFERROR(__xludf.DUMMYFUNCTION("""COMPUTED_VALUE"""),"+92.94")</f>
        <v>+92.94</v>
      </c>
      <c r="C57" s="5" t="str">
        <f>IFERROR(__xludf.DUMMYFUNCTION("""COMPUTED_VALUE"""),"-66.27")</f>
        <v>-66.27</v>
      </c>
    </row>
    <row r="58">
      <c r="A58" s="5">
        <f>IFERROR(__xludf.DUMMYFUNCTION("""COMPUTED_VALUE"""),55.0)</f>
        <v>55</v>
      </c>
      <c r="B58" s="5" t="str">
        <f>IFERROR(__xludf.DUMMYFUNCTION("""COMPUTED_VALUE"""),"+94.51")</f>
        <v>+94.51</v>
      </c>
      <c r="C58" s="5" t="str">
        <f>IFERROR(__xludf.DUMMYFUNCTION("""COMPUTED_VALUE"""),"-64.71")</f>
        <v>-64.71</v>
      </c>
    </row>
    <row r="59">
      <c r="A59" s="5">
        <f>IFERROR(__xludf.DUMMYFUNCTION("""COMPUTED_VALUE"""),56.0)</f>
        <v>56</v>
      </c>
      <c r="B59" s="5" t="str">
        <f>IFERROR(__xludf.DUMMYFUNCTION("""COMPUTED_VALUE"""),"+95.30")</f>
        <v>+95.30</v>
      </c>
      <c r="C59" s="5" t="str">
        <f>IFERROR(__xludf.DUMMYFUNCTION("""COMPUTED_VALUE"""),"-63.92")</f>
        <v>-63.92</v>
      </c>
    </row>
    <row r="60">
      <c r="A60" s="5">
        <f>IFERROR(__xludf.DUMMYFUNCTION("""COMPUTED_VALUE"""),57.0)</f>
        <v>57</v>
      </c>
      <c r="B60" s="5" t="str">
        <f>IFERROR(__xludf.DUMMYFUNCTION("""COMPUTED_VALUE"""),"+96.86")</f>
        <v>+96.86</v>
      </c>
      <c r="C60" s="5" t="str">
        <f>IFERROR(__xludf.DUMMYFUNCTION("""COMPUTED_VALUE"""),"-61.57")</f>
        <v>-61.57</v>
      </c>
    </row>
    <row r="61">
      <c r="A61" s="5">
        <f>IFERROR(__xludf.DUMMYFUNCTION("""COMPUTED_VALUE"""),58.0)</f>
        <v>58</v>
      </c>
      <c r="B61" s="5" t="str">
        <f>IFERROR(__xludf.DUMMYFUNCTION("""COMPUTED_VALUE"""),"+98.43")</f>
        <v>+98.43</v>
      </c>
      <c r="C61" s="5" t="str">
        <f>IFERROR(__xludf.DUMMYFUNCTION("""COMPUTED_VALUE"""),"-60.00")</f>
        <v>-60.00</v>
      </c>
    </row>
    <row r="62">
      <c r="A62" s="5">
        <f>IFERROR(__xludf.DUMMYFUNCTION("""COMPUTED_VALUE"""),59.0)</f>
        <v>59</v>
      </c>
      <c r="B62" s="5" t="str">
        <f>IFERROR(__xludf.DUMMYFUNCTION("""COMPUTED_VALUE"""),"+98.43")</f>
        <v>+98.43</v>
      </c>
      <c r="C62" s="5" t="str">
        <f>IFERROR(__xludf.DUMMYFUNCTION("""COMPUTED_VALUE"""),"-57.65")</f>
        <v>-57.65</v>
      </c>
    </row>
    <row r="63">
      <c r="A63" s="5">
        <f>IFERROR(__xludf.DUMMYFUNCTION("""COMPUTED_VALUE"""),60.0)</f>
        <v>60</v>
      </c>
      <c r="B63" s="5" t="str">
        <f>IFERROR(__xludf.DUMMYFUNCTION("""COMPUTED_VALUE"""),"+99.22")</f>
        <v>+99.22</v>
      </c>
      <c r="C63" s="5" t="str">
        <f>IFERROR(__xludf.DUMMYFUNCTION("""COMPUTED_VALUE"""),"-56.08")</f>
        <v>-56.08</v>
      </c>
    </row>
    <row r="64">
      <c r="A64" s="5">
        <f>IFERROR(__xludf.DUMMYFUNCTION("""COMPUTED_VALUE"""),61.0)</f>
        <v>61</v>
      </c>
      <c r="B64" s="5" t="str">
        <f>IFERROR(__xludf.DUMMYFUNCTION("""COMPUTED_VALUE"""),"+99.22")</f>
        <v>+99.22</v>
      </c>
      <c r="C64" s="5" t="str">
        <f>IFERROR(__xludf.DUMMYFUNCTION("""COMPUTED_VALUE"""),"-54.51")</f>
        <v>-54.51</v>
      </c>
    </row>
    <row r="65">
      <c r="A65" s="5">
        <f>IFERROR(__xludf.DUMMYFUNCTION("""COMPUTED_VALUE"""),62.0)</f>
        <v>62</v>
      </c>
      <c r="B65" s="5" t="str">
        <f>IFERROR(__xludf.DUMMYFUNCTION("""COMPUTED_VALUE"""),"+100.00")</f>
        <v>+100.00</v>
      </c>
      <c r="C65" s="5" t="str">
        <f>IFERROR(__xludf.DUMMYFUNCTION("""COMPUTED_VALUE"""),"-52.16")</f>
        <v>-52.16</v>
      </c>
    </row>
    <row r="66">
      <c r="A66" s="5">
        <f>IFERROR(__xludf.DUMMYFUNCTION("""COMPUTED_VALUE"""),63.0)</f>
        <v>63</v>
      </c>
      <c r="B66" s="5" t="str">
        <f>IFERROR(__xludf.DUMMYFUNCTION("""COMPUTED_VALUE"""),"+100.00")</f>
        <v>+100.00</v>
      </c>
      <c r="C66" s="5" t="str">
        <f>IFERROR(__xludf.DUMMYFUNCTION("""COMPUTED_VALUE"""),"-49.80")</f>
        <v>-49.80</v>
      </c>
    </row>
    <row r="67">
      <c r="A67" s="5">
        <f>IFERROR(__xludf.DUMMYFUNCTION("""COMPUTED_VALUE"""),64.0)</f>
        <v>64</v>
      </c>
      <c r="B67" s="5" t="str">
        <f>IFERROR(__xludf.DUMMYFUNCTION("""COMPUTED_VALUE"""),"+100.00")</f>
        <v>+100.00</v>
      </c>
      <c r="C67" s="5" t="str">
        <f>IFERROR(__xludf.DUMMYFUNCTION("""COMPUTED_VALUE"""),"-48.24")</f>
        <v>-48.24</v>
      </c>
    </row>
    <row r="68">
      <c r="A68" s="5">
        <f>IFERROR(__xludf.DUMMYFUNCTION("""COMPUTED_VALUE"""),65.0)</f>
        <v>65</v>
      </c>
      <c r="B68" s="5" t="str">
        <f>IFERROR(__xludf.DUMMYFUNCTION("""COMPUTED_VALUE"""),"+100.00")</f>
        <v>+100.00</v>
      </c>
      <c r="C68" s="5" t="str">
        <f>IFERROR(__xludf.DUMMYFUNCTION("""COMPUTED_VALUE"""),"-46.67")</f>
        <v>-46.67</v>
      </c>
    </row>
    <row r="69">
      <c r="A69" s="5">
        <f>IFERROR(__xludf.DUMMYFUNCTION("""COMPUTED_VALUE"""),66.0)</f>
        <v>66</v>
      </c>
      <c r="B69" s="5" t="str">
        <f>IFERROR(__xludf.DUMMYFUNCTION("""COMPUTED_VALUE"""),"+100.00")</f>
        <v>+100.00</v>
      </c>
      <c r="C69" s="5" t="str">
        <f>IFERROR(__xludf.DUMMYFUNCTION("""COMPUTED_VALUE"""),"-43.53")</f>
        <v>-43.53</v>
      </c>
    </row>
    <row r="70">
      <c r="A70" s="5">
        <f>IFERROR(__xludf.DUMMYFUNCTION("""COMPUTED_VALUE"""),67.0)</f>
        <v>67</v>
      </c>
      <c r="B70" s="5" t="str">
        <f>IFERROR(__xludf.DUMMYFUNCTION("""COMPUTED_VALUE"""),"+100.00")</f>
        <v>+100.00</v>
      </c>
      <c r="C70" s="5" t="str">
        <f>IFERROR(__xludf.DUMMYFUNCTION("""COMPUTED_VALUE"""),"-41.96")</f>
        <v>-41.96</v>
      </c>
    </row>
    <row r="71">
      <c r="A71" s="5">
        <f>IFERROR(__xludf.DUMMYFUNCTION("""COMPUTED_VALUE"""),68.0)</f>
        <v>68</v>
      </c>
      <c r="B71" s="5" t="str">
        <f>IFERROR(__xludf.DUMMYFUNCTION("""COMPUTED_VALUE"""),"+100.00")</f>
        <v>+100.00</v>
      </c>
      <c r="C71" s="5" t="str">
        <f>IFERROR(__xludf.DUMMYFUNCTION("""COMPUTED_VALUE"""),"-39.61")</f>
        <v>-39.61</v>
      </c>
    </row>
    <row r="72">
      <c r="A72" s="5">
        <f>IFERROR(__xludf.DUMMYFUNCTION("""COMPUTED_VALUE"""),69.0)</f>
        <v>69</v>
      </c>
      <c r="B72" s="5" t="str">
        <f>IFERROR(__xludf.DUMMYFUNCTION("""COMPUTED_VALUE"""),"+100.00")</f>
        <v>+100.00</v>
      </c>
      <c r="C72" s="5" t="str">
        <f>IFERROR(__xludf.DUMMYFUNCTION("""COMPUTED_VALUE"""),"-38.04")</f>
        <v>-38.04</v>
      </c>
    </row>
    <row r="73">
      <c r="A73" s="5">
        <f>IFERROR(__xludf.DUMMYFUNCTION("""COMPUTED_VALUE"""),70.0)</f>
        <v>70</v>
      </c>
      <c r="B73" s="5" t="str">
        <f>IFERROR(__xludf.DUMMYFUNCTION("""COMPUTED_VALUE"""),"+100.00")</f>
        <v>+100.00</v>
      </c>
      <c r="C73" s="5" t="str">
        <f>IFERROR(__xludf.DUMMYFUNCTION("""COMPUTED_VALUE"""),"-35.69")</f>
        <v>-35.69</v>
      </c>
    </row>
    <row r="74">
      <c r="A74" s="5">
        <f>IFERROR(__xludf.DUMMYFUNCTION("""COMPUTED_VALUE"""),71.0)</f>
        <v>71</v>
      </c>
      <c r="B74" s="5" t="str">
        <f>IFERROR(__xludf.DUMMYFUNCTION("""COMPUTED_VALUE"""),"+100.00")</f>
        <v>+100.00</v>
      </c>
      <c r="C74" s="5" t="str">
        <f>IFERROR(__xludf.DUMMYFUNCTION("""COMPUTED_VALUE"""),"-34.12")</f>
        <v>-34.12</v>
      </c>
    </row>
    <row r="75">
      <c r="A75" s="5">
        <f>IFERROR(__xludf.DUMMYFUNCTION("""COMPUTED_VALUE"""),72.0)</f>
        <v>72</v>
      </c>
      <c r="B75" s="5" t="str">
        <f>IFERROR(__xludf.DUMMYFUNCTION("""COMPUTED_VALUE"""),"+100.00")</f>
        <v>+100.00</v>
      </c>
      <c r="C75" s="5" t="str">
        <f>IFERROR(__xludf.DUMMYFUNCTION("""COMPUTED_VALUE"""),"-32.55")</f>
        <v>-32.55</v>
      </c>
    </row>
    <row r="76">
      <c r="A76" s="5">
        <f>IFERROR(__xludf.DUMMYFUNCTION("""COMPUTED_VALUE"""),73.0)</f>
        <v>73</v>
      </c>
      <c r="B76" s="5" t="str">
        <f>IFERROR(__xludf.DUMMYFUNCTION("""COMPUTED_VALUE"""),"+100.00")</f>
        <v>+100.00</v>
      </c>
      <c r="C76" s="5" t="str">
        <f>IFERROR(__xludf.DUMMYFUNCTION("""COMPUTED_VALUE"""),"-30.20")</f>
        <v>-30.20</v>
      </c>
    </row>
    <row r="77">
      <c r="A77" s="5">
        <f>IFERROR(__xludf.DUMMYFUNCTION("""COMPUTED_VALUE"""),74.0)</f>
        <v>74</v>
      </c>
      <c r="B77" s="5" t="str">
        <f>IFERROR(__xludf.DUMMYFUNCTION("""COMPUTED_VALUE"""),"+100.00")</f>
        <v>+100.00</v>
      </c>
      <c r="C77" s="5" t="str">
        <f>IFERROR(__xludf.DUMMYFUNCTION("""COMPUTED_VALUE"""),"-28.63")</f>
        <v>-28.63</v>
      </c>
    </row>
    <row r="78">
      <c r="A78" s="5">
        <f>IFERROR(__xludf.DUMMYFUNCTION("""COMPUTED_VALUE"""),75.0)</f>
        <v>75</v>
      </c>
      <c r="B78" s="5" t="str">
        <f>IFERROR(__xludf.DUMMYFUNCTION("""COMPUTED_VALUE"""),"+100.00")</f>
        <v>+100.00</v>
      </c>
      <c r="C78" s="5" t="str">
        <f>IFERROR(__xludf.DUMMYFUNCTION("""COMPUTED_VALUE"""),"-27.06")</f>
        <v>-27.06</v>
      </c>
    </row>
    <row r="79">
      <c r="A79" s="5">
        <f>IFERROR(__xludf.DUMMYFUNCTION("""COMPUTED_VALUE"""),76.0)</f>
        <v>76</v>
      </c>
      <c r="B79" s="5" t="str">
        <f>IFERROR(__xludf.DUMMYFUNCTION("""COMPUTED_VALUE"""),"+100.00")</f>
        <v>+100.00</v>
      </c>
      <c r="C79" s="5" t="str">
        <f>IFERROR(__xludf.DUMMYFUNCTION("""COMPUTED_VALUE"""),"-24.71")</f>
        <v>-24.71</v>
      </c>
    </row>
    <row r="80">
      <c r="A80" s="5">
        <f>IFERROR(__xludf.DUMMYFUNCTION("""COMPUTED_VALUE"""),77.0)</f>
        <v>77</v>
      </c>
      <c r="B80" s="5" t="str">
        <f>IFERROR(__xludf.DUMMYFUNCTION("""COMPUTED_VALUE"""),"+100.00")</f>
        <v>+100.00</v>
      </c>
      <c r="C80" s="5" t="str">
        <f>IFERROR(__xludf.DUMMYFUNCTION("""COMPUTED_VALUE"""),"-23.14")</f>
        <v>-23.14</v>
      </c>
    </row>
    <row r="81">
      <c r="A81" s="5">
        <f>IFERROR(__xludf.DUMMYFUNCTION("""COMPUTED_VALUE"""),78.0)</f>
        <v>78</v>
      </c>
      <c r="B81" s="5" t="str">
        <f>IFERROR(__xludf.DUMMYFUNCTION("""COMPUTED_VALUE"""),"+100.00")</f>
        <v>+100.00</v>
      </c>
      <c r="C81" s="5" t="str">
        <f>IFERROR(__xludf.DUMMYFUNCTION("""COMPUTED_VALUE"""),"-21.57")</f>
        <v>-21.57</v>
      </c>
    </row>
    <row r="82">
      <c r="A82" s="5">
        <f>IFERROR(__xludf.DUMMYFUNCTION("""COMPUTED_VALUE"""),79.0)</f>
        <v>79</v>
      </c>
      <c r="B82" s="5" t="str">
        <f>IFERROR(__xludf.DUMMYFUNCTION("""COMPUTED_VALUE"""),"+100.00")</f>
        <v>+100.00</v>
      </c>
      <c r="C82" s="5" t="str">
        <f>IFERROR(__xludf.DUMMYFUNCTION("""COMPUTED_VALUE"""),"-20.00")</f>
        <v>-20.00</v>
      </c>
    </row>
    <row r="83">
      <c r="A83" s="5">
        <f>IFERROR(__xludf.DUMMYFUNCTION("""COMPUTED_VALUE"""),80.0)</f>
        <v>80</v>
      </c>
      <c r="B83" s="5" t="str">
        <f>IFERROR(__xludf.DUMMYFUNCTION("""COMPUTED_VALUE"""),"+100.00")</f>
        <v>+100.00</v>
      </c>
      <c r="C83" s="5" t="str">
        <f>IFERROR(__xludf.DUMMYFUNCTION("""COMPUTED_VALUE"""),"-18.43")</f>
        <v>-18.43</v>
      </c>
    </row>
    <row r="84">
      <c r="A84" s="5">
        <f>IFERROR(__xludf.DUMMYFUNCTION("""COMPUTED_VALUE"""),81.0)</f>
        <v>81</v>
      </c>
      <c r="B84" s="5" t="str">
        <f>IFERROR(__xludf.DUMMYFUNCTION("""COMPUTED_VALUE"""),"+100.00")</f>
        <v>+100.00</v>
      </c>
      <c r="C84" s="5" t="str">
        <f>IFERROR(__xludf.DUMMYFUNCTION("""COMPUTED_VALUE"""),"-16.08")</f>
        <v>-16.08</v>
      </c>
    </row>
    <row r="85">
      <c r="A85" s="5">
        <f>IFERROR(__xludf.DUMMYFUNCTION("""COMPUTED_VALUE"""),82.0)</f>
        <v>82</v>
      </c>
      <c r="B85" s="5" t="str">
        <f>IFERROR(__xludf.DUMMYFUNCTION("""COMPUTED_VALUE"""),"+100.00")</f>
        <v>+100.00</v>
      </c>
      <c r="C85" s="5" t="str">
        <f>IFERROR(__xludf.DUMMYFUNCTION("""COMPUTED_VALUE"""),"-14.51")</f>
        <v>-14.51</v>
      </c>
    </row>
    <row r="86">
      <c r="A86" s="5">
        <f>IFERROR(__xludf.DUMMYFUNCTION("""COMPUTED_VALUE"""),83.0)</f>
        <v>83</v>
      </c>
      <c r="B86" s="5" t="str">
        <f>IFERROR(__xludf.DUMMYFUNCTION("""COMPUTED_VALUE"""),"+100.00")</f>
        <v>+100.00</v>
      </c>
      <c r="C86" s="5" t="str">
        <f>IFERROR(__xludf.DUMMYFUNCTION("""COMPUTED_VALUE"""),"-12.94")</f>
        <v>-12.94</v>
      </c>
    </row>
    <row r="87">
      <c r="A87" s="5">
        <f>IFERROR(__xludf.DUMMYFUNCTION("""COMPUTED_VALUE"""),84.0)</f>
        <v>84</v>
      </c>
      <c r="B87" s="5" t="str">
        <f>IFERROR(__xludf.DUMMYFUNCTION("""COMPUTED_VALUE"""),"+100.00")</f>
        <v>+100.00</v>
      </c>
      <c r="C87" s="5" t="str">
        <f>IFERROR(__xludf.DUMMYFUNCTION("""COMPUTED_VALUE"""),"-11.37")</f>
        <v>-11.37</v>
      </c>
    </row>
    <row r="88">
      <c r="A88" s="5">
        <f>IFERROR(__xludf.DUMMYFUNCTION("""COMPUTED_VALUE"""),85.0)</f>
        <v>85</v>
      </c>
      <c r="B88" s="5" t="str">
        <f>IFERROR(__xludf.DUMMYFUNCTION("""COMPUTED_VALUE"""),"+100.00")</f>
        <v>+100.00</v>
      </c>
      <c r="C88" s="5" t="str">
        <f>IFERROR(__xludf.DUMMYFUNCTION("""COMPUTED_VALUE"""),"-9.02")</f>
        <v>-9.02</v>
      </c>
    </row>
    <row r="89">
      <c r="A89" s="5">
        <f>IFERROR(__xludf.DUMMYFUNCTION("""COMPUTED_VALUE"""),86.0)</f>
        <v>86</v>
      </c>
      <c r="B89" s="5" t="str">
        <f>IFERROR(__xludf.DUMMYFUNCTION("""COMPUTED_VALUE"""),"+100.00")</f>
        <v>+100.00</v>
      </c>
      <c r="C89" s="5" t="str">
        <f>IFERROR(__xludf.DUMMYFUNCTION("""COMPUTED_VALUE"""),"-7.45")</f>
        <v>-7.45</v>
      </c>
    </row>
    <row r="90">
      <c r="A90" s="5">
        <f>IFERROR(__xludf.DUMMYFUNCTION("""COMPUTED_VALUE"""),87.0)</f>
        <v>87</v>
      </c>
      <c r="B90" s="5" t="str">
        <f>IFERROR(__xludf.DUMMYFUNCTION("""COMPUTED_VALUE"""),"+100.00")</f>
        <v>+100.00</v>
      </c>
      <c r="C90" s="5" t="str">
        <f>IFERROR(__xludf.DUMMYFUNCTION("""COMPUTED_VALUE"""),"-5.88")</f>
        <v>-5.88</v>
      </c>
    </row>
    <row r="91">
      <c r="A91" s="5">
        <f>IFERROR(__xludf.DUMMYFUNCTION("""COMPUTED_VALUE"""),88.0)</f>
        <v>88</v>
      </c>
      <c r="B91" s="5" t="str">
        <f>IFERROR(__xludf.DUMMYFUNCTION("""COMPUTED_VALUE"""),"+100.00")</f>
        <v>+100.00</v>
      </c>
      <c r="C91" s="5" t="str">
        <f>IFERROR(__xludf.DUMMYFUNCTION("""COMPUTED_VALUE"""),"-3.53")</f>
        <v>-3.53</v>
      </c>
    </row>
    <row r="92">
      <c r="A92" s="5">
        <f>IFERROR(__xludf.DUMMYFUNCTION("""COMPUTED_VALUE"""),89.0)</f>
        <v>89</v>
      </c>
      <c r="B92" s="5" t="str">
        <f>IFERROR(__xludf.DUMMYFUNCTION("""COMPUTED_VALUE"""),"+100.00")</f>
        <v>+100.00</v>
      </c>
      <c r="C92" s="5" t="str">
        <f>IFERROR(__xludf.DUMMYFUNCTION("""COMPUTED_VALUE"""),"-1.96")</f>
        <v>-1.96</v>
      </c>
    </row>
    <row r="93">
      <c r="A93" s="5">
        <f>IFERROR(__xludf.DUMMYFUNCTION("""COMPUTED_VALUE"""),90.0)</f>
        <v>90</v>
      </c>
      <c r="B93" s="5" t="str">
        <f>IFERROR(__xludf.DUMMYFUNCTION("""COMPUTED_VALUE"""),"+100.00")</f>
        <v>+100.00</v>
      </c>
      <c r="C93" s="5" t="str">
        <f>IFERROR(__xludf.DUMMYFUNCTION("""COMPUTED_VALUE"""),"+0.39")</f>
        <v>+0.39</v>
      </c>
    </row>
    <row r="94">
      <c r="A94" s="5">
        <f>IFERROR(__xludf.DUMMYFUNCTION("""COMPUTED_VALUE"""),91.0)</f>
        <v>91</v>
      </c>
      <c r="B94" s="5" t="str">
        <f>IFERROR(__xludf.DUMMYFUNCTION("""COMPUTED_VALUE"""),"+100.00")</f>
        <v>+100.00</v>
      </c>
      <c r="C94" s="5" t="str">
        <f>IFERROR(__xludf.DUMMYFUNCTION("""COMPUTED_VALUE"""),"+2.75")</f>
        <v>+2.75</v>
      </c>
    </row>
    <row r="95">
      <c r="A95" s="5">
        <f>IFERROR(__xludf.DUMMYFUNCTION("""COMPUTED_VALUE"""),92.0)</f>
        <v>92</v>
      </c>
      <c r="B95" s="5" t="str">
        <f>IFERROR(__xludf.DUMMYFUNCTION("""COMPUTED_VALUE"""),"+100.00")</f>
        <v>+100.00</v>
      </c>
      <c r="C95" s="5" t="str">
        <f>IFERROR(__xludf.DUMMYFUNCTION("""COMPUTED_VALUE"""),"+5.10")</f>
        <v>+5.10</v>
      </c>
    </row>
    <row r="96">
      <c r="A96" s="5">
        <f>IFERROR(__xludf.DUMMYFUNCTION("""COMPUTED_VALUE"""),93.0)</f>
        <v>93</v>
      </c>
      <c r="B96" s="5" t="str">
        <f>IFERROR(__xludf.DUMMYFUNCTION("""COMPUTED_VALUE"""),"+100.00")</f>
        <v>+100.00</v>
      </c>
      <c r="C96" s="5" t="str">
        <f>IFERROR(__xludf.DUMMYFUNCTION("""COMPUTED_VALUE"""),"+6.67")</f>
        <v>+6.67</v>
      </c>
    </row>
    <row r="97">
      <c r="A97" s="5">
        <f>IFERROR(__xludf.DUMMYFUNCTION("""COMPUTED_VALUE"""),94.0)</f>
        <v>94</v>
      </c>
      <c r="B97" s="5" t="str">
        <f>IFERROR(__xludf.DUMMYFUNCTION("""COMPUTED_VALUE"""),"+100.00")</f>
        <v>+100.00</v>
      </c>
      <c r="C97" s="5" t="str">
        <f>IFERROR(__xludf.DUMMYFUNCTION("""COMPUTED_VALUE"""),"+8.24")</f>
        <v>+8.24</v>
      </c>
    </row>
    <row r="98">
      <c r="A98" s="5">
        <f>IFERROR(__xludf.DUMMYFUNCTION("""COMPUTED_VALUE"""),95.0)</f>
        <v>95</v>
      </c>
      <c r="B98" s="5" t="str">
        <f>IFERROR(__xludf.DUMMYFUNCTION("""COMPUTED_VALUE"""),"+100.00")</f>
        <v>+100.00</v>
      </c>
      <c r="C98" s="5" t="str">
        <f>IFERROR(__xludf.DUMMYFUNCTION("""COMPUTED_VALUE"""),"+10.59")</f>
        <v>+10.59</v>
      </c>
    </row>
    <row r="99">
      <c r="A99" s="5">
        <f>IFERROR(__xludf.DUMMYFUNCTION("""COMPUTED_VALUE"""),96.0)</f>
        <v>96</v>
      </c>
      <c r="B99" s="5" t="str">
        <f>IFERROR(__xludf.DUMMYFUNCTION("""COMPUTED_VALUE"""),"+100.00")</f>
        <v>+100.00</v>
      </c>
      <c r="C99" s="5" t="str">
        <f>IFERROR(__xludf.DUMMYFUNCTION("""COMPUTED_VALUE"""),"+12.16")</f>
        <v>+12.16</v>
      </c>
    </row>
    <row r="100">
      <c r="A100" s="5">
        <f>IFERROR(__xludf.DUMMYFUNCTION("""COMPUTED_VALUE"""),97.0)</f>
        <v>97</v>
      </c>
      <c r="B100" s="5" t="str">
        <f>IFERROR(__xludf.DUMMYFUNCTION("""COMPUTED_VALUE"""),"+100.00")</f>
        <v>+100.00</v>
      </c>
      <c r="C100" s="5" t="str">
        <f>IFERROR(__xludf.DUMMYFUNCTION("""COMPUTED_VALUE"""),"+13.73")</f>
        <v>+13.73</v>
      </c>
    </row>
    <row r="101">
      <c r="A101" s="5">
        <f>IFERROR(__xludf.DUMMYFUNCTION("""COMPUTED_VALUE"""),98.0)</f>
        <v>98</v>
      </c>
      <c r="B101" s="5" t="str">
        <f>IFERROR(__xludf.DUMMYFUNCTION("""COMPUTED_VALUE"""),"+100.00")</f>
        <v>+100.00</v>
      </c>
      <c r="C101" s="5" t="str">
        <f>IFERROR(__xludf.DUMMYFUNCTION("""COMPUTED_VALUE"""),"+15.29")</f>
        <v>+15.29</v>
      </c>
    </row>
    <row r="102">
      <c r="A102" s="5">
        <f>IFERROR(__xludf.DUMMYFUNCTION("""COMPUTED_VALUE"""),99.0)</f>
        <v>99</v>
      </c>
      <c r="B102" s="5" t="str">
        <f>IFERROR(__xludf.DUMMYFUNCTION("""COMPUTED_VALUE"""),"+100.00")</f>
        <v>+100.00</v>
      </c>
      <c r="C102" s="5" t="str">
        <f>IFERROR(__xludf.DUMMYFUNCTION("""COMPUTED_VALUE"""),"+17.65")</f>
        <v>+17.65</v>
      </c>
    </row>
    <row r="103">
      <c r="A103" s="5">
        <f>IFERROR(__xludf.DUMMYFUNCTION("""COMPUTED_VALUE"""),100.0)</f>
        <v>100</v>
      </c>
      <c r="B103" s="5" t="str">
        <f>IFERROR(__xludf.DUMMYFUNCTION("""COMPUTED_VALUE"""),"+100.00")</f>
        <v>+100.00</v>
      </c>
      <c r="C103" s="5" t="str">
        <f>IFERROR(__xludf.DUMMYFUNCTION("""COMPUTED_VALUE"""),"+19.22")</f>
        <v>+19.22</v>
      </c>
    </row>
    <row r="104">
      <c r="A104" s="5">
        <f>IFERROR(__xludf.DUMMYFUNCTION("""COMPUTED_VALUE"""),101.0)</f>
        <v>101</v>
      </c>
      <c r="B104" s="5" t="str">
        <f>IFERROR(__xludf.DUMMYFUNCTION("""COMPUTED_VALUE"""),"+100.00")</f>
        <v>+100.00</v>
      </c>
      <c r="C104" s="5" t="str">
        <f>IFERROR(__xludf.DUMMYFUNCTION("""COMPUTED_VALUE"""),"+20.78")</f>
        <v>+20.78</v>
      </c>
    </row>
    <row r="105">
      <c r="A105" s="5">
        <f>IFERROR(__xludf.DUMMYFUNCTION("""COMPUTED_VALUE"""),102.0)</f>
        <v>102</v>
      </c>
      <c r="B105" s="5" t="str">
        <f>IFERROR(__xludf.DUMMYFUNCTION("""COMPUTED_VALUE"""),"+100.00")</f>
        <v>+100.00</v>
      </c>
      <c r="C105" s="5" t="str">
        <f>IFERROR(__xludf.DUMMYFUNCTION("""COMPUTED_VALUE"""),"+22.35")</f>
        <v>+22.35</v>
      </c>
    </row>
    <row r="106">
      <c r="A106" s="5">
        <f>IFERROR(__xludf.DUMMYFUNCTION("""COMPUTED_VALUE"""),103.0)</f>
        <v>103</v>
      </c>
      <c r="B106" s="5" t="str">
        <f>IFERROR(__xludf.DUMMYFUNCTION("""COMPUTED_VALUE"""),"+100.00")</f>
        <v>+100.00</v>
      </c>
      <c r="C106" s="5" t="str">
        <f>IFERROR(__xludf.DUMMYFUNCTION("""COMPUTED_VALUE"""),"+23.14")</f>
        <v>+23.14</v>
      </c>
    </row>
    <row r="107">
      <c r="A107" s="5">
        <f>IFERROR(__xludf.DUMMYFUNCTION("""COMPUTED_VALUE"""),104.0)</f>
        <v>104</v>
      </c>
      <c r="B107" s="5" t="str">
        <f>IFERROR(__xludf.DUMMYFUNCTION("""COMPUTED_VALUE"""),"+100.00")</f>
        <v>+100.00</v>
      </c>
      <c r="C107" s="5" t="str">
        <f>IFERROR(__xludf.DUMMYFUNCTION("""COMPUTED_VALUE"""),"+26.28")</f>
        <v>+26.28</v>
      </c>
    </row>
    <row r="108">
      <c r="A108" s="5">
        <f>IFERROR(__xludf.DUMMYFUNCTION("""COMPUTED_VALUE"""),105.0)</f>
        <v>105</v>
      </c>
      <c r="B108" s="5" t="str">
        <f>IFERROR(__xludf.DUMMYFUNCTION("""COMPUTED_VALUE"""),"+100.00")</f>
        <v>+100.00</v>
      </c>
      <c r="C108" s="5" t="str">
        <f>IFERROR(__xludf.DUMMYFUNCTION("""COMPUTED_VALUE"""),"+27.84")</f>
        <v>+27.84</v>
      </c>
    </row>
    <row r="109">
      <c r="A109" s="5">
        <f>IFERROR(__xludf.DUMMYFUNCTION("""COMPUTED_VALUE"""),106.0)</f>
        <v>106</v>
      </c>
      <c r="B109" s="5" t="str">
        <f>IFERROR(__xludf.DUMMYFUNCTION("""COMPUTED_VALUE"""),"+100.00")</f>
        <v>+100.00</v>
      </c>
      <c r="C109" s="5" t="str">
        <f>IFERROR(__xludf.DUMMYFUNCTION("""COMPUTED_VALUE"""),"+29.41")</f>
        <v>+29.41</v>
      </c>
    </row>
    <row r="110">
      <c r="A110" s="5">
        <f>IFERROR(__xludf.DUMMYFUNCTION("""COMPUTED_VALUE"""),107.0)</f>
        <v>107</v>
      </c>
      <c r="B110" s="5" t="str">
        <f>IFERROR(__xludf.DUMMYFUNCTION("""COMPUTED_VALUE"""),"+100.00")</f>
        <v>+100.00</v>
      </c>
      <c r="C110" s="5" t="str">
        <f>IFERROR(__xludf.DUMMYFUNCTION("""COMPUTED_VALUE"""),"+31.77")</f>
        <v>+31.77</v>
      </c>
    </row>
    <row r="111">
      <c r="A111" s="5">
        <f>IFERROR(__xludf.DUMMYFUNCTION("""COMPUTED_VALUE"""),108.0)</f>
        <v>108</v>
      </c>
      <c r="B111" s="5" t="str">
        <f>IFERROR(__xludf.DUMMYFUNCTION("""COMPUTED_VALUE"""),"+99.22")</f>
        <v>+99.22</v>
      </c>
      <c r="C111" s="5" t="str">
        <f>IFERROR(__xludf.DUMMYFUNCTION("""COMPUTED_VALUE"""),"+33.33")</f>
        <v>+33.33</v>
      </c>
    </row>
    <row r="112">
      <c r="A112" s="5">
        <f>IFERROR(__xludf.DUMMYFUNCTION("""COMPUTED_VALUE"""),109.0)</f>
        <v>109</v>
      </c>
      <c r="B112" s="5" t="str">
        <f>IFERROR(__xludf.DUMMYFUNCTION("""COMPUTED_VALUE"""),"+99.22")</f>
        <v>+99.22</v>
      </c>
      <c r="C112" s="5" t="str">
        <f>IFERROR(__xludf.DUMMYFUNCTION("""COMPUTED_VALUE"""),"+34.90")</f>
        <v>+34.90</v>
      </c>
    </row>
    <row r="113">
      <c r="A113" s="5">
        <f>IFERROR(__xludf.DUMMYFUNCTION("""COMPUTED_VALUE"""),110.0)</f>
        <v>110</v>
      </c>
      <c r="B113" s="5" t="str">
        <f>IFERROR(__xludf.DUMMYFUNCTION("""COMPUTED_VALUE"""),"+99.22")</f>
        <v>+99.22</v>
      </c>
      <c r="C113" s="5" t="str">
        <f>IFERROR(__xludf.DUMMYFUNCTION("""COMPUTED_VALUE"""),"+36.47")</f>
        <v>+36.47</v>
      </c>
    </row>
    <row r="114">
      <c r="A114" s="5">
        <f>IFERROR(__xludf.DUMMYFUNCTION("""COMPUTED_VALUE"""),111.0)</f>
        <v>111</v>
      </c>
      <c r="B114" s="5" t="str">
        <f>IFERROR(__xludf.DUMMYFUNCTION("""COMPUTED_VALUE"""),"+99.22")</f>
        <v>+99.22</v>
      </c>
      <c r="C114" s="5" t="str">
        <f>IFERROR(__xludf.DUMMYFUNCTION("""COMPUTED_VALUE"""),"+38.82")</f>
        <v>+38.82</v>
      </c>
    </row>
    <row r="115">
      <c r="A115" s="5">
        <f>IFERROR(__xludf.DUMMYFUNCTION("""COMPUTED_VALUE"""),112.0)</f>
        <v>112</v>
      </c>
      <c r="B115" s="5" t="str">
        <f>IFERROR(__xludf.DUMMYFUNCTION("""COMPUTED_VALUE"""),"+99.22")</f>
        <v>+99.22</v>
      </c>
      <c r="C115" s="5" t="str">
        <f>IFERROR(__xludf.DUMMYFUNCTION("""COMPUTED_VALUE"""),"+40.39")</f>
        <v>+40.39</v>
      </c>
    </row>
    <row r="116">
      <c r="A116" s="5">
        <f>IFERROR(__xludf.DUMMYFUNCTION("""COMPUTED_VALUE"""),113.0)</f>
        <v>113</v>
      </c>
      <c r="B116" s="5" t="str">
        <f>IFERROR(__xludf.DUMMYFUNCTION("""COMPUTED_VALUE"""),"+98.43")</f>
        <v>+98.43</v>
      </c>
      <c r="C116" s="5" t="str">
        <f>IFERROR(__xludf.DUMMYFUNCTION("""COMPUTED_VALUE"""),"+41.96")</f>
        <v>+41.96</v>
      </c>
    </row>
    <row r="117">
      <c r="A117" s="5">
        <f>IFERROR(__xludf.DUMMYFUNCTION("""COMPUTED_VALUE"""),114.0)</f>
        <v>114</v>
      </c>
      <c r="B117" s="5" t="str">
        <f>IFERROR(__xludf.DUMMYFUNCTION("""COMPUTED_VALUE"""),"+97.65")</f>
        <v>+97.65</v>
      </c>
      <c r="C117" s="5" t="str">
        <f>IFERROR(__xludf.DUMMYFUNCTION("""COMPUTED_VALUE"""),"+44.31")</f>
        <v>+44.31</v>
      </c>
    </row>
    <row r="118">
      <c r="A118" s="5">
        <f>IFERROR(__xludf.DUMMYFUNCTION("""COMPUTED_VALUE"""),115.0)</f>
        <v>115</v>
      </c>
      <c r="B118" s="5" t="str">
        <f>IFERROR(__xludf.DUMMYFUNCTION("""COMPUTED_VALUE"""),"+97.65")</f>
        <v>+97.65</v>
      </c>
      <c r="C118" s="5" t="str">
        <f>IFERROR(__xludf.DUMMYFUNCTION("""COMPUTED_VALUE"""),"+45.88")</f>
        <v>+45.88</v>
      </c>
    </row>
    <row r="119">
      <c r="A119" s="5">
        <f>IFERROR(__xludf.DUMMYFUNCTION("""COMPUTED_VALUE"""),116.0)</f>
        <v>116</v>
      </c>
      <c r="B119" s="5" t="str">
        <f>IFERROR(__xludf.DUMMYFUNCTION("""COMPUTED_VALUE"""),"+96.86")</f>
        <v>+96.86</v>
      </c>
      <c r="C119" s="5" t="str">
        <f>IFERROR(__xludf.DUMMYFUNCTION("""COMPUTED_VALUE"""),"+47.45")</f>
        <v>+47.45</v>
      </c>
    </row>
    <row r="120">
      <c r="A120" s="5">
        <f>IFERROR(__xludf.DUMMYFUNCTION("""COMPUTED_VALUE"""),117.0)</f>
        <v>117</v>
      </c>
      <c r="B120" s="5" t="str">
        <f>IFERROR(__xludf.DUMMYFUNCTION("""COMPUTED_VALUE"""),"+96.86")</f>
        <v>+96.86</v>
      </c>
      <c r="C120" s="5" t="str">
        <f>IFERROR(__xludf.DUMMYFUNCTION("""COMPUTED_VALUE"""),"+49.02")</f>
        <v>+49.02</v>
      </c>
    </row>
    <row r="121">
      <c r="A121" s="5">
        <f>IFERROR(__xludf.DUMMYFUNCTION("""COMPUTED_VALUE"""),118.0)</f>
        <v>118</v>
      </c>
      <c r="B121" s="5" t="str">
        <f>IFERROR(__xludf.DUMMYFUNCTION("""COMPUTED_VALUE"""),"+95.30")</f>
        <v>+95.30</v>
      </c>
      <c r="C121" s="5" t="str">
        <f>IFERROR(__xludf.DUMMYFUNCTION("""COMPUTED_VALUE"""),"+50.59")</f>
        <v>+50.59</v>
      </c>
    </row>
    <row r="122">
      <c r="A122" s="5">
        <f>IFERROR(__xludf.DUMMYFUNCTION("""COMPUTED_VALUE"""),119.0)</f>
        <v>119</v>
      </c>
      <c r="B122" s="5" t="str">
        <f>IFERROR(__xludf.DUMMYFUNCTION("""COMPUTED_VALUE"""),"+93.73")</f>
        <v>+93.73</v>
      </c>
      <c r="C122" s="5" t="str">
        <f>IFERROR(__xludf.DUMMYFUNCTION("""COMPUTED_VALUE"""),"+51.37")</f>
        <v>+51.37</v>
      </c>
    </row>
    <row r="123">
      <c r="A123" s="5">
        <f>IFERROR(__xludf.DUMMYFUNCTION("""COMPUTED_VALUE"""),120.0)</f>
        <v>120</v>
      </c>
      <c r="B123" s="5" t="str">
        <f>IFERROR(__xludf.DUMMYFUNCTION("""COMPUTED_VALUE"""),"+93.73")</f>
        <v>+93.73</v>
      </c>
      <c r="C123" s="5" t="str">
        <f>IFERROR(__xludf.DUMMYFUNCTION("""COMPUTED_VALUE"""),"+53.73")</f>
        <v>+53.73</v>
      </c>
    </row>
    <row r="124">
      <c r="A124" s="5">
        <f>IFERROR(__xludf.DUMMYFUNCTION("""COMPUTED_VALUE"""),121.0)</f>
        <v>121</v>
      </c>
      <c r="B124" s="5" t="str">
        <f>IFERROR(__xludf.DUMMYFUNCTION("""COMPUTED_VALUE"""),"+92.94")</f>
        <v>+92.94</v>
      </c>
      <c r="C124" s="5" t="str">
        <f>IFERROR(__xludf.DUMMYFUNCTION("""COMPUTED_VALUE"""),"+56.08")</f>
        <v>+56.08</v>
      </c>
    </row>
    <row r="125">
      <c r="A125" s="5">
        <f>IFERROR(__xludf.DUMMYFUNCTION("""COMPUTED_VALUE"""),122.0)</f>
        <v>122</v>
      </c>
      <c r="B125" s="5" t="str">
        <f>IFERROR(__xludf.DUMMYFUNCTION("""COMPUTED_VALUE"""),"+91.37")</f>
        <v>+91.37</v>
      </c>
      <c r="C125" s="5" t="str">
        <f>IFERROR(__xludf.DUMMYFUNCTION("""COMPUTED_VALUE"""),"+57.65")</f>
        <v>+57.65</v>
      </c>
    </row>
    <row r="126">
      <c r="A126" s="5">
        <f>IFERROR(__xludf.DUMMYFUNCTION("""COMPUTED_VALUE"""),123.0)</f>
        <v>123</v>
      </c>
      <c r="B126" s="5" t="str">
        <f>IFERROR(__xludf.DUMMYFUNCTION("""COMPUTED_VALUE"""),"+90.59")</f>
        <v>+90.59</v>
      </c>
      <c r="C126" s="5" t="str">
        <f>IFERROR(__xludf.DUMMYFUNCTION("""COMPUTED_VALUE"""),"+59.22")</f>
        <v>+59.22</v>
      </c>
    </row>
    <row r="127">
      <c r="A127" s="5">
        <f>IFERROR(__xludf.DUMMYFUNCTION("""COMPUTED_VALUE"""),124.0)</f>
        <v>124</v>
      </c>
      <c r="B127" s="5" t="str">
        <f>IFERROR(__xludf.DUMMYFUNCTION("""COMPUTED_VALUE"""),"+89.80")</f>
        <v>+89.80</v>
      </c>
      <c r="C127" s="5" t="str">
        <f>IFERROR(__xludf.DUMMYFUNCTION("""COMPUTED_VALUE"""),"+60.79")</f>
        <v>+60.79</v>
      </c>
    </row>
    <row r="128">
      <c r="A128" s="5">
        <f>IFERROR(__xludf.DUMMYFUNCTION("""COMPUTED_VALUE"""),125.0)</f>
        <v>125</v>
      </c>
      <c r="B128" s="5" t="str">
        <f>IFERROR(__xludf.DUMMYFUNCTION("""COMPUTED_VALUE"""),"+89.80")</f>
        <v>+89.80</v>
      </c>
      <c r="C128" s="5" t="str">
        <f>IFERROR(__xludf.DUMMYFUNCTION("""COMPUTED_VALUE"""),"+63.14")</f>
        <v>+63.14</v>
      </c>
    </row>
    <row r="129">
      <c r="A129" s="5">
        <f>IFERROR(__xludf.DUMMYFUNCTION("""COMPUTED_VALUE"""),126.0)</f>
        <v>126</v>
      </c>
      <c r="B129" s="5" t="str">
        <f>IFERROR(__xludf.DUMMYFUNCTION("""COMPUTED_VALUE"""),"+89.02")</f>
        <v>+89.02</v>
      </c>
      <c r="C129" s="5" t="str">
        <f>IFERROR(__xludf.DUMMYFUNCTION("""COMPUTED_VALUE"""),"+65.49")</f>
        <v>+65.49</v>
      </c>
    </row>
    <row r="130">
      <c r="A130" s="5">
        <f>IFERROR(__xludf.DUMMYFUNCTION("""COMPUTED_VALUE"""),127.0)</f>
        <v>127</v>
      </c>
      <c r="B130" s="5" t="str">
        <f>IFERROR(__xludf.DUMMYFUNCTION("""COMPUTED_VALUE"""),"+87.45")</f>
        <v>+87.45</v>
      </c>
      <c r="C130" s="5" t="str">
        <f>IFERROR(__xludf.DUMMYFUNCTION("""COMPUTED_VALUE"""),"+66.28")</f>
        <v>+66.28</v>
      </c>
    </row>
    <row r="131">
      <c r="A131" s="5">
        <f>IFERROR(__xludf.DUMMYFUNCTION("""COMPUTED_VALUE"""),128.0)</f>
        <v>128</v>
      </c>
      <c r="B131" s="5" t="str">
        <f>IFERROR(__xludf.DUMMYFUNCTION("""COMPUTED_VALUE"""),"+87.45")</f>
        <v>+87.45</v>
      </c>
      <c r="C131" s="5" t="str">
        <f>IFERROR(__xludf.DUMMYFUNCTION("""COMPUTED_VALUE"""),"+67.06")</f>
        <v>+67.06</v>
      </c>
    </row>
    <row r="132">
      <c r="A132" s="5">
        <f>IFERROR(__xludf.DUMMYFUNCTION("""COMPUTED_VALUE"""),129.0)</f>
        <v>129</v>
      </c>
      <c r="B132" s="5" t="str">
        <f>IFERROR(__xludf.DUMMYFUNCTION("""COMPUTED_VALUE"""),"+84.31")</f>
        <v>+84.31</v>
      </c>
      <c r="C132" s="5" t="str">
        <f>IFERROR(__xludf.DUMMYFUNCTION("""COMPUTED_VALUE"""),"+68.63")</f>
        <v>+68.63</v>
      </c>
    </row>
    <row r="133">
      <c r="A133" s="5">
        <f>IFERROR(__xludf.DUMMYFUNCTION("""COMPUTED_VALUE"""),130.0)</f>
        <v>130</v>
      </c>
      <c r="B133" s="5" t="str">
        <f>IFERROR(__xludf.DUMMYFUNCTION("""COMPUTED_VALUE"""),"+84.31")</f>
        <v>+84.31</v>
      </c>
      <c r="C133" s="5" t="str">
        <f>IFERROR(__xludf.DUMMYFUNCTION("""COMPUTED_VALUE"""),"+71.77")</f>
        <v>+71.77</v>
      </c>
    </row>
    <row r="134">
      <c r="A134" s="5">
        <f>IFERROR(__xludf.DUMMYFUNCTION("""COMPUTED_VALUE"""),131.0)</f>
        <v>131</v>
      </c>
      <c r="B134" s="5" t="str">
        <f>IFERROR(__xludf.DUMMYFUNCTION("""COMPUTED_VALUE"""),"+83.53")</f>
        <v>+83.53</v>
      </c>
      <c r="C134" s="5" t="str">
        <f>IFERROR(__xludf.DUMMYFUNCTION("""COMPUTED_VALUE"""),"+73.33")</f>
        <v>+73.33</v>
      </c>
    </row>
    <row r="135">
      <c r="A135" s="5">
        <f>IFERROR(__xludf.DUMMYFUNCTION("""COMPUTED_VALUE"""),132.0)</f>
        <v>132</v>
      </c>
      <c r="B135" s="5" t="str">
        <f>IFERROR(__xludf.DUMMYFUNCTION("""COMPUTED_VALUE"""),"+81.96")</f>
        <v>+81.96</v>
      </c>
      <c r="C135" s="5" t="str">
        <f>IFERROR(__xludf.DUMMYFUNCTION("""COMPUTED_VALUE"""),"+74.90")</f>
        <v>+74.90</v>
      </c>
    </row>
    <row r="136">
      <c r="A136" s="5">
        <f>IFERROR(__xludf.DUMMYFUNCTION("""COMPUTED_VALUE"""),133.0)</f>
        <v>133</v>
      </c>
      <c r="B136" s="5" t="str">
        <f>IFERROR(__xludf.DUMMYFUNCTION("""COMPUTED_VALUE"""),"+80.39")</f>
        <v>+80.39</v>
      </c>
      <c r="C136" s="5" t="str">
        <f>IFERROR(__xludf.DUMMYFUNCTION("""COMPUTED_VALUE"""),"+75.69")</f>
        <v>+75.69</v>
      </c>
    </row>
    <row r="137">
      <c r="A137" s="5">
        <f>IFERROR(__xludf.DUMMYFUNCTION("""COMPUTED_VALUE"""),134.0)</f>
        <v>134</v>
      </c>
      <c r="B137" s="5" t="str">
        <f>IFERROR(__xludf.DUMMYFUNCTION("""COMPUTED_VALUE"""),"+79.61")</f>
        <v>+79.61</v>
      </c>
      <c r="C137" s="5" t="str">
        <f>IFERROR(__xludf.DUMMYFUNCTION("""COMPUTED_VALUE"""),"+78.04")</f>
        <v>+78.04</v>
      </c>
    </row>
    <row r="138">
      <c r="A138" s="5">
        <f>IFERROR(__xludf.DUMMYFUNCTION("""COMPUTED_VALUE"""),135.0)</f>
        <v>135</v>
      </c>
      <c r="B138" s="5" t="str">
        <f>IFERROR(__xludf.DUMMYFUNCTION("""COMPUTED_VALUE"""),"+78.82")</f>
        <v>+78.82</v>
      </c>
      <c r="C138" s="5" t="str">
        <f>IFERROR(__xludf.DUMMYFUNCTION("""COMPUTED_VALUE"""),"+79.61")</f>
        <v>+79.61</v>
      </c>
    </row>
    <row r="139">
      <c r="A139" s="5">
        <f>IFERROR(__xludf.DUMMYFUNCTION("""COMPUTED_VALUE"""),136.0)</f>
        <v>136</v>
      </c>
      <c r="B139" s="5" t="str">
        <f>IFERROR(__xludf.DUMMYFUNCTION("""COMPUTED_VALUE"""),"+76.47")</f>
        <v>+76.47</v>
      </c>
      <c r="C139" s="5" t="str">
        <f>IFERROR(__xludf.DUMMYFUNCTION("""COMPUTED_VALUE"""),"+80.39")</f>
        <v>+80.39</v>
      </c>
    </row>
    <row r="140">
      <c r="A140" s="5">
        <f>IFERROR(__xludf.DUMMYFUNCTION("""COMPUTED_VALUE"""),137.0)</f>
        <v>137</v>
      </c>
      <c r="B140" s="5" t="str">
        <f>IFERROR(__xludf.DUMMYFUNCTION("""COMPUTED_VALUE"""),"+74.90")</f>
        <v>+74.90</v>
      </c>
      <c r="C140" s="5" t="str">
        <f>IFERROR(__xludf.DUMMYFUNCTION("""COMPUTED_VALUE"""),"+81.18")</f>
        <v>+81.18</v>
      </c>
    </row>
    <row r="141">
      <c r="A141" s="5">
        <f>IFERROR(__xludf.DUMMYFUNCTION("""COMPUTED_VALUE"""),138.0)</f>
        <v>138</v>
      </c>
      <c r="B141" s="5" t="str">
        <f>IFERROR(__xludf.DUMMYFUNCTION("""COMPUTED_VALUE"""),"+74.12")</f>
        <v>+74.12</v>
      </c>
      <c r="C141" s="5" t="str">
        <f>IFERROR(__xludf.DUMMYFUNCTION("""COMPUTED_VALUE"""),"+83.53")</f>
        <v>+83.53</v>
      </c>
    </row>
    <row r="142">
      <c r="A142" s="5">
        <f>IFERROR(__xludf.DUMMYFUNCTION("""COMPUTED_VALUE"""),139.0)</f>
        <v>139</v>
      </c>
      <c r="B142" s="5" t="str">
        <f>IFERROR(__xludf.DUMMYFUNCTION("""COMPUTED_VALUE"""),"+72.55")</f>
        <v>+72.55</v>
      </c>
      <c r="C142" s="5" t="str">
        <f>IFERROR(__xludf.DUMMYFUNCTION("""COMPUTED_VALUE"""),"+83.53")</f>
        <v>+83.53</v>
      </c>
    </row>
    <row r="143">
      <c r="A143" s="5">
        <f>IFERROR(__xludf.DUMMYFUNCTION("""COMPUTED_VALUE"""),140.0)</f>
        <v>140</v>
      </c>
      <c r="B143" s="5" t="str">
        <f>IFERROR(__xludf.DUMMYFUNCTION("""COMPUTED_VALUE"""),"+70.20")</f>
        <v>+70.20</v>
      </c>
      <c r="C143" s="5" t="str">
        <f>IFERROR(__xludf.DUMMYFUNCTION("""COMPUTED_VALUE"""),"+85.10")</f>
        <v>+85.10</v>
      </c>
    </row>
    <row r="144">
      <c r="A144" s="5">
        <f>IFERROR(__xludf.DUMMYFUNCTION("""COMPUTED_VALUE"""),141.0)</f>
        <v>141</v>
      </c>
      <c r="B144" s="5" t="str">
        <f>IFERROR(__xludf.DUMMYFUNCTION("""COMPUTED_VALUE"""),"+69.41")</f>
        <v>+69.41</v>
      </c>
      <c r="C144" s="5" t="str">
        <f>IFERROR(__xludf.DUMMYFUNCTION("""COMPUTED_VALUE"""),"+85.88")</f>
        <v>+85.88</v>
      </c>
    </row>
    <row r="145">
      <c r="A145" s="5">
        <f>IFERROR(__xludf.DUMMYFUNCTION("""COMPUTED_VALUE"""),142.0)</f>
        <v>142</v>
      </c>
      <c r="B145" s="5" t="str">
        <f>IFERROR(__xludf.DUMMYFUNCTION("""COMPUTED_VALUE"""),"+67.06")</f>
        <v>+67.06</v>
      </c>
      <c r="C145" s="5" t="str">
        <f>IFERROR(__xludf.DUMMYFUNCTION("""COMPUTED_VALUE"""),"+87.45")</f>
        <v>+87.45</v>
      </c>
    </row>
    <row r="146">
      <c r="A146" s="5">
        <f>IFERROR(__xludf.DUMMYFUNCTION("""COMPUTED_VALUE"""),143.0)</f>
        <v>143</v>
      </c>
      <c r="B146" s="5" t="str">
        <f>IFERROR(__xludf.DUMMYFUNCTION("""COMPUTED_VALUE"""),"+65.49")</f>
        <v>+65.49</v>
      </c>
      <c r="C146" s="5" t="str">
        <f>IFERROR(__xludf.DUMMYFUNCTION("""COMPUTED_VALUE"""),"+88.24")</f>
        <v>+88.24</v>
      </c>
    </row>
    <row r="147">
      <c r="A147" s="5">
        <f>IFERROR(__xludf.DUMMYFUNCTION("""COMPUTED_VALUE"""),144.0)</f>
        <v>144</v>
      </c>
      <c r="B147" s="5" t="str">
        <f>IFERROR(__xludf.DUMMYFUNCTION("""COMPUTED_VALUE"""),"+64.71")</f>
        <v>+64.71</v>
      </c>
      <c r="C147" s="5" t="str">
        <f>IFERROR(__xludf.DUMMYFUNCTION("""COMPUTED_VALUE"""),"+89.80")</f>
        <v>+89.80</v>
      </c>
    </row>
    <row r="148">
      <c r="A148" s="5">
        <f>IFERROR(__xludf.DUMMYFUNCTION("""COMPUTED_VALUE"""),145.0)</f>
        <v>145</v>
      </c>
      <c r="B148" s="5" t="str">
        <f>IFERROR(__xludf.DUMMYFUNCTION("""COMPUTED_VALUE"""),"+63.14")</f>
        <v>+63.14</v>
      </c>
      <c r="C148" s="5" t="str">
        <f>IFERROR(__xludf.DUMMYFUNCTION("""COMPUTED_VALUE"""),"+90.59")</f>
        <v>+90.59</v>
      </c>
    </row>
    <row r="149">
      <c r="A149" s="5">
        <f>IFERROR(__xludf.DUMMYFUNCTION("""COMPUTED_VALUE"""),146.0)</f>
        <v>146</v>
      </c>
      <c r="B149" s="5" t="str">
        <f>IFERROR(__xludf.DUMMYFUNCTION("""COMPUTED_VALUE"""),"+61.57")</f>
        <v>+61.57</v>
      </c>
      <c r="C149" s="5" t="str">
        <f>IFERROR(__xludf.DUMMYFUNCTION("""COMPUTED_VALUE"""),"+92.16")</f>
        <v>+92.16</v>
      </c>
    </row>
    <row r="150">
      <c r="A150" s="5">
        <f>IFERROR(__xludf.DUMMYFUNCTION("""COMPUTED_VALUE"""),147.0)</f>
        <v>147</v>
      </c>
      <c r="B150" s="5" t="str">
        <f>IFERROR(__xludf.DUMMYFUNCTION("""COMPUTED_VALUE"""),"+60.00")</f>
        <v>+60.00</v>
      </c>
      <c r="C150" s="5" t="str">
        <f>IFERROR(__xludf.DUMMYFUNCTION("""COMPUTED_VALUE"""),"+93.73")</f>
        <v>+93.73</v>
      </c>
    </row>
    <row r="151">
      <c r="A151" s="5">
        <f>IFERROR(__xludf.DUMMYFUNCTION("""COMPUTED_VALUE"""),148.0)</f>
        <v>148</v>
      </c>
      <c r="B151" s="5" t="str">
        <f>IFERROR(__xludf.DUMMYFUNCTION("""COMPUTED_VALUE"""),"+57.65")</f>
        <v>+57.65</v>
      </c>
      <c r="C151" s="5" t="str">
        <f>IFERROR(__xludf.DUMMYFUNCTION("""COMPUTED_VALUE"""),"+94.51")</f>
        <v>+94.51</v>
      </c>
    </row>
    <row r="152">
      <c r="A152" s="5">
        <f>IFERROR(__xludf.DUMMYFUNCTION("""COMPUTED_VALUE"""),149.0)</f>
        <v>149</v>
      </c>
      <c r="B152" s="5" t="str">
        <f>IFERROR(__xludf.DUMMYFUNCTION("""COMPUTED_VALUE"""),"+57.65")</f>
        <v>+57.65</v>
      </c>
      <c r="C152" s="5" t="str">
        <f>IFERROR(__xludf.DUMMYFUNCTION("""COMPUTED_VALUE"""),"+95.30")</f>
        <v>+95.30</v>
      </c>
    </row>
    <row r="153">
      <c r="A153" s="5">
        <f>IFERROR(__xludf.DUMMYFUNCTION("""COMPUTED_VALUE"""),150.0)</f>
        <v>150</v>
      </c>
      <c r="B153" s="5" t="str">
        <f>IFERROR(__xludf.DUMMYFUNCTION("""COMPUTED_VALUE"""),"+54.51")</f>
        <v>+54.51</v>
      </c>
      <c r="C153" s="5" t="str">
        <f>IFERROR(__xludf.DUMMYFUNCTION("""COMPUTED_VALUE"""),"+96.08")</f>
        <v>+96.08</v>
      </c>
    </row>
    <row r="154">
      <c r="A154" s="5">
        <f>IFERROR(__xludf.DUMMYFUNCTION("""COMPUTED_VALUE"""),151.0)</f>
        <v>151</v>
      </c>
      <c r="B154" s="5" t="str">
        <f>IFERROR(__xludf.DUMMYFUNCTION("""COMPUTED_VALUE"""),"+52.94")</f>
        <v>+52.94</v>
      </c>
      <c r="C154" s="5" t="str">
        <f>IFERROR(__xludf.DUMMYFUNCTION("""COMPUTED_VALUE"""),"+96.86")</f>
        <v>+96.86</v>
      </c>
    </row>
    <row r="155">
      <c r="A155" s="5">
        <f>IFERROR(__xludf.DUMMYFUNCTION("""COMPUTED_VALUE"""),152.0)</f>
        <v>152</v>
      </c>
      <c r="B155" s="5" t="str">
        <f>IFERROR(__xludf.DUMMYFUNCTION("""COMPUTED_VALUE"""),"+51.37")</f>
        <v>+51.37</v>
      </c>
      <c r="C155" s="5" t="str">
        <f>IFERROR(__xludf.DUMMYFUNCTION("""COMPUTED_VALUE"""),"+98.43")</f>
        <v>+98.43</v>
      </c>
    </row>
    <row r="156">
      <c r="A156" s="5">
        <f>IFERROR(__xludf.DUMMYFUNCTION("""COMPUTED_VALUE"""),153.0)</f>
        <v>153</v>
      </c>
      <c r="B156" s="5" t="str">
        <f>IFERROR(__xludf.DUMMYFUNCTION("""COMPUTED_VALUE"""),"+49.80")</f>
        <v>+49.80</v>
      </c>
      <c r="C156" s="5" t="str">
        <f>IFERROR(__xludf.DUMMYFUNCTION("""COMPUTED_VALUE"""),"+99.22")</f>
        <v>+99.22</v>
      </c>
    </row>
    <row r="157">
      <c r="A157" s="5">
        <f>IFERROR(__xludf.DUMMYFUNCTION("""COMPUTED_VALUE"""),154.0)</f>
        <v>154</v>
      </c>
      <c r="B157" s="5" t="str">
        <f>IFERROR(__xludf.DUMMYFUNCTION("""COMPUTED_VALUE"""),"+47.45")</f>
        <v>+47.45</v>
      </c>
      <c r="C157" s="5" t="str">
        <f>IFERROR(__xludf.DUMMYFUNCTION("""COMPUTED_VALUE"""),"+99.22")</f>
        <v>+99.22</v>
      </c>
    </row>
    <row r="158">
      <c r="A158" s="5">
        <f>IFERROR(__xludf.DUMMYFUNCTION("""COMPUTED_VALUE"""),155.0)</f>
        <v>155</v>
      </c>
      <c r="B158" s="5" t="str">
        <f>IFERROR(__xludf.DUMMYFUNCTION("""COMPUTED_VALUE"""),"+46.67")</f>
        <v>+46.67</v>
      </c>
      <c r="C158" s="5" t="str">
        <f>IFERROR(__xludf.DUMMYFUNCTION("""COMPUTED_VALUE"""),"+100.00")</f>
        <v>+100.00</v>
      </c>
    </row>
    <row r="159">
      <c r="A159" s="5">
        <f>IFERROR(__xludf.DUMMYFUNCTION("""COMPUTED_VALUE"""),156.0)</f>
        <v>156</v>
      </c>
      <c r="B159" s="5" t="str">
        <f>IFERROR(__xludf.DUMMYFUNCTION("""COMPUTED_VALUE"""),"+43.53")</f>
        <v>+43.53</v>
      </c>
      <c r="C159" s="5" t="str">
        <f>IFERROR(__xludf.DUMMYFUNCTION("""COMPUTED_VALUE"""),"+100.00")</f>
        <v>+100.00</v>
      </c>
    </row>
    <row r="160">
      <c r="A160" s="5">
        <f>IFERROR(__xludf.DUMMYFUNCTION("""COMPUTED_VALUE"""),157.0)</f>
        <v>157</v>
      </c>
      <c r="B160" s="5" t="str">
        <f>IFERROR(__xludf.DUMMYFUNCTION("""COMPUTED_VALUE"""),"+41.96")</f>
        <v>+41.96</v>
      </c>
      <c r="C160" s="5" t="str">
        <f>IFERROR(__xludf.DUMMYFUNCTION("""COMPUTED_VALUE"""),"+100.00")</f>
        <v>+100.00</v>
      </c>
    </row>
    <row r="161">
      <c r="A161" s="5">
        <f>IFERROR(__xludf.DUMMYFUNCTION("""COMPUTED_VALUE"""),158.0)</f>
        <v>158</v>
      </c>
      <c r="B161" s="5" t="str">
        <f>IFERROR(__xludf.DUMMYFUNCTION("""COMPUTED_VALUE"""),"+39.61")</f>
        <v>+39.61</v>
      </c>
      <c r="C161" s="5" t="str">
        <f>IFERROR(__xludf.DUMMYFUNCTION("""COMPUTED_VALUE"""),"+100.00")</f>
        <v>+100.00</v>
      </c>
    </row>
    <row r="162">
      <c r="A162" s="5">
        <f>IFERROR(__xludf.DUMMYFUNCTION("""COMPUTED_VALUE"""),159.0)</f>
        <v>159</v>
      </c>
      <c r="B162" s="5" t="str">
        <f>IFERROR(__xludf.DUMMYFUNCTION("""COMPUTED_VALUE"""),"+38.04")</f>
        <v>+38.04</v>
      </c>
      <c r="C162" s="5" t="str">
        <f>IFERROR(__xludf.DUMMYFUNCTION("""COMPUTED_VALUE"""),"+100.00")</f>
        <v>+100.00</v>
      </c>
    </row>
    <row r="163">
      <c r="A163" s="5">
        <f>IFERROR(__xludf.DUMMYFUNCTION("""COMPUTED_VALUE"""),160.0)</f>
        <v>160</v>
      </c>
      <c r="B163" s="5" t="str">
        <f>IFERROR(__xludf.DUMMYFUNCTION("""COMPUTED_VALUE"""),"+35.69")</f>
        <v>+35.69</v>
      </c>
      <c r="C163" s="5" t="str">
        <f>IFERROR(__xludf.DUMMYFUNCTION("""COMPUTED_VALUE"""),"+100.00")</f>
        <v>+100.00</v>
      </c>
    </row>
    <row r="164">
      <c r="A164" s="5">
        <f>IFERROR(__xludf.DUMMYFUNCTION("""COMPUTED_VALUE"""),161.0)</f>
        <v>161</v>
      </c>
      <c r="B164" s="5" t="str">
        <f>IFERROR(__xludf.DUMMYFUNCTION("""COMPUTED_VALUE"""),"+34.12")</f>
        <v>+34.12</v>
      </c>
      <c r="C164" s="5" t="str">
        <f>IFERROR(__xludf.DUMMYFUNCTION("""COMPUTED_VALUE"""),"+100.00")</f>
        <v>+100.00</v>
      </c>
    </row>
    <row r="165">
      <c r="A165" s="5">
        <f>IFERROR(__xludf.DUMMYFUNCTION("""COMPUTED_VALUE"""),162.0)</f>
        <v>162</v>
      </c>
      <c r="B165" s="5" t="str">
        <f>IFERROR(__xludf.DUMMYFUNCTION("""COMPUTED_VALUE"""),"+32.55")</f>
        <v>+32.55</v>
      </c>
      <c r="C165" s="5" t="str">
        <f>IFERROR(__xludf.DUMMYFUNCTION("""COMPUTED_VALUE"""),"+100.00")</f>
        <v>+100.00</v>
      </c>
    </row>
    <row r="166">
      <c r="A166" s="5">
        <f>IFERROR(__xludf.DUMMYFUNCTION("""COMPUTED_VALUE"""),163.0)</f>
        <v>163</v>
      </c>
      <c r="B166" s="5" t="str">
        <f>IFERROR(__xludf.DUMMYFUNCTION("""COMPUTED_VALUE"""),"+30.20")</f>
        <v>+30.20</v>
      </c>
      <c r="C166" s="5" t="str">
        <f>IFERROR(__xludf.DUMMYFUNCTION("""COMPUTED_VALUE"""),"+100.00")</f>
        <v>+100.00</v>
      </c>
    </row>
    <row r="167">
      <c r="A167" s="5">
        <f>IFERROR(__xludf.DUMMYFUNCTION("""COMPUTED_VALUE"""),164.0)</f>
        <v>164</v>
      </c>
      <c r="B167" s="5" t="str">
        <f>IFERROR(__xludf.DUMMYFUNCTION("""COMPUTED_VALUE"""),"+28.63")</f>
        <v>+28.63</v>
      </c>
      <c r="C167" s="5" t="str">
        <f>IFERROR(__xludf.DUMMYFUNCTION("""COMPUTED_VALUE"""),"+100.00")</f>
        <v>+100.00</v>
      </c>
    </row>
    <row r="168">
      <c r="A168" s="5">
        <f>IFERROR(__xludf.DUMMYFUNCTION("""COMPUTED_VALUE"""),165.0)</f>
        <v>165</v>
      </c>
      <c r="B168" s="5" t="str">
        <f>IFERROR(__xludf.DUMMYFUNCTION("""COMPUTED_VALUE"""),"+27.06")</f>
        <v>+27.06</v>
      </c>
      <c r="C168" s="5" t="str">
        <f>IFERROR(__xludf.DUMMYFUNCTION("""COMPUTED_VALUE"""),"+100.00")</f>
        <v>+100.00</v>
      </c>
    </row>
    <row r="169">
      <c r="A169" s="5">
        <f>IFERROR(__xludf.DUMMYFUNCTION("""COMPUTED_VALUE"""),166.0)</f>
        <v>166</v>
      </c>
      <c r="B169" s="5" t="str">
        <f>IFERROR(__xludf.DUMMYFUNCTION("""COMPUTED_VALUE"""),"+24.71")</f>
        <v>+24.71</v>
      </c>
      <c r="C169" s="5" t="str">
        <f>IFERROR(__xludf.DUMMYFUNCTION("""COMPUTED_VALUE"""),"+100.00")</f>
        <v>+100.00</v>
      </c>
    </row>
    <row r="170">
      <c r="A170" s="5">
        <f>IFERROR(__xludf.DUMMYFUNCTION("""COMPUTED_VALUE"""),167.0)</f>
        <v>167</v>
      </c>
      <c r="B170" s="5" t="str">
        <f>IFERROR(__xludf.DUMMYFUNCTION("""COMPUTED_VALUE"""),"+23.14")</f>
        <v>+23.14</v>
      </c>
      <c r="C170" s="5" t="str">
        <f>IFERROR(__xludf.DUMMYFUNCTION("""COMPUTED_VALUE"""),"+100.00")</f>
        <v>+100.00</v>
      </c>
    </row>
    <row r="171">
      <c r="A171" s="5">
        <f>IFERROR(__xludf.DUMMYFUNCTION("""COMPUTED_VALUE"""),168.0)</f>
        <v>168</v>
      </c>
      <c r="B171" s="5" t="str">
        <f>IFERROR(__xludf.DUMMYFUNCTION("""COMPUTED_VALUE"""),"+21.57")</f>
        <v>+21.57</v>
      </c>
      <c r="C171" s="5" t="str">
        <f>IFERROR(__xludf.DUMMYFUNCTION("""COMPUTED_VALUE"""),"+100.00")</f>
        <v>+100.00</v>
      </c>
    </row>
    <row r="172">
      <c r="A172" s="5">
        <f>IFERROR(__xludf.DUMMYFUNCTION("""COMPUTED_VALUE"""),169.0)</f>
        <v>169</v>
      </c>
      <c r="B172" s="5" t="str">
        <f>IFERROR(__xludf.DUMMYFUNCTION("""COMPUTED_VALUE"""),"+20.00")</f>
        <v>+20.00</v>
      </c>
      <c r="C172" s="5" t="str">
        <f>IFERROR(__xludf.DUMMYFUNCTION("""COMPUTED_VALUE"""),"+100.00")</f>
        <v>+100.00</v>
      </c>
    </row>
    <row r="173">
      <c r="A173" s="5">
        <f>IFERROR(__xludf.DUMMYFUNCTION("""COMPUTED_VALUE"""),170.0)</f>
        <v>170</v>
      </c>
      <c r="B173" s="5" t="str">
        <f>IFERROR(__xludf.DUMMYFUNCTION("""COMPUTED_VALUE"""),"+18.43")</f>
        <v>+18.43</v>
      </c>
      <c r="C173" s="5" t="str">
        <f>IFERROR(__xludf.DUMMYFUNCTION("""COMPUTED_VALUE"""),"+100.00")</f>
        <v>+100.00</v>
      </c>
    </row>
    <row r="174">
      <c r="A174" s="5">
        <f>IFERROR(__xludf.DUMMYFUNCTION("""COMPUTED_VALUE"""),171.0)</f>
        <v>171</v>
      </c>
      <c r="B174" s="5" t="str">
        <f>IFERROR(__xludf.DUMMYFUNCTION("""COMPUTED_VALUE"""),"+16.86")</f>
        <v>+16.86</v>
      </c>
      <c r="C174" s="5" t="str">
        <f>IFERROR(__xludf.DUMMYFUNCTION("""COMPUTED_VALUE"""),"+100.00")</f>
        <v>+100.00</v>
      </c>
    </row>
    <row r="175">
      <c r="A175" s="5">
        <f>IFERROR(__xludf.DUMMYFUNCTION("""COMPUTED_VALUE"""),172.0)</f>
        <v>172</v>
      </c>
      <c r="B175" s="5" t="str">
        <f>IFERROR(__xludf.DUMMYFUNCTION("""COMPUTED_VALUE"""),"+15.29")</f>
        <v>+15.29</v>
      </c>
      <c r="C175" s="5" t="str">
        <f>IFERROR(__xludf.DUMMYFUNCTION("""COMPUTED_VALUE"""),"+100.00")</f>
        <v>+100.00</v>
      </c>
    </row>
    <row r="176">
      <c r="A176" s="5">
        <f>IFERROR(__xludf.DUMMYFUNCTION("""COMPUTED_VALUE"""),173.0)</f>
        <v>173</v>
      </c>
      <c r="B176" s="5" t="str">
        <f>IFERROR(__xludf.DUMMYFUNCTION("""COMPUTED_VALUE"""),"+12.94")</f>
        <v>+12.94</v>
      </c>
      <c r="C176" s="5" t="str">
        <f>IFERROR(__xludf.DUMMYFUNCTION("""COMPUTED_VALUE"""),"+100.00")</f>
        <v>+100.00</v>
      </c>
    </row>
    <row r="177">
      <c r="A177" s="5">
        <f>IFERROR(__xludf.DUMMYFUNCTION("""COMPUTED_VALUE"""),174.0)</f>
        <v>174</v>
      </c>
      <c r="B177" s="5" t="str">
        <f>IFERROR(__xludf.DUMMYFUNCTION("""COMPUTED_VALUE"""),"+11.37")</f>
        <v>+11.37</v>
      </c>
      <c r="C177" s="5" t="str">
        <f>IFERROR(__xludf.DUMMYFUNCTION("""COMPUTED_VALUE"""),"+100.00")</f>
        <v>+100.00</v>
      </c>
    </row>
    <row r="178">
      <c r="A178" s="5">
        <f>IFERROR(__xludf.DUMMYFUNCTION("""COMPUTED_VALUE"""),175.0)</f>
        <v>175</v>
      </c>
      <c r="B178" s="5" t="str">
        <f>IFERROR(__xludf.DUMMYFUNCTION("""COMPUTED_VALUE"""),"+9.02")</f>
        <v>+9.02</v>
      </c>
      <c r="C178" s="5" t="str">
        <f>IFERROR(__xludf.DUMMYFUNCTION("""COMPUTED_VALUE"""),"+100.00")</f>
        <v>+100.00</v>
      </c>
    </row>
    <row r="179">
      <c r="A179" s="5">
        <f>IFERROR(__xludf.DUMMYFUNCTION("""COMPUTED_VALUE"""),176.0)</f>
        <v>176</v>
      </c>
      <c r="B179" s="5" t="str">
        <f>IFERROR(__xludf.DUMMYFUNCTION("""COMPUTED_VALUE"""),"+7.45")</f>
        <v>+7.45</v>
      </c>
      <c r="C179" s="5" t="str">
        <f>IFERROR(__xludf.DUMMYFUNCTION("""COMPUTED_VALUE"""),"+100.00")</f>
        <v>+100.00</v>
      </c>
    </row>
    <row r="180">
      <c r="A180" s="5">
        <f>IFERROR(__xludf.DUMMYFUNCTION("""COMPUTED_VALUE"""),177.0)</f>
        <v>177</v>
      </c>
      <c r="B180" s="5" t="str">
        <f>IFERROR(__xludf.DUMMYFUNCTION("""COMPUTED_VALUE"""),"+5.88")</f>
        <v>+5.88</v>
      </c>
      <c r="C180" s="5" t="str">
        <f>IFERROR(__xludf.DUMMYFUNCTION("""COMPUTED_VALUE"""),"+100.00")</f>
        <v>+100.00</v>
      </c>
    </row>
    <row r="181">
      <c r="A181" s="5">
        <f>IFERROR(__xludf.DUMMYFUNCTION("""COMPUTED_VALUE"""),178.0)</f>
        <v>178</v>
      </c>
      <c r="B181" s="5" t="str">
        <f>IFERROR(__xludf.DUMMYFUNCTION("""COMPUTED_VALUE"""),"+3.53")</f>
        <v>+3.53</v>
      </c>
      <c r="C181" s="5" t="str">
        <f>IFERROR(__xludf.DUMMYFUNCTION("""COMPUTED_VALUE"""),"+100.00")</f>
        <v>+100.00</v>
      </c>
    </row>
    <row r="182">
      <c r="A182" s="5">
        <f>IFERROR(__xludf.DUMMYFUNCTION("""COMPUTED_VALUE"""),179.0)</f>
        <v>179</v>
      </c>
      <c r="B182" s="5" t="str">
        <f>IFERROR(__xludf.DUMMYFUNCTION("""COMPUTED_VALUE"""),"+1.18")</f>
        <v>+1.18</v>
      </c>
      <c r="C182" s="5" t="str">
        <f>IFERROR(__xludf.DUMMYFUNCTION("""COMPUTED_VALUE"""),"+100.00")</f>
        <v>+100.00</v>
      </c>
    </row>
    <row r="183">
      <c r="A183" s="5">
        <f>IFERROR(__xludf.DUMMYFUNCTION("""COMPUTED_VALUE"""),180.0)</f>
        <v>180</v>
      </c>
      <c r="B183" s="5" t="str">
        <f>IFERROR(__xludf.DUMMYFUNCTION("""COMPUTED_VALUE"""),"-0.39")</f>
        <v>-0.39</v>
      </c>
      <c r="C183" s="5" t="str">
        <f>IFERROR(__xludf.DUMMYFUNCTION("""COMPUTED_VALUE"""),"+100.00")</f>
        <v>+100.00</v>
      </c>
    </row>
    <row r="184">
      <c r="A184" s="5">
        <f>IFERROR(__xludf.DUMMYFUNCTION("""COMPUTED_VALUE"""),181.0)</f>
        <v>181</v>
      </c>
      <c r="B184" s="5" t="str">
        <f>IFERROR(__xludf.DUMMYFUNCTION("""COMPUTED_VALUE"""),"-2.74")</f>
        <v>-2.74</v>
      </c>
      <c r="C184" s="5" t="str">
        <f>IFERROR(__xludf.DUMMYFUNCTION("""COMPUTED_VALUE"""),"+100.00")</f>
        <v>+100.00</v>
      </c>
    </row>
    <row r="185">
      <c r="A185" s="5">
        <f>IFERROR(__xludf.DUMMYFUNCTION("""COMPUTED_VALUE"""),182.0)</f>
        <v>182</v>
      </c>
      <c r="B185" s="5" t="str">
        <f>IFERROR(__xludf.DUMMYFUNCTION("""COMPUTED_VALUE"""),"-5.10")</f>
        <v>-5.10</v>
      </c>
      <c r="C185" s="5" t="str">
        <f>IFERROR(__xludf.DUMMYFUNCTION("""COMPUTED_VALUE"""),"+100.00")</f>
        <v>+100.00</v>
      </c>
    </row>
    <row r="186">
      <c r="A186" s="5">
        <f>IFERROR(__xludf.DUMMYFUNCTION("""COMPUTED_VALUE"""),183.0)</f>
        <v>183</v>
      </c>
      <c r="B186" s="5" t="str">
        <f>IFERROR(__xludf.DUMMYFUNCTION("""COMPUTED_VALUE"""),"-6.67")</f>
        <v>-6.67</v>
      </c>
      <c r="C186" s="5" t="str">
        <f>IFERROR(__xludf.DUMMYFUNCTION("""COMPUTED_VALUE"""),"+100.00")</f>
        <v>+100.00</v>
      </c>
    </row>
    <row r="187">
      <c r="A187" s="5">
        <f>IFERROR(__xludf.DUMMYFUNCTION("""COMPUTED_VALUE"""),184.0)</f>
        <v>184</v>
      </c>
      <c r="B187" s="5" t="str">
        <f>IFERROR(__xludf.DUMMYFUNCTION("""COMPUTED_VALUE"""),"-8.23")</f>
        <v>-8.23</v>
      </c>
      <c r="C187" s="5" t="str">
        <f>IFERROR(__xludf.DUMMYFUNCTION("""COMPUTED_VALUE"""),"+100.00")</f>
        <v>+100.00</v>
      </c>
    </row>
    <row r="188">
      <c r="A188" s="5">
        <f>IFERROR(__xludf.DUMMYFUNCTION("""COMPUTED_VALUE"""),185.0)</f>
        <v>185</v>
      </c>
      <c r="B188" s="5" t="str">
        <f>IFERROR(__xludf.DUMMYFUNCTION("""COMPUTED_VALUE"""),"-10.59")</f>
        <v>-10.59</v>
      </c>
      <c r="C188" s="5" t="str">
        <f>IFERROR(__xludf.DUMMYFUNCTION("""COMPUTED_VALUE"""),"+100.00")</f>
        <v>+100.00</v>
      </c>
    </row>
    <row r="189">
      <c r="A189" s="5">
        <f>IFERROR(__xludf.DUMMYFUNCTION("""COMPUTED_VALUE"""),186.0)</f>
        <v>186</v>
      </c>
      <c r="B189" s="5" t="str">
        <f>IFERROR(__xludf.DUMMYFUNCTION("""COMPUTED_VALUE"""),"-12.16")</f>
        <v>-12.16</v>
      </c>
      <c r="C189" s="5" t="str">
        <f>IFERROR(__xludf.DUMMYFUNCTION("""COMPUTED_VALUE"""),"+100.00")</f>
        <v>+100.00</v>
      </c>
    </row>
    <row r="190">
      <c r="A190" s="5">
        <f>IFERROR(__xludf.DUMMYFUNCTION("""COMPUTED_VALUE"""),187.0)</f>
        <v>187</v>
      </c>
      <c r="B190" s="5" t="str">
        <f>IFERROR(__xludf.DUMMYFUNCTION("""COMPUTED_VALUE"""),"-12.94")</f>
        <v>-12.94</v>
      </c>
      <c r="C190" s="5" t="str">
        <f>IFERROR(__xludf.DUMMYFUNCTION("""COMPUTED_VALUE"""),"+100.00")</f>
        <v>+100.00</v>
      </c>
    </row>
    <row r="191">
      <c r="A191" s="5">
        <f>IFERROR(__xludf.DUMMYFUNCTION("""COMPUTED_VALUE"""),188.0)</f>
        <v>188</v>
      </c>
      <c r="B191" s="5" t="str">
        <f>IFERROR(__xludf.DUMMYFUNCTION("""COMPUTED_VALUE"""),"-15.29")</f>
        <v>-15.29</v>
      </c>
      <c r="C191" s="5" t="str">
        <f>IFERROR(__xludf.DUMMYFUNCTION("""COMPUTED_VALUE"""),"+100.00")</f>
        <v>+100.00</v>
      </c>
    </row>
    <row r="192">
      <c r="A192" s="5">
        <f>IFERROR(__xludf.DUMMYFUNCTION("""COMPUTED_VALUE"""),189.0)</f>
        <v>189</v>
      </c>
      <c r="B192" s="5" t="str">
        <f>IFERROR(__xludf.DUMMYFUNCTION("""COMPUTED_VALUE"""),"-17.65")</f>
        <v>-17.65</v>
      </c>
      <c r="C192" s="5" t="str">
        <f>IFERROR(__xludf.DUMMYFUNCTION("""COMPUTED_VALUE"""),"+100.00")</f>
        <v>+100.00</v>
      </c>
    </row>
    <row r="193">
      <c r="A193" s="5">
        <f>IFERROR(__xludf.DUMMYFUNCTION("""COMPUTED_VALUE"""),190.0)</f>
        <v>190</v>
      </c>
      <c r="B193" s="5" t="str">
        <f>IFERROR(__xludf.DUMMYFUNCTION("""COMPUTED_VALUE"""),"-19.22")</f>
        <v>-19.22</v>
      </c>
      <c r="C193" s="5" t="str">
        <f>IFERROR(__xludf.DUMMYFUNCTION("""COMPUTED_VALUE"""),"+100.00")</f>
        <v>+100.00</v>
      </c>
    </row>
    <row r="194">
      <c r="A194" s="5">
        <f>IFERROR(__xludf.DUMMYFUNCTION("""COMPUTED_VALUE"""),191.0)</f>
        <v>191</v>
      </c>
      <c r="B194" s="5" t="str">
        <f>IFERROR(__xludf.DUMMYFUNCTION("""COMPUTED_VALUE"""),"-20.78")</f>
        <v>-20.78</v>
      </c>
      <c r="C194" s="5" t="str">
        <f>IFERROR(__xludf.DUMMYFUNCTION("""COMPUTED_VALUE"""),"+100.00")</f>
        <v>+100.00</v>
      </c>
    </row>
    <row r="195">
      <c r="A195" s="5">
        <f>IFERROR(__xludf.DUMMYFUNCTION("""COMPUTED_VALUE"""),192.0)</f>
        <v>192</v>
      </c>
      <c r="B195" s="5" t="str">
        <f>IFERROR(__xludf.DUMMYFUNCTION("""COMPUTED_VALUE"""),"-21.57")</f>
        <v>-21.57</v>
      </c>
      <c r="C195" s="5" t="str">
        <f>IFERROR(__xludf.DUMMYFUNCTION("""COMPUTED_VALUE"""),"+100.00")</f>
        <v>+100.00</v>
      </c>
    </row>
    <row r="196">
      <c r="A196" s="5">
        <f>IFERROR(__xludf.DUMMYFUNCTION("""COMPUTED_VALUE"""),193.0)</f>
        <v>193</v>
      </c>
      <c r="B196" s="5" t="str">
        <f>IFERROR(__xludf.DUMMYFUNCTION("""COMPUTED_VALUE"""),"-23.92")</f>
        <v>-23.92</v>
      </c>
      <c r="C196" s="5" t="str">
        <f>IFERROR(__xludf.DUMMYFUNCTION("""COMPUTED_VALUE"""),"+100.00")</f>
        <v>+100.00</v>
      </c>
    </row>
    <row r="197">
      <c r="A197" s="5">
        <f>IFERROR(__xludf.DUMMYFUNCTION("""COMPUTED_VALUE"""),194.0)</f>
        <v>194</v>
      </c>
      <c r="B197" s="5" t="str">
        <f>IFERROR(__xludf.DUMMYFUNCTION("""COMPUTED_VALUE"""),"-26.27")</f>
        <v>-26.27</v>
      </c>
      <c r="C197" s="5" t="str">
        <f>IFERROR(__xludf.DUMMYFUNCTION("""COMPUTED_VALUE"""),"+100.00")</f>
        <v>+100.00</v>
      </c>
    </row>
    <row r="198">
      <c r="A198" s="5">
        <f>IFERROR(__xludf.DUMMYFUNCTION("""COMPUTED_VALUE"""),195.0)</f>
        <v>195</v>
      </c>
      <c r="B198" s="5" t="str">
        <f>IFERROR(__xludf.DUMMYFUNCTION("""COMPUTED_VALUE"""),"-27.84")</f>
        <v>-27.84</v>
      </c>
      <c r="C198" s="5" t="str">
        <f>IFERROR(__xludf.DUMMYFUNCTION("""COMPUTED_VALUE"""),"+100.00")</f>
        <v>+100.00</v>
      </c>
    </row>
    <row r="199">
      <c r="A199" s="5">
        <f>IFERROR(__xludf.DUMMYFUNCTION("""COMPUTED_VALUE"""),196.0)</f>
        <v>196</v>
      </c>
      <c r="B199" s="5" t="str">
        <f>IFERROR(__xludf.DUMMYFUNCTION("""COMPUTED_VALUE"""),"-29.41")</f>
        <v>-29.41</v>
      </c>
      <c r="C199" s="5" t="str">
        <f>IFERROR(__xludf.DUMMYFUNCTION("""COMPUTED_VALUE"""),"+100.00")</f>
        <v>+100.00</v>
      </c>
    </row>
    <row r="200">
      <c r="A200" s="5">
        <f>IFERROR(__xludf.DUMMYFUNCTION("""COMPUTED_VALUE"""),197.0)</f>
        <v>197</v>
      </c>
      <c r="B200" s="5" t="str">
        <f>IFERROR(__xludf.DUMMYFUNCTION("""COMPUTED_VALUE"""),"-31.76")</f>
        <v>-31.76</v>
      </c>
      <c r="C200" s="5" t="str">
        <f>IFERROR(__xludf.DUMMYFUNCTION("""COMPUTED_VALUE"""),"+100.00")</f>
        <v>+100.00</v>
      </c>
    </row>
    <row r="201">
      <c r="A201" s="5">
        <f>IFERROR(__xludf.DUMMYFUNCTION("""COMPUTED_VALUE"""),198.0)</f>
        <v>198</v>
      </c>
      <c r="B201" s="5" t="str">
        <f>IFERROR(__xludf.DUMMYFUNCTION("""COMPUTED_VALUE"""),"-33.33")</f>
        <v>-33.33</v>
      </c>
      <c r="C201" s="5" t="str">
        <f>IFERROR(__xludf.DUMMYFUNCTION("""COMPUTED_VALUE"""),"+100.00")</f>
        <v>+100.00</v>
      </c>
    </row>
    <row r="202">
      <c r="A202" s="5">
        <f>IFERROR(__xludf.DUMMYFUNCTION("""COMPUTED_VALUE"""),199.0)</f>
        <v>199</v>
      </c>
      <c r="B202" s="5" t="str">
        <f>IFERROR(__xludf.DUMMYFUNCTION("""COMPUTED_VALUE"""),"-34.90")</f>
        <v>-34.90</v>
      </c>
      <c r="C202" s="5" t="str">
        <f>IFERROR(__xludf.DUMMYFUNCTION("""COMPUTED_VALUE"""),"+100.00")</f>
        <v>+100.00</v>
      </c>
    </row>
    <row r="203">
      <c r="A203" s="5">
        <f>IFERROR(__xludf.DUMMYFUNCTION("""COMPUTED_VALUE"""),200.0)</f>
        <v>200</v>
      </c>
      <c r="B203" s="5" t="str">
        <f>IFERROR(__xludf.DUMMYFUNCTION("""COMPUTED_VALUE"""),"-36.47")</f>
        <v>-36.47</v>
      </c>
      <c r="C203" s="5" t="str">
        <f>IFERROR(__xludf.DUMMYFUNCTION("""COMPUTED_VALUE"""),"+98.43")</f>
        <v>+98.43</v>
      </c>
    </row>
    <row r="204">
      <c r="A204" s="5">
        <f>IFERROR(__xludf.DUMMYFUNCTION("""COMPUTED_VALUE"""),201.0)</f>
        <v>201</v>
      </c>
      <c r="B204" s="5" t="str">
        <f>IFERROR(__xludf.DUMMYFUNCTION("""COMPUTED_VALUE"""),"-38.04")</f>
        <v>-38.04</v>
      </c>
      <c r="C204" s="5" t="str">
        <f>IFERROR(__xludf.DUMMYFUNCTION("""COMPUTED_VALUE"""),"+97.65")</f>
        <v>+97.65</v>
      </c>
    </row>
    <row r="205">
      <c r="A205" s="5">
        <f>IFERROR(__xludf.DUMMYFUNCTION("""COMPUTED_VALUE"""),202.0)</f>
        <v>202</v>
      </c>
      <c r="B205" s="5" t="str">
        <f>IFERROR(__xludf.DUMMYFUNCTION("""COMPUTED_VALUE"""),"-39.61")</f>
        <v>-39.61</v>
      </c>
      <c r="C205" s="5" t="str">
        <f>IFERROR(__xludf.DUMMYFUNCTION("""COMPUTED_VALUE"""),"+97.65")</f>
        <v>+97.65</v>
      </c>
    </row>
    <row r="206">
      <c r="A206" s="5">
        <f>IFERROR(__xludf.DUMMYFUNCTION("""COMPUTED_VALUE"""),203.0)</f>
        <v>203</v>
      </c>
      <c r="B206" s="5" t="str">
        <f>IFERROR(__xludf.DUMMYFUNCTION("""COMPUTED_VALUE"""),"-41.96")</f>
        <v>-41.96</v>
      </c>
      <c r="C206" s="5" t="str">
        <f>IFERROR(__xludf.DUMMYFUNCTION("""COMPUTED_VALUE"""),"+96.86")</f>
        <v>+96.86</v>
      </c>
    </row>
    <row r="207">
      <c r="A207" s="5">
        <f>IFERROR(__xludf.DUMMYFUNCTION("""COMPUTED_VALUE"""),204.0)</f>
        <v>204</v>
      </c>
      <c r="B207" s="5" t="str">
        <f>IFERROR(__xludf.DUMMYFUNCTION("""COMPUTED_VALUE"""),"-42.74")</f>
        <v>-42.74</v>
      </c>
      <c r="C207" s="5" t="str">
        <f>IFERROR(__xludf.DUMMYFUNCTION("""COMPUTED_VALUE"""),"+96.08")</f>
        <v>+96.08</v>
      </c>
    </row>
    <row r="208">
      <c r="A208" s="5">
        <f>IFERROR(__xludf.DUMMYFUNCTION("""COMPUTED_VALUE"""),205.0)</f>
        <v>205</v>
      </c>
      <c r="B208" s="5" t="str">
        <f>IFERROR(__xludf.DUMMYFUNCTION("""COMPUTED_VALUE"""),"-45.10")</f>
        <v>-45.10</v>
      </c>
      <c r="C208" s="5" t="str">
        <f>IFERROR(__xludf.DUMMYFUNCTION("""COMPUTED_VALUE"""),"+95.30")</f>
        <v>+95.30</v>
      </c>
    </row>
    <row r="209">
      <c r="A209" s="5">
        <f>IFERROR(__xludf.DUMMYFUNCTION("""COMPUTED_VALUE"""),206.0)</f>
        <v>206</v>
      </c>
      <c r="B209" s="5" t="str">
        <f>IFERROR(__xludf.DUMMYFUNCTION("""COMPUTED_VALUE"""),"-46.67")</f>
        <v>-46.67</v>
      </c>
      <c r="C209" s="5" t="str">
        <f>IFERROR(__xludf.DUMMYFUNCTION("""COMPUTED_VALUE"""),"+94.51")</f>
        <v>+94.51</v>
      </c>
    </row>
    <row r="210">
      <c r="A210" s="5">
        <f>IFERROR(__xludf.DUMMYFUNCTION("""COMPUTED_VALUE"""),207.0)</f>
        <v>207</v>
      </c>
      <c r="B210" s="5" t="str">
        <f>IFERROR(__xludf.DUMMYFUNCTION("""COMPUTED_VALUE"""),"-48.24")</f>
        <v>-48.24</v>
      </c>
      <c r="C210" s="5" t="str">
        <f>IFERROR(__xludf.DUMMYFUNCTION("""COMPUTED_VALUE"""),"+94.51")</f>
        <v>+94.51</v>
      </c>
    </row>
    <row r="211">
      <c r="A211" s="5">
        <f>IFERROR(__xludf.DUMMYFUNCTION("""COMPUTED_VALUE"""),208.0)</f>
        <v>208</v>
      </c>
      <c r="B211" s="5" t="str">
        <f>IFERROR(__xludf.DUMMYFUNCTION("""COMPUTED_VALUE"""),"-49.80")</f>
        <v>-49.80</v>
      </c>
      <c r="C211" s="5" t="str">
        <f>IFERROR(__xludf.DUMMYFUNCTION("""COMPUTED_VALUE"""),"+92.94")</f>
        <v>+92.94</v>
      </c>
    </row>
    <row r="212">
      <c r="A212" s="5">
        <f>IFERROR(__xludf.DUMMYFUNCTION("""COMPUTED_VALUE"""),209.0)</f>
        <v>209</v>
      </c>
      <c r="B212" s="5" t="str">
        <f>IFERROR(__xludf.DUMMYFUNCTION("""COMPUTED_VALUE"""),"-51.37")</f>
        <v>-51.37</v>
      </c>
      <c r="C212" s="5" t="str">
        <f>IFERROR(__xludf.DUMMYFUNCTION("""COMPUTED_VALUE"""),"+92.16")</f>
        <v>+92.16</v>
      </c>
    </row>
    <row r="213">
      <c r="A213" s="5">
        <f>IFERROR(__xludf.DUMMYFUNCTION("""COMPUTED_VALUE"""),210.0)</f>
        <v>210</v>
      </c>
      <c r="B213" s="5" t="str">
        <f>IFERROR(__xludf.DUMMYFUNCTION("""COMPUTED_VALUE"""),"-52.94")</f>
        <v>-52.94</v>
      </c>
      <c r="C213" s="5" t="str">
        <f>IFERROR(__xludf.DUMMYFUNCTION("""COMPUTED_VALUE"""),"+91.37")</f>
        <v>+91.37</v>
      </c>
    </row>
    <row r="214">
      <c r="A214" s="5">
        <f>IFERROR(__xludf.DUMMYFUNCTION("""COMPUTED_VALUE"""),211.0)</f>
        <v>211</v>
      </c>
      <c r="B214" s="5" t="str">
        <f>IFERROR(__xludf.DUMMYFUNCTION("""COMPUTED_VALUE"""),"-53.73")</f>
        <v>-53.73</v>
      </c>
      <c r="C214" s="5" t="str">
        <f>IFERROR(__xludf.DUMMYFUNCTION("""COMPUTED_VALUE"""),"+91.37")</f>
        <v>+91.37</v>
      </c>
    </row>
    <row r="215">
      <c r="A215" s="5">
        <f>IFERROR(__xludf.DUMMYFUNCTION("""COMPUTED_VALUE"""),212.0)</f>
        <v>212</v>
      </c>
      <c r="B215" s="5" t="str">
        <f>IFERROR(__xludf.DUMMYFUNCTION("""COMPUTED_VALUE"""),"-56.86")</f>
        <v>-56.86</v>
      </c>
      <c r="C215" s="5" t="str">
        <f>IFERROR(__xludf.DUMMYFUNCTION("""COMPUTED_VALUE"""),"+89.80")</f>
        <v>+89.80</v>
      </c>
    </row>
    <row r="216">
      <c r="A216" s="5">
        <f>IFERROR(__xludf.DUMMYFUNCTION("""COMPUTED_VALUE"""),213.0)</f>
        <v>213</v>
      </c>
      <c r="B216" s="5" t="str">
        <f>IFERROR(__xludf.DUMMYFUNCTION("""COMPUTED_VALUE"""),"-58.43")</f>
        <v>-58.43</v>
      </c>
      <c r="C216" s="5" t="str">
        <f>IFERROR(__xludf.DUMMYFUNCTION("""COMPUTED_VALUE"""),"+89.02")</f>
        <v>+89.02</v>
      </c>
    </row>
    <row r="217">
      <c r="A217" s="5">
        <f>IFERROR(__xludf.DUMMYFUNCTION("""COMPUTED_VALUE"""),214.0)</f>
        <v>214</v>
      </c>
      <c r="B217" s="5" t="str">
        <f>IFERROR(__xludf.DUMMYFUNCTION("""COMPUTED_VALUE"""),"-59.22")</f>
        <v>-59.22</v>
      </c>
      <c r="C217" s="5" t="str">
        <f>IFERROR(__xludf.DUMMYFUNCTION("""COMPUTED_VALUE"""),"+87.45")</f>
        <v>+87.45</v>
      </c>
    </row>
    <row r="218">
      <c r="A218" s="5">
        <f>IFERROR(__xludf.DUMMYFUNCTION("""COMPUTED_VALUE"""),215.0)</f>
        <v>215</v>
      </c>
      <c r="B218" s="5" t="str">
        <f>IFERROR(__xludf.DUMMYFUNCTION("""COMPUTED_VALUE"""),"-60.78")</f>
        <v>-60.78</v>
      </c>
      <c r="C218" s="5" t="str">
        <f>IFERROR(__xludf.DUMMYFUNCTION("""COMPUTED_VALUE"""),"+86.67")</f>
        <v>+86.67</v>
      </c>
    </row>
    <row r="219">
      <c r="A219" s="5">
        <f>IFERROR(__xludf.DUMMYFUNCTION("""COMPUTED_VALUE"""),216.0)</f>
        <v>216</v>
      </c>
      <c r="B219" s="5" t="str">
        <f>IFERROR(__xludf.DUMMYFUNCTION("""COMPUTED_VALUE"""),"-63.14")</f>
        <v>-63.14</v>
      </c>
      <c r="C219" s="5" t="str">
        <f>IFERROR(__xludf.DUMMYFUNCTION("""COMPUTED_VALUE"""),"+85.88")</f>
        <v>+85.88</v>
      </c>
    </row>
    <row r="220">
      <c r="A220" s="5">
        <f>IFERROR(__xludf.DUMMYFUNCTION("""COMPUTED_VALUE"""),217.0)</f>
        <v>217</v>
      </c>
      <c r="B220" s="5" t="str">
        <f>IFERROR(__xludf.DUMMYFUNCTION("""COMPUTED_VALUE"""),"-64.71")</f>
        <v>-64.71</v>
      </c>
      <c r="C220" s="5" t="str">
        <f>IFERROR(__xludf.DUMMYFUNCTION("""COMPUTED_VALUE"""),"+85.10")</f>
        <v>+85.10</v>
      </c>
    </row>
    <row r="221">
      <c r="A221" s="5">
        <f>IFERROR(__xludf.DUMMYFUNCTION("""COMPUTED_VALUE"""),218.0)</f>
        <v>218</v>
      </c>
      <c r="B221" s="5" t="str">
        <f>IFERROR(__xludf.DUMMYFUNCTION("""COMPUTED_VALUE"""),"-66.27")</f>
        <v>-66.27</v>
      </c>
      <c r="C221" s="5" t="str">
        <f>IFERROR(__xludf.DUMMYFUNCTION("""COMPUTED_VALUE"""),"+84.31")</f>
        <v>+84.31</v>
      </c>
    </row>
    <row r="222">
      <c r="A222" s="5">
        <f>IFERROR(__xludf.DUMMYFUNCTION("""COMPUTED_VALUE"""),219.0)</f>
        <v>219</v>
      </c>
      <c r="B222" s="5" t="str">
        <f>IFERROR(__xludf.DUMMYFUNCTION("""COMPUTED_VALUE"""),"-67.84")</f>
        <v>-67.84</v>
      </c>
      <c r="C222" s="5" t="str">
        <f>IFERROR(__xludf.DUMMYFUNCTION("""COMPUTED_VALUE"""),"+82.75")</f>
        <v>+82.75</v>
      </c>
    </row>
    <row r="223">
      <c r="A223" s="5">
        <f>IFERROR(__xludf.DUMMYFUNCTION("""COMPUTED_VALUE"""),220.0)</f>
        <v>220</v>
      </c>
      <c r="B223" s="5" t="str">
        <f>IFERROR(__xludf.DUMMYFUNCTION("""COMPUTED_VALUE"""),"-69.41")</f>
        <v>-69.41</v>
      </c>
      <c r="C223" s="5" t="str">
        <f>IFERROR(__xludf.DUMMYFUNCTION("""COMPUTED_VALUE"""),"+81.96")</f>
        <v>+81.96</v>
      </c>
    </row>
    <row r="224">
      <c r="A224" s="5">
        <f>IFERROR(__xludf.DUMMYFUNCTION("""COMPUTED_VALUE"""),221.0)</f>
        <v>221</v>
      </c>
      <c r="B224" s="5" t="str">
        <f>IFERROR(__xludf.DUMMYFUNCTION("""COMPUTED_VALUE"""),"-70.20")</f>
        <v>-70.20</v>
      </c>
      <c r="C224" s="5" t="str">
        <f>IFERROR(__xludf.DUMMYFUNCTION("""COMPUTED_VALUE"""),"+79.61")</f>
        <v>+79.61</v>
      </c>
    </row>
    <row r="225">
      <c r="A225" s="5">
        <f>IFERROR(__xludf.DUMMYFUNCTION("""COMPUTED_VALUE"""),222.0)</f>
        <v>222</v>
      </c>
      <c r="B225" s="5" t="str">
        <f>IFERROR(__xludf.DUMMYFUNCTION("""COMPUTED_VALUE"""),"-71.76")</f>
        <v>-71.76</v>
      </c>
      <c r="C225" s="5" t="str">
        <f>IFERROR(__xludf.DUMMYFUNCTION("""COMPUTED_VALUE"""),"+79.61")</f>
        <v>+79.61</v>
      </c>
    </row>
    <row r="226">
      <c r="A226" s="5">
        <f>IFERROR(__xludf.DUMMYFUNCTION("""COMPUTED_VALUE"""),223.0)</f>
        <v>223</v>
      </c>
      <c r="B226" s="5" t="str">
        <f>IFERROR(__xludf.DUMMYFUNCTION("""COMPUTED_VALUE"""),"-74.12")</f>
        <v>-74.12</v>
      </c>
      <c r="C226" s="5" t="str">
        <f>IFERROR(__xludf.DUMMYFUNCTION("""COMPUTED_VALUE"""),"+78.82")</f>
        <v>+78.82</v>
      </c>
    </row>
    <row r="227">
      <c r="A227" s="5">
        <f>IFERROR(__xludf.DUMMYFUNCTION("""COMPUTED_VALUE"""),224.0)</f>
        <v>224</v>
      </c>
      <c r="B227" s="5" t="str">
        <f>IFERROR(__xludf.DUMMYFUNCTION("""COMPUTED_VALUE"""),"-75.69")</f>
        <v>-75.69</v>
      </c>
      <c r="C227" s="5" t="str">
        <f>IFERROR(__xludf.DUMMYFUNCTION("""COMPUTED_VALUE"""),"+77.26")</f>
        <v>+77.26</v>
      </c>
    </row>
    <row r="228">
      <c r="A228" s="5">
        <f>IFERROR(__xludf.DUMMYFUNCTION("""COMPUTED_VALUE"""),225.0)</f>
        <v>225</v>
      </c>
      <c r="B228" s="5" t="str">
        <f>IFERROR(__xludf.DUMMYFUNCTION("""COMPUTED_VALUE"""),"-76.47")</f>
        <v>-76.47</v>
      </c>
      <c r="C228" s="5" t="str">
        <f>IFERROR(__xludf.DUMMYFUNCTION("""COMPUTED_VALUE"""),"+75.69")</f>
        <v>+75.69</v>
      </c>
    </row>
    <row r="229">
      <c r="A229" s="5">
        <f>IFERROR(__xludf.DUMMYFUNCTION("""COMPUTED_VALUE"""),226.0)</f>
        <v>226</v>
      </c>
      <c r="B229" s="5" t="str">
        <f>IFERROR(__xludf.DUMMYFUNCTION("""COMPUTED_VALUE"""),"-78.82")</f>
        <v>-78.82</v>
      </c>
      <c r="C229" s="5" t="str">
        <f>IFERROR(__xludf.DUMMYFUNCTION("""COMPUTED_VALUE"""),"+74.90")</f>
        <v>+74.90</v>
      </c>
    </row>
    <row r="230">
      <c r="A230" s="5">
        <f>IFERROR(__xludf.DUMMYFUNCTION("""COMPUTED_VALUE"""),227.0)</f>
        <v>227</v>
      </c>
      <c r="B230" s="5" t="str">
        <f>IFERROR(__xludf.DUMMYFUNCTION("""COMPUTED_VALUE"""),"-79.61")</f>
        <v>-79.61</v>
      </c>
      <c r="C230" s="5" t="str">
        <f>IFERROR(__xludf.DUMMYFUNCTION("""COMPUTED_VALUE"""),"+73.33")</f>
        <v>+73.33</v>
      </c>
    </row>
    <row r="231">
      <c r="A231" s="5">
        <f>IFERROR(__xludf.DUMMYFUNCTION("""COMPUTED_VALUE"""),228.0)</f>
        <v>228</v>
      </c>
      <c r="B231" s="5" t="str">
        <f>IFERROR(__xludf.DUMMYFUNCTION("""COMPUTED_VALUE"""),"-80.39")</f>
        <v>-80.39</v>
      </c>
      <c r="C231" s="5" t="str">
        <f>IFERROR(__xludf.DUMMYFUNCTION("""COMPUTED_VALUE"""),"+71.77")</f>
        <v>+71.77</v>
      </c>
    </row>
    <row r="232">
      <c r="A232" s="5">
        <f>IFERROR(__xludf.DUMMYFUNCTION("""COMPUTED_VALUE"""),229.0)</f>
        <v>229</v>
      </c>
      <c r="B232" s="5" t="str">
        <f>IFERROR(__xludf.DUMMYFUNCTION("""COMPUTED_VALUE"""),"-81.18")</f>
        <v>-81.18</v>
      </c>
      <c r="C232" s="5" t="str">
        <f>IFERROR(__xludf.DUMMYFUNCTION("""COMPUTED_VALUE"""),"+70.20")</f>
        <v>+70.20</v>
      </c>
    </row>
    <row r="233">
      <c r="A233" s="5">
        <f>IFERROR(__xludf.DUMMYFUNCTION("""COMPUTED_VALUE"""),230.0)</f>
        <v>230</v>
      </c>
      <c r="B233" s="5" t="str">
        <f>IFERROR(__xludf.DUMMYFUNCTION("""COMPUTED_VALUE"""),"-83.53")</f>
        <v>-83.53</v>
      </c>
      <c r="C233" s="5" t="str">
        <f>IFERROR(__xludf.DUMMYFUNCTION("""COMPUTED_VALUE"""),"+68.63")</f>
        <v>+68.63</v>
      </c>
    </row>
    <row r="234">
      <c r="A234" s="5">
        <f>IFERROR(__xludf.DUMMYFUNCTION("""COMPUTED_VALUE"""),231.0)</f>
        <v>231</v>
      </c>
      <c r="B234" s="5" t="str">
        <f>IFERROR(__xludf.DUMMYFUNCTION("""COMPUTED_VALUE"""),"-84.31")</f>
        <v>-84.31</v>
      </c>
      <c r="C234" s="5" t="str">
        <f>IFERROR(__xludf.DUMMYFUNCTION("""COMPUTED_VALUE"""),"+67.84")</f>
        <v>+67.84</v>
      </c>
    </row>
    <row r="235">
      <c r="A235" s="5">
        <f>IFERROR(__xludf.DUMMYFUNCTION("""COMPUTED_VALUE"""),232.0)</f>
        <v>232</v>
      </c>
      <c r="B235" s="5" t="str">
        <f>IFERROR(__xludf.DUMMYFUNCTION("""COMPUTED_VALUE"""),"-86.67")</f>
        <v>-86.67</v>
      </c>
      <c r="C235" s="5" t="str">
        <f>IFERROR(__xludf.DUMMYFUNCTION("""COMPUTED_VALUE"""),"+66.28")</f>
        <v>+66.28</v>
      </c>
    </row>
    <row r="236">
      <c r="A236" s="5">
        <f>IFERROR(__xludf.DUMMYFUNCTION("""COMPUTED_VALUE"""),233.0)</f>
        <v>233</v>
      </c>
      <c r="B236" s="5" t="str">
        <f>IFERROR(__xludf.DUMMYFUNCTION("""COMPUTED_VALUE"""),"-88.24")</f>
        <v>-88.24</v>
      </c>
      <c r="C236" s="5" t="str">
        <f>IFERROR(__xludf.DUMMYFUNCTION("""COMPUTED_VALUE"""),"+65.49")</f>
        <v>+65.49</v>
      </c>
    </row>
    <row r="237">
      <c r="A237" s="5">
        <f>IFERROR(__xludf.DUMMYFUNCTION("""COMPUTED_VALUE"""),234.0)</f>
        <v>234</v>
      </c>
      <c r="B237" s="5" t="str">
        <f>IFERROR(__xludf.DUMMYFUNCTION("""COMPUTED_VALUE"""),"-88.24")</f>
        <v>-88.24</v>
      </c>
      <c r="C237" s="5" t="str">
        <f>IFERROR(__xludf.DUMMYFUNCTION("""COMPUTED_VALUE"""),"+63.14")</f>
        <v>+63.14</v>
      </c>
    </row>
    <row r="238">
      <c r="A238" s="5">
        <f>IFERROR(__xludf.DUMMYFUNCTION("""COMPUTED_VALUE"""),235.0)</f>
        <v>235</v>
      </c>
      <c r="B238" s="5" t="str">
        <f>IFERROR(__xludf.DUMMYFUNCTION("""COMPUTED_VALUE"""),"-89.02")</f>
        <v>-89.02</v>
      </c>
      <c r="C238" s="5" t="str">
        <f>IFERROR(__xludf.DUMMYFUNCTION("""COMPUTED_VALUE"""),"+61.57")</f>
        <v>+61.57</v>
      </c>
    </row>
    <row r="239">
      <c r="A239" s="5">
        <f>IFERROR(__xludf.DUMMYFUNCTION("""COMPUTED_VALUE"""),236.0)</f>
        <v>236</v>
      </c>
      <c r="B239" s="5" t="str">
        <f>IFERROR(__xludf.DUMMYFUNCTION("""COMPUTED_VALUE"""),"-89.80")</f>
        <v>-89.80</v>
      </c>
      <c r="C239" s="5" t="str">
        <f>IFERROR(__xludf.DUMMYFUNCTION("""COMPUTED_VALUE"""),"+59.22")</f>
        <v>+59.22</v>
      </c>
    </row>
    <row r="240">
      <c r="A240" s="5">
        <f>IFERROR(__xludf.DUMMYFUNCTION("""COMPUTED_VALUE"""),237.0)</f>
        <v>237</v>
      </c>
      <c r="B240" s="5" t="str">
        <f>IFERROR(__xludf.DUMMYFUNCTION("""COMPUTED_VALUE"""),"-90.59")</f>
        <v>-90.59</v>
      </c>
      <c r="C240" s="5" t="str">
        <f>IFERROR(__xludf.DUMMYFUNCTION("""COMPUTED_VALUE"""),"+57.65")</f>
        <v>+57.65</v>
      </c>
    </row>
    <row r="241">
      <c r="A241" s="5">
        <f>IFERROR(__xludf.DUMMYFUNCTION("""COMPUTED_VALUE"""),238.0)</f>
        <v>238</v>
      </c>
      <c r="B241" s="5" t="str">
        <f>IFERROR(__xludf.DUMMYFUNCTION("""COMPUTED_VALUE"""),"-92.94")</f>
        <v>-92.94</v>
      </c>
      <c r="C241" s="5" t="str">
        <f>IFERROR(__xludf.DUMMYFUNCTION("""COMPUTED_VALUE"""),"+56.86")</f>
        <v>+56.86</v>
      </c>
    </row>
    <row r="242">
      <c r="A242" s="5">
        <f>IFERROR(__xludf.DUMMYFUNCTION("""COMPUTED_VALUE"""),239.0)</f>
        <v>239</v>
      </c>
      <c r="B242" s="5" t="str">
        <f>IFERROR(__xludf.DUMMYFUNCTION("""COMPUTED_VALUE"""),"-93.73")</f>
        <v>-93.73</v>
      </c>
      <c r="C242" s="5" t="str">
        <f>IFERROR(__xludf.DUMMYFUNCTION("""COMPUTED_VALUE"""),"+56.08")</f>
        <v>+56.08</v>
      </c>
    </row>
    <row r="243">
      <c r="A243" s="5">
        <f>IFERROR(__xludf.DUMMYFUNCTION("""COMPUTED_VALUE"""),240.0)</f>
        <v>240</v>
      </c>
      <c r="B243" s="5" t="str">
        <f>IFERROR(__xludf.DUMMYFUNCTION("""COMPUTED_VALUE"""),"-94.51")</f>
        <v>-94.51</v>
      </c>
      <c r="C243" s="5" t="str">
        <f>IFERROR(__xludf.DUMMYFUNCTION("""COMPUTED_VALUE"""),"+53.73")</f>
        <v>+53.73</v>
      </c>
    </row>
    <row r="244">
      <c r="A244" s="5">
        <f>IFERROR(__xludf.DUMMYFUNCTION("""COMPUTED_VALUE"""),241.0)</f>
        <v>241</v>
      </c>
      <c r="B244" s="5" t="str">
        <f>IFERROR(__xludf.DUMMYFUNCTION("""COMPUTED_VALUE"""),"-95.29")</f>
        <v>-95.29</v>
      </c>
      <c r="C244" s="5" t="str">
        <f>IFERROR(__xludf.DUMMYFUNCTION("""COMPUTED_VALUE"""),"+52.16")</f>
        <v>+52.16</v>
      </c>
    </row>
    <row r="245">
      <c r="A245" s="5">
        <f>IFERROR(__xludf.DUMMYFUNCTION("""COMPUTED_VALUE"""),242.0)</f>
        <v>242</v>
      </c>
      <c r="B245" s="5" t="str">
        <f>IFERROR(__xludf.DUMMYFUNCTION("""COMPUTED_VALUE"""),"-96.86")</f>
        <v>-96.86</v>
      </c>
      <c r="C245" s="5" t="str">
        <f>IFERROR(__xludf.DUMMYFUNCTION("""COMPUTED_VALUE"""),"+50.59")</f>
        <v>+50.59</v>
      </c>
    </row>
    <row r="246">
      <c r="A246" s="5">
        <f>IFERROR(__xludf.DUMMYFUNCTION("""COMPUTED_VALUE"""),243.0)</f>
        <v>243</v>
      </c>
      <c r="B246" s="5" t="str">
        <f>IFERROR(__xludf.DUMMYFUNCTION("""COMPUTED_VALUE"""),"-97.65")</f>
        <v>-97.65</v>
      </c>
      <c r="C246" s="5" t="str">
        <f>IFERROR(__xludf.DUMMYFUNCTION("""COMPUTED_VALUE"""),"+49.02")</f>
        <v>+49.02</v>
      </c>
    </row>
    <row r="247">
      <c r="A247" s="5">
        <f>IFERROR(__xludf.DUMMYFUNCTION("""COMPUTED_VALUE"""),244.0)</f>
        <v>244</v>
      </c>
      <c r="B247" s="5" t="str">
        <f>IFERROR(__xludf.DUMMYFUNCTION("""COMPUTED_VALUE"""),"-98.43")</f>
        <v>-98.43</v>
      </c>
      <c r="C247" s="5" t="str">
        <f>IFERROR(__xludf.DUMMYFUNCTION("""COMPUTED_VALUE"""),"+47.45")</f>
        <v>+47.45</v>
      </c>
    </row>
    <row r="248">
      <c r="A248" s="5">
        <f>IFERROR(__xludf.DUMMYFUNCTION("""COMPUTED_VALUE"""),245.0)</f>
        <v>245</v>
      </c>
      <c r="B248" s="5" t="str">
        <f>IFERROR(__xludf.DUMMYFUNCTION("""COMPUTED_VALUE"""),"-99.22")</f>
        <v>-99.22</v>
      </c>
      <c r="C248" s="5" t="str">
        <f>IFERROR(__xludf.DUMMYFUNCTION("""COMPUTED_VALUE"""),"+45.10")</f>
        <v>+45.10</v>
      </c>
    </row>
    <row r="249">
      <c r="A249" s="5">
        <f>IFERROR(__xludf.DUMMYFUNCTION("""COMPUTED_VALUE"""),246.0)</f>
        <v>246</v>
      </c>
      <c r="B249" s="5" t="str">
        <f>IFERROR(__xludf.DUMMYFUNCTION("""COMPUTED_VALUE"""),"-100.00")</f>
        <v>-100.00</v>
      </c>
      <c r="C249" s="5" t="str">
        <f>IFERROR(__xludf.DUMMYFUNCTION("""COMPUTED_VALUE"""),"+43.53")</f>
        <v>+43.53</v>
      </c>
    </row>
    <row r="250">
      <c r="A250" s="5">
        <f>IFERROR(__xludf.DUMMYFUNCTION("""COMPUTED_VALUE"""),247.0)</f>
        <v>247</v>
      </c>
      <c r="B250" s="5" t="str">
        <f>IFERROR(__xludf.DUMMYFUNCTION("""COMPUTED_VALUE"""),"-100.00")</f>
        <v>-100.00</v>
      </c>
      <c r="C250" s="5" t="str">
        <f>IFERROR(__xludf.DUMMYFUNCTION("""COMPUTED_VALUE"""),"+41.96")</f>
        <v>+41.96</v>
      </c>
    </row>
    <row r="251">
      <c r="A251" s="5">
        <f>IFERROR(__xludf.DUMMYFUNCTION("""COMPUTED_VALUE"""),248.0)</f>
        <v>248</v>
      </c>
      <c r="B251" s="5" t="str">
        <f>IFERROR(__xludf.DUMMYFUNCTION("""COMPUTED_VALUE"""),"-100.00")</f>
        <v>-100.00</v>
      </c>
      <c r="C251" s="5" t="str">
        <f>IFERROR(__xludf.DUMMYFUNCTION("""COMPUTED_VALUE"""),"+39.61")</f>
        <v>+39.61</v>
      </c>
    </row>
    <row r="252">
      <c r="A252" s="5">
        <f>IFERROR(__xludf.DUMMYFUNCTION("""COMPUTED_VALUE"""),249.0)</f>
        <v>249</v>
      </c>
      <c r="B252" s="5" t="str">
        <f>IFERROR(__xludf.DUMMYFUNCTION("""COMPUTED_VALUE"""),"-100.00")</f>
        <v>-100.00</v>
      </c>
      <c r="C252" s="5" t="str">
        <f>IFERROR(__xludf.DUMMYFUNCTION("""COMPUTED_VALUE"""),"+38.04")</f>
        <v>+38.04</v>
      </c>
    </row>
    <row r="253">
      <c r="A253" s="5">
        <f>IFERROR(__xludf.DUMMYFUNCTION("""COMPUTED_VALUE"""),250.0)</f>
        <v>250</v>
      </c>
      <c r="B253" s="5" t="str">
        <f>IFERROR(__xludf.DUMMYFUNCTION("""COMPUTED_VALUE"""),"-100.00")</f>
        <v>-100.00</v>
      </c>
      <c r="C253" s="5" t="str">
        <f>IFERROR(__xludf.DUMMYFUNCTION("""COMPUTED_VALUE"""),"+35.69")</f>
        <v>+35.69</v>
      </c>
    </row>
    <row r="254">
      <c r="A254" s="5">
        <f>IFERROR(__xludf.DUMMYFUNCTION("""COMPUTED_VALUE"""),251.0)</f>
        <v>251</v>
      </c>
      <c r="B254" s="5" t="str">
        <f>IFERROR(__xludf.DUMMYFUNCTION("""COMPUTED_VALUE"""),"-100.00")</f>
        <v>-100.00</v>
      </c>
      <c r="C254" s="5" t="str">
        <f>IFERROR(__xludf.DUMMYFUNCTION("""COMPUTED_VALUE"""),"+34.12")</f>
        <v>+34.12</v>
      </c>
    </row>
    <row r="255">
      <c r="A255" s="5">
        <f>IFERROR(__xludf.DUMMYFUNCTION("""COMPUTED_VALUE"""),252.0)</f>
        <v>252</v>
      </c>
      <c r="B255" s="5" t="str">
        <f>IFERROR(__xludf.DUMMYFUNCTION("""COMPUTED_VALUE"""),"-100.00")</f>
        <v>-100.00</v>
      </c>
      <c r="C255" s="5" t="str">
        <f>IFERROR(__xludf.DUMMYFUNCTION("""COMPUTED_VALUE"""),"+32.55")</f>
        <v>+32.55</v>
      </c>
    </row>
    <row r="256">
      <c r="A256" s="5">
        <f>IFERROR(__xludf.DUMMYFUNCTION("""COMPUTED_VALUE"""),253.0)</f>
        <v>253</v>
      </c>
      <c r="B256" s="5" t="str">
        <f>IFERROR(__xludf.DUMMYFUNCTION("""COMPUTED_VALUE"""),"-100.00")</f>
        <v>-100.00</v>
      </c>
      <c r="C256" s="5" t="str">
        <f>IFERROR(__xludf.DUMMYFUNCTION("""COMPUTED_VALUE"""),"+30.20")</f>
        <v>+30.20</v>
      </c>
    </row>
    <row r="257">
      <c r="A257" s="5">
        <f>IFERROR(__xludf.DUMMYFUNCTION("""COMPUTED_VALUE"""),254.0)</f>
        <v>254</v>
      </c>
      <c r="B257" s="5" t="str">
        <f>IFERROR(__xludf.DUMMYFUNCTION("""COMPUTED_VALUE"""),"-100.00")</f>
        <v>-100.00</v>
      </c>
      <c r="C257" s="5" t="str">
        <f>IFERROR(__xludf.DUMMYFUNCTION("""COMPUTED_VALUE"""),"+28.63")</f>
        <v>+28.63</v>
      </c>
    </row>
    <row r="258">
      <c r="A258" s="5">
        <f>IFERROR(__xludf.DUMMYFUNCTION("""COMPUTED_VALUE"""),255.0)</f>
        <v>255</v>
      </c>
      <c r="B258" s="5" t="str">
        <f>IFERROR(__xludf.DUMMYFUNCTION("""COMPUTED_VALUE"""),"-100.00")</f>
        <v>-100.00</v>
      </c>
      <c r="C258" s="5" t="str">
        <f>IFERROR(__xludf.DUMMYFUNCTION("""COMPUTED_VALUE"""),"+27.06")</f>
        <v>+27.06</v>
      </c>
    </row>
    <row r="259">
      <c r="A259" s="5">
        <f>IFERROR(__xludf.DUMMYFUNCTION("""COMPUTED_VALUE"""),256.0)</f>
        <v>256</v>
      </c>
      <c r="B259" s="5" t="str">
        <f>IFERROR(__xludf.DUMMYFUNCTION("""COMPUTED_VALUE"""),"-100.00")</f>
        <v>-100.00</v>
      </c>
      <c r="C259" s="5" t="str">
        <f>IFERROR(__xludf.DUMMYFUNCTION("""COMPUTED_VALUE"""),"+24.71")</f>
        <v>+24.71</v>
      </c>
    </row>
    <row r="260">
      <c r="A260" s="5">
        <f>IFERROR(__xludf.DUMMYFUNCTION("""COMPUTED_VALUE"""),257.0)</f>
        <v>257</v>
      </c>
      <c r="B260" s="5" t="str">
        <f>IFERROR(__xludf.DUMMYFUNCTION("""COMPUTED_VALUE"""),"-100.00")</f>
        <v>-100.00</v>
      </c>
      <c r="C260" s="5" t="str">
        <f>IFERROR(__xludf.DUMMYFUNCTION("""COMPUTED_VALUE"""),"+23.14")</f>
        <v>+23.14</v>
      </c>
    </row>
    <row r="261">
      <c r="A261" s="5">
        <f>IFERROR(__xludf.DUMMYFUNCTION("""COMPUTED_VALUE"""),258.0)</f>
        <v>258</v>
      </c>
      <c r="B261" s="5" t="str">
        <f>IFERROR(__xludf.DUMMYFUNCTION("""COMPUTED_VALUE"""),"-100.00")</f>
        <v>-100.00</v>
      </c>
      <c r="C261" s="5" t="str">
        <f>IFERROR(__xludf.DUMMYFUNCTION("""COMPUTED_VALUE"""),"+21.57")</f>
        <v>+21.57</v>
      </c>
    </row>
    <row r="262">
      <c r="A262" s="5">
        <f>IFERROR(__xludf.DUMMYFUNCTION("""COMPUTED_VALUE"""),259.0)</f>
        <v>259</v>
      </c>
      <c r="B262" s="5" t="str">
        <f>IFERROR(__xludf.DUMMYFUNCTION("""COMPUTED_VALUE"""),"-100.00")</f>
        <v>-100.00</v>
      </c>
      <c r="C262" s="5" t="str">
        <f>IFERROR(__xludf.DUMMYFUNCTION("""COMPUTED_VALUE"""),"+20.00")</f>
        <v>+20.00</v>
      </c>
    </row>
    <row r="263">
      <c r="A263" s="5">
        <f>IFERROR(__xludf.DUMMYFUNCTION("""COMPUTED_VALUE"""),260.0)</f>
        <v>260</v>
      </c>
      <c r="B263" s="5" t="str">
        <f>IFERROR(__xludf.DUMMYFUNCTION("""COMPUTED_VALUE"""),"-100.00")</f>
        <v>-100.00</v>
      </c>
      <c r="C263" s="5" t="str">
        <f>IFERROR(__xludf.DUMMYFUNCTION("""COMPUTED_VALUE"""),"+18.43")</f>
        <v>+18.43</v>
      </c>
    </row>
    <row r="264">
      <c r="A264" s="5">
        <f>IFERROR(__xludf.DUMMYFUNCTION("""COMPUTED_VALUE"""),261.0)</f>
        <v>261</v>
      </c>
      <c r="B264" s="5" t="str">
        <f>IFERROR(__xludf.DUMMYFUNCTION("""COMPUTED_VALUE"""),"-100.00")</f>
        <v>-100.00</v>
      </c>
      <c r="C264" s="5" t="str">
        <f>IFERROR(__xludf.DUMMYFUNCTION("""COMPUTED_VALUE"""),"+16.08")</f>
        <v>+16.08</v>
      </c>
    </row>
    <row r="265">
      <c r="A265" s="5">
        <f>IFERROR(__xludf.DUMMYFUNCTION("""COMPUTED_VALUE"""),262.0)</f>
        <v>262</v>
      </c>
      <c r="B265" s="5" t="str">
        <f>IFERROR(__xludf.DUMMYFUNCTION("""COMPUTED_VALUE"""),"-100.00")</f>
        <v>-100.00</v>
      </c>
      <c r="C265" s="5" t="str">
        <f>IFERROR(__xludf.DUMMYFUNCTION("""COMPUTED_VALUE"""),"+14.51")</f>
        <v>+14.51</v>
      </c>
    </row>
    <row r="266">
      <c r="A266" s="5">
        <f>IFERROR(__xludf.DUMMYFUNCTION("""COMPUTED_VALUE"""),263.0)</f>
        <v>263</v>
      </c>
      <c r="B266" s="5" t="str">
        <f>IFERROR(__xludf.DUMMYFUNCTION("""COMPUTED_VALUE"""),"-100.00")</f>
        <v>-100.00</v>
      </c>
      <c r="C266" s="5" t="str">
        <f>IFERROR(__xludf.DUMMYFUNCTION("""COMPUTED_VALUE"""),"+12.94")</f>
        <v>+12.94</v>
      </c>
    </row>
    <row r="267">
      <c r="A267" s="5">
        <f>IFERROR(__xludf.DUMMYFUNCTION("""COMPUTED_VALUE"""),264.0)</f>
        <v>264</v>
      </c>
      <c r="B267" s="5" t="str">
        <f>IFERROR(__xludf.DUMMYFUNCTION("""COMPUTED_VALUE"""),"-100.00")</f>
        <v>-100.00</v>
      </c>
      <c r="C267" s="5" t="str">
        <f>IFERROR(__xludf.DUMMYFUNCTION("""COMPUTED_VALUE"""),"+11.37")</f>
        <v>+11.37</v>
      </c>
    </row>
    <row r="268">
      <c r="A268" s="5">
        <f>IFERROR(__xludf.DUMMYFUNCTION("""COMPUTED_VALUE"""),265.0)</f>
        <v>265</v>
      </c>
      <c r="B268" s="5" t="str">
        <f>IFERROR(__xludf.DUMMYFUNCTION("""COMPUTED_VALUE"""),"-100.00")</f>
        <v>-100.00</v>
      </c>
      <c r="C268" s="5" t="str">
        <f>IFERROR(__xludf.DUMMYFUNCTION("""COMPUTED_VALUE"""),"+9.02")</f>
        <v>+9.02</v>
      </c>
    </row>
    <row r="269">
      <c r="A269" s="5">
        <f>IFERROR(__xludf.DUMMYFUNCTION("""COMPUTED_VALUE"""),266.0)</f>
        <v>266</v>
      </c>
      <c r="B269" s="5" t="str">
        <f>IFERROR(__xludf.DUMMYFUNCTION("""COMPUTED_VALUE"""),"-100.00")</f>
        <v>-100.00</v>
      </c>
      <c r="C269" s="5" t="str">
        <f>IFERROR(__xludf.DUMMYFUNCTION("""COMPUTED_VALUE"""),"+8.24")</f>
        <v>+8.24</v>
      </c>
    </row>
    <row r="270">
      <c r="A270" s="5">
        <f>IFERROR(__xludf.DUMMYFUNCTION("""COMPUTED_VALUE"""),267.0)</f>
        <v>267</v>
      </c>
      <c r="B270" s="5" t="str">
        <f>IFERROR(__xludf.DUMMYFUNCTION("""COMPUTED_VALUE"""),"-100.00")</f>
        <v>-100.00</v>
      </c>
      <c r="C270" s="5" t="str">
        <f>IFERROR(__xludf.DUMMYFUNCTION("""COMPUTED_VALUE"""),"+5.88")</f>
        <v>+5.88</v>
      </c>
    </row>
    <row r="271">
      <c r="A271" s="5">
        <f>IFERROR(__xludf.DUMMYFUNCTION("""COMPUTED_VALUE"""),268.0)</f>
        <v>268</v>
      </c>
      <c r="B271" s="5" t="str">
        <f>IFERROR(__xludf.DUMMYFUNCTION("""COMPUTED_VALUE"""),"-100.00")</f>
        <v>-100.00</v>
      </c>
      <c r="C271" s="5" t="str">
        <f>IFERROR(__xludf.DUMMYFUNCTION("""COMPUTED_VALUE"""),"+4.31")</f>
        <v>+4.31</v>
      </c>
    </row>
    <row r="272">
      <c r="A272" s="5">
        <f>IFERROR(__xludf.DUMMYFUNCTION("""COMPUTED_VALUE"""),269.0)</f>
        <v>269</v>
      </c>
      <c r="B272" s="5" t="str">
        <f>IFERROR(__xludf.DUMMYFUNCTION("""COMPUTED_VALUE"""),"-100.00")</f>
        <v>-100.00</v>
      </c>
      <c r="C272" s="5" t="str">
        <f>IFERROR(__xludf.DUMMYFUNCTION("""COMPUTED_VALUE"""),"+1.96")</f>
        <v>+1.96</v>
      </c>
    </row>
    <row r="273">
      <c r="A273" s="5">
        <f>IFERROR(__xludf.DUMMYFUNCTION("""COMPUTED_VALUE"""),270.0)</f>
        <v>270</v>
      </c>
      <c r="B273" s="5" t="str">
        <f>IFERROR(__xludf.DUMMYFUNCTION("""COMPUTED_VALUE"""),"-100.00")</f>
        <v>-100.00</v>
      </c>
      <c r="C273" s="5" t="str">
        <f>IFERROR(__xludf.DUMMYFUNCTION("""COMPUTED_VALUE"""),"-0.39")</f>
        <v>-0.39</v>
      </c>
    </row>
    <row r="274">
      <c r="A274" s="5">
        <f>IFERROR(__xludf.DUMMYFUNCTION("""COMPUTED_VALUE"""),271.0)</f>
        <v>271</v>
      </c>
      <c r="B274" s="5" t="str">
        <f>IFERROR(__xludf.DUMMYFUNCTION("""COMPUTED_VALUE"""),"-100.00")</f>
        <v>-100.00</v>
      </c>
      <c r="C274" s="5" t="str">
        <f>IFERROR(__xludf.DUMMYFUNCTION("""COMPUTED_VALUE"""),"-1.96")</f>
        <v>-1.96</v>
      </c>
    </row>
    <row r="275">
      <c r="A275" s="5">
        <f>IFERROR(__xludf.DUMMYFUNCTION("""COMPUTED_VALUE"""),272.0)</f>
        <v>272</v>
      </c>
      <c r="B275" s="5" t="str">
        <f>IFERROR(__xludf.DUMMYFUNCTION("""COMPUTED_VALUE"""),"-100.00")</f>
        <v>-100.00</v>
      </c>
      <c r="C275" s="5" t="str">
        <f>IFERROR(__xludf.DUMMYFUNCTION("""COMPUTED_VALUE"""),"-4.31")</f>
        <v>-4.31</v>
      </c>
    </row>
    <row r="276">
      <c r="A276" s="5">
        <f>IFERROR(__xludf.DUMMYFUNCTION("""COMPUTED_VALUE"""),273.0)</f>
        <v>273</v>
      </c>
      <c r="B276" s="5" t="str">
        <f>IFERROR(__xludf.DUMMYFUNCTION("""COMPUTED_VALUE"""),"-100.00")</f>
        <v>-100.00</v>
      </c>
      <c r="C276" s="5" t="str">
        <f>IFERROR(__xludf.DUMMYFUNCTION("""COMPUTED_VALUE"""),"-6.67")</f>
        <v>-6.67</v>
      </c>
    </row>
    <row r="277">
      <c r="A277" s="5">
        <f>IFERROR(__xludf.DUMMYFUNCTION("""COMPUTED_VALUE"""),274.0)</f>
        <v>274</v>
      </c>
      <c r="B277" s="5" t="str">
        <f>IFERROR(__xludf.DUMMYFUNCTION("""COMPUTED_VALUE"""),"-100.00")</f>
        <v>-100.00</v>
      </c>
      <c r="C277" s="5" t="str">
        <f>IFERROR(__xludf.DUMMYFUNCTION("""COMPUTED_VALUE"""),"-8.23")</f>
        <v>-8.23</v>
      </c>
    </row>
    <row r="278">
      <c r="A278" s="5">
        <f>IFERROR(__xludf.DUMMYFUNCTION("""COMPUTED_VALUE"""),275.0)</f>
        <v>275</v>
      </c>
      <c r="B278" s="5" t="str">
        <f>IFERROR(__xludf.DUMMYFUNCTION("""COMPUTED_VALUE"""),"-100.00")</f>
        <v>-100.00</v>
      </c>
      <c r="C278" s="5" t="str">
        <f>IFERROR(__xludf.DUMMYFUNCTION("""COMPUTED_VALUE"""),"-10.59")</f>
        <v>-10.59</v>
      </c>
    </row>
    <row r="279">
      <c r="A279" s="5">
        <f>IFERROR(__xludf.DUMMYFUNCTION("""COMPUTED_VALUE"""),276.0)</f>
        <v>276</v>
      </c>
      <c r="B279" s="5" t="str">
        <f>IFERROR(__xludf.DUMMYFUNCTION("""COMPUTED_VALUE"""),"-100.00")</f>
        <v>-100.00</v>
      </c>
      <c r="C279" s="5" t="str">
        <f>IFERROR(__xludf.DUMMYFUNCTION("""COMPUTED_VALUE"""),"-11.37")</f>
        <v>-11.37</v>
      </c>
    </row>
    <row r="280">
      <c r="A280" s="5">
        <f>IFERROR(__xludf.DUMMYFUNCTION("""COMPUTED_VALUE"""),277.0)</f>
        <v>277</v>
      </c>
      <c r="B280" s="5" t="str">
        <f>IFERROR(__xludf.DUMMYFUNCTION("""COMPUTED_VALUE"""),"-100.00")</f>
        <v>-100.00</v>
      </c>
      <c r="C280" s="5" t="str">
        <f>IFERROR(__xludf.DUMMYFUNCTION("""COMPUTED_VALUE"""),"-13.73")</f>
        <v>-13.73</v>
      </c>
    </row>
    <row r="281">
      <c r="A281" s="5">
        <f>IFERROR(__xludf.DUMMYFUNCTION("""COMPUTED_VALUE"""),278.0)</f>
        <v>278</v>
      </c>
      <c r="B281" s="5" t="str">
        <f>IFERROR(__xludf.DUMMYFUNCTION("""COMPUTED_VALUE"""),"-100.00")</f>
        <v>-100.00</v>
      </c>
      <c r="C281" s="5" t="str">
        <f>IFERROR(__xludf.DUMMYFUNCTION("""COMPUTED_VALUE"""),"-14.51")</f>
        <v>-14.51</v>
      </c>
    </row>
    <row r="282">
      <c r="A282" s="5">
        <f>IFERROR(__xludf.DUMMYFUNCTION("""COMPUTED_VALUE"""),279.0)</f>
        <v>279</v>
      </c>
      <c r="B282" s="5" t="str">
        <f>IFERROR(__xludf.DUMMYFUNCTION("""COMPUTED_VALUE"""),"-100.00")</f>
        <v>-100.00</v>
      </c>
      <c r="C282" s="5" t="str">
        <f>IFERROR(__xludf.DUMMYFUNCTION("""COMPUTED_VALUE"""),"-17.65")</f>
        <v>-17.65</v>
      </c>
    </row>
    <row r="283">
      <c r="A283" s="5">
        <f>IFERROR(__xludf.DUMMYFUNCTION("""COMPUTED_VALUE"""),280.0)</f>
        <v>280</v>
      </c>
      <c r="B283" s="5" t="str">
        <f>IFERROR(__xludf.DUMMYFUNCTION("""COMPUTED_VALUE"""),"-100.00")</f>
        <v>-100.00</v>
      </c>
      <c r="C283" s="5" t="str">
        <f>IFERROR(__xludf.DUMMYFUNCTION("""COMPUTED_VALUE"""),"-19.22")</f>
        <v>-19.22</v>
      </c>
    </row>
    <row r="284">
      <c r="A284" s="5">
        <f>IFERROR(__xludf.DUMMYFUNCTION("""COMPUTED_VALUE"""),281.0)</f>
        <v>281</v>
      </c>
      <c r="B284" s="5" t="str">
        <f>IFERROR(__xludf.DUMMYFUNCTION("""COMPUTED_VALUE"""),"-100.00")</f>
        <v>-100.00</v>
      </c>
      <c r="C284" s="5" t="str">
        <f>IFERROR(__xludf.DUMMYFUNCTION("""COMPUTED_VALUE"""),"-20.78")</f>
        <v>-20.78</v>
      </c>
    </row>
    <row r="285">
      <c r="A285" s="5">
        <f>IFERROR(__xludf.DUMMYFUNCTION("""COMPUTED_VALUE"""),282.0)</f>
        <v>282</v>
      </c>
      <c r="B285" s="5" t="str">
        <f>IFERROR(__xludf.DUMMYFUNCTION("""COMPUTED_VALUE"""),"-100.00")</f>
        <v>-100.00</v>
      </c>
      <c r="C285" s="5" t="str">
        <f>IFERROR(__xludf.DUMMYFUNCTION("""COMPUTED_VALUE"""),"-22.35")</f>
        <v>-22.35</v>
      </c>
    </row>
    <row r="286">
      <c r="A286" s="5">
        <f>IFERROR(__xludf.DUMMYFUNCTION("""COMPUTED_VALUE"""),283.0)</f>
        <v>283</v>
      </c>
      <c r="B286" s="5" t="str">
        <f>IFERROR(__xludf.DUMMYFUNCTION("""COMPUTED_VALUE"""),"-100.00")</f>
        <v>-100.00</v>
      </c>
      <c r="C286" s="5" t="str">
        <f>IFERROR(__xludf.DUMMYFUNCTION("""COMPUTED_VALUE"""),"-23.14")</f>
        <v>-23.14</v>
      </c>
    </row>
    <row r="287">
      <c r="A287" s="5">
        <f>IFERROR(__xludf.DUMMYFUNCTION("""COMPUTED_VALUE"""),284.0)</f>
        <v>284</v>
      </c>
      <c r="B287" s="5" t="str">
        <f>IFERROR(__xludf.DUMMYFUNCTION("""COMPUTED_VALUE"""),"-100.00")</f>
        <v>-100.00</v>
      </c>
      <c r="C287" s="5" t="str">
        <f>IFERROR(__xludf.DUMMYFUNCTION("""COMPUTED_VALUE"""),"-26.27")</f>
        <v>-26.27</v>
      </c>
    </row>
    <row r="288">
      <c r="A288" s="5">
        <f>IFERROR(__xludf.DUMMYFUNCTION("""COMPUTED_VALUE"""),285.0)</f>
        <v>285</v>
      </c>
      <c r="B288" s="5" t="str">
        <f>IFERROR(__xludf.DUMMYFUNCTION("""COMPUTED_VALUE"""),"-100.00")</f>
        <v>-100.00</v>
      </c>
      <c r="C288" s="5" t="str">
        <f>IFERROR(__xludf.DUMMYFUNCTION("""COMPUTED_VALUE"""),"-27.06")</f>
        <v>-27.06</v>
      </c>
    </row>
    <row r="289">
      <c r="A289" s="5">
        <f>IFERROR(__xludf.DUMMYFUNCTION("""COMPUTED_VALUE"""),286.0)</f>
        <v>286</v>
      </c>
      <c r="B289" s="5" t="str">
        <f>IFERROR(__xludf.DUMMYFUNCTION("""COMPUTED_VALUE"""),"-100.00")</f>
        <v>-100.00</v>
      </c>
      <c r="C289" s="5" t="str">
        <f>IFERROR(__xludf.DUMMYFUNCTION("""COMPUTED_VALUE"""),"-29.41")</f>
        <v>-29.41</v>
      </c>
    </row>
    <row r="290">
      <c r="A290" s="5">
        <f>IFERROR(__xludf.DUMMYFUNCTION("""COMPUTED_VALUE"""),287.0)</f>
        <v>287</v>
      </c>
      <c r="B290" s="5" t="str">
        <f>IFERROR(__xludf.DUMMYFUNCTION("""COMPUTED_VALUE"""),"-100.00")</f>
        <v>-100.00</v>
      </c>
      <c r="C290" s="5" t="str">
        <f>IFERROR(__xludf.DUMMYFUNCTION("""COMPUTED_VALUE"""),"-31.76")</f>
        <v>-31.76</v>
      </c>
    </row>
    <row r="291">
      <c r="A291" s="5">
        <f>IFERROR(__xludf.DUMMYFUNCTION("""COMPUTED_VALUE"""),288.0)</f>
        <v>288</v>
      </c>
      <c r="B291" s="5" t="str">
        <f>IFERROR(__xludf.DUMMYFUNCTION("""COMPUTED_VALUE"""),"-100.00")</f>
        <v>-100.00</v>
      </c>
      <c r="C291" s="5" t="str">
        <f>IFERROR(__xludf.DUMMYFUNCTION("""COMPUTED_VALUE"""),"-33.33")</f>
        <v>-33.33</v>
      </c>
    </row>
    <row r="292">
      <c r="A292" s="5">
        <f>IFERROR(__xludf.DUMMYFUNCTION("""COMPUTED_VALUE"""),289.0)</f>
        <v>289</v>
      </c>
      <c r="B292" s="5" t="str">
        <f>IFERROR(__xludf.DUMMYFUNCTION("""COMPUTED_VALUE"""),"-100.00")</f>
        <v>-100.00</v>
      </c>
      <c r="C292" s="5" t="str">
        <f>IFERROR(__xludf.DUMMYFUNCTION("""COMPUTED_VALUE"""),"-34.90")</f>
        <v>-34.90</v>
      </c>
    </row>
    <row r="293">
      <c r="A293" s="5">
        <f>IFERROR(__xludf.DUMMYFUNCTION("""COMPUTED_VALUE"""),290.0)</f>
        <v>290</v>
      </c>
      <c r="B293" s="5" t="str">
        <f>IFERROR(__xludf.DUMMYFUNCTION("""COMPUTED_VALUE"""),"-100.00")</f>
        <v>-100.00</v>
      </c>
      <c r="C293" s="5" t="str">
        <f>IFERROR(__xludf.DUMMYFUNCTION("""COMPUTED_VALUE"""),"-36.47")</f>
        <v>-36.47</v>
      </c>
    </row>
    <row r="294">
      <c r="A294" s="5">
        <f>IFERROR(__xludf.DUMMYFUNCTION("""COMPUTED_VALUE"""),291.0)</f>
        <v>291</v>
      </c>
      <c r="B294" s="5" t="str">
        <f>IFERROR(__xludf.DUMMYFUNCTION("""COMPUTED_VALUE"""),"-100.00")</f>
        <v>-100.00</v>
      </c>
      <c r="C294" s="5" t="str">
        <f>IFERROR(__xludf.DUMMYFUNCTION("""COMPUTED_VALUE"""),"-38.82")</f>
        <v>-38.82</v>
      </c>
    </row>
    <row r="295">
      <c r="A295" s="5">
        <f>IFERROR(__xludf.DUMMYFUNCTION("""COMPUTED_VALUE"""),292.0)</f>
        <v>292</v>
      </c>
      <c r="B295" s="5" t="str">
        <f>IFERROR(__xludf.DUMMYFUNCTION("""COMPUTED_VALUE"""),"-99.22")</f>
        <v>-99.22</v>
      </c>
      <c r="C295" s="5" t="str">
        <f>IFERROR(__xludf.DUMMYFUNCTION("""COMPUTED_VALUE"""),"-40.39")</f>
        <v>-40.39</v>
      </c>
    </row>
    <row r="296">
      <c r="A296" s="5">
        <f>IFERROR(__xludf.DUMMYFUNCTION("""COMPUTED_VALUE"""),293.0)</f>
        <v>293</v>
      </c>
      <c r="B296" s="5" t="str">
        <f>IFERROR(__xludf.DUMMYFUNCTION("""COMPUTED_VALUE"""),"-99.22")</f>
        <v>-99.22</v>
      </c>
      <c r="C296" s="5" t="str">
        <f>IFERROR(__xludf.DUMMYFUNCTION("""COMPUTED_VALUE"""),"-41.96")</f>
        <v>-41.96</v>
      </c>
    </row>
    <row r="297">
      <c r="A297" s="5">
        <f>IFERROR(__xludf.DUMMYFUNCTION("""COMPUTED_VALUE"""),294.0)</f>
        <v>294</v>
      </c>
      <c r="B297" s="5" t="str">
        <f>IFERROR(__xludf.DUMMYFUNCTION("""COMPUTED_VALUE"""),"-98.43")</f>
        <v>-98.43</v>
      </c>
      <c r="C297" s="5" t="str">
        <f>IFERROR(__xludf.DUMMYFUNCTION("""COMPUTED_VALUE"""),"-43.53")</f>
        <v>-43.53</v>
      </c>
    </row>
    <row r="298">
      <c r="A298" s="5">
        <f>IFERROR(__xludf.DUMMYFUNCTION("""COMPUTED_VALUE"""),295.0)</f>
        <v>295</v>
      </c>
      <c r="B298" s="5" t="str">
        <f>IFERROR(__xludf.DUMMYFUNCTION("""COMPUTED_VALUE"""),"-98.43")</f>
        <v>-98.43</v>
      </c>
      <c r="C298" s="5" t="str">
        <f>IFERROR(__xludf.DUMMYFUNCTION("""COMPUTED_VALUE"""),"-45.88")</f>
        <v>-45.88</v>
      </c>
    </row>
    <row r="299">
      <c r="A299" s="5">
        <f>IFERROR(__xludf.DUMMYFUNCTION("""COMPUTED_VALUE"""),296.0)</f>
        <v>296</v>
      </c>
      <c r="B299" s="5" t="str">
        <f>IFERROR(__xludf.DUMMYFUNCTION("""COMPUTED_VALUE"""),"-97.65")</f>
        <v>-97.65</v>
      </c>
      <c r="C299" s="5" t="str">
        <f>IFERROR(__xludf.DUMMYFUNCTION("""COMPUTED_VALUE"""),"-46.67")</f>
        <v>-46.67</v>
      </c>
    </row>
    <row r="300">
      <c r="A300" s="5">
        <f>IFERROR(__xludf.DUMMYFUNCTION("""COMPUTED_VALUE"""),297.0)</f>
        <v>297</v>
      </c>
      <c r="B300" s="5" t="str">
        <f>IFERROR(__xludf.DUMMYFUNCTION("""COMPUTED_VALUE"""),"-96.86")</f>
        <v>-96.86</v>
      </c>
      <c r="C300" s="5" t="str">
        <f>IFERROR(__xludf.DUMMYFUNCTION("""COMPUTED_VALUE"""),"-49.02")</f>
        <v>-49.02</v>
      </c>
    </row>
    <row r="301">
      <c r="A301" s="5">
        <f>IFERROR(__xludf.DUMMYFUNCTION("""COMPUTED_VALUE"""),298.0)</f>
        <v>298</v>
      </c>
      <c r="B301" s="5" t="str">
        <f>IFERROR(__xludf.DUMMYFUNCTION("""COMPUTED_VALUE"""),"-95.29")</f>
        <v>-95.29</v>
      </c>
      <c r="C301" s="5" t="str">
        <f>IFERROR(__xludf.DUMMYFUNCTION("""COMPUTED_VALUE"""),"-50.59")</f>
        <v>-50.59</v>
      </c>
    </row>
    <row r="302">
      <c r="A302" s="5">
        <f>IFERROR(__xludf.DUMMYFUNCTION("""COMPUTED_VALUE"""),299.0)</f>
        <v>299</v>
      </c>
      <c r="B302" s="5" t="str">
        <f>IFERROR(__xludf.DUMMYFUNCTION("""COMPUTED_VALUE"""),"-94.51")</f>
        <v>-94.51</v>
      </c>
      <c r="C302" s="5" t="str">
        <f>IFERROR(__xludf.DUMMYFUNCTION("""COMPUTED_VALUE"""),"-52.16")</f>
        <v>-52.16</v>
      </c>
    </row>
    <row r="303">
      <c r="A303" s="5">
        <f>IFERROR(__xludf.DUMMYFUNCTION("""COMPUTED_VALUE"""),300.0)</f>
        <v>300</v>
      </c>
      <c r="B303" s="5" t="str">
        <f>IFERROR(__xludf.DUMMYFUNCTION("""COMPUTED_VALUE"""),"-92.94")</f>
        <v>-92.94</v>
      </c>
      <c r="C303" s="5" t="str">
        <f>IFERROR(__xludf.DUMMYFUNCTION("""COMPUTED_VALUE"""),"-53.73")</f>
        <v>-53.73</v>
      </c>
    </row>
    <row r="304">
      <c r="A304" s="5">
        <f>IFERROR(__xludf.DUMMYFUNCTION("""COMPUTED_VALUE"""),301.0)</f>
        <v>301</v>
      </c>
      <c r="B304" s="5" t="str">
        <f>IFERROR(__xludf.DUMMYFUNCTION("""COMPUTED_VALUE"""),"-91.37")</f>
        <v>-91.37</v>
      </c>
      <c r="C304" s="5" t="str">
        <f>IFERROR(__xludf.DUMMYFUNCTION("""COMPUTED_VALUE"""),"-55.29")</f>
        <v>-55.29</v>
      </c>
    </row>
    <row r="305">
      <c r="A305" s="5">
        <f>IFERROR(__xludf.DUMMYFUNCTION("""COMPUTED_VALUE"""),302.0)</f>
        <v>302</v>
      </c>
      <c r="B305" s="5" t="str">
        <f>IFERROR(__xludf.DUMMYFUNCTION("""COMPUTED_VALUE"""),"-91.37")</f>
        <v>-91.37</v>
      </c>
      <c r="C305" s="5" t="str">
        <f>IFERROR(__xludf.DUMMYFUNCTION("""COMPUTED_VALUE"""),"-56.86")</f>
        <v>-56.86</v>
      </c>
    </row>
    <row r="306">
      <c r="A306" s="5">
        <f>IFERROR(__xludf.DUMMYFUNCTION("""COMPUTED_VALUE"""),303.0)</f>
        <v>303</v>
      </c>
      <c r="B306" s="5" t="str">
        <f>IFERROR(__xludf.DUMMYFUNCTION("""COMPUTED_VALUE"""),"-90.59")</f>
        <v>-90.59</v>
      </c>
      <c r="C306" s="5" t="str">
        <f>IFERROR(__xludf.DUMMYFUNCTION("""COMPUTED_VALUE"""),"-59.22")</f>
        <v>-59.22</v>
      </c>
    </row>
    <row r="307">
      <c r="A307" s="5">
        <f>IFERROR(__xludf.DUMMYFUNCTION("""COMPUTED_VALUE"""),304.0)</f>
        <v>304</v>
      </c>
      <c r="B307" s="5" t="str">
        <f>IFERROR(__xludf.DUMMYFUNCTION("""COMPUTED_VALUE"""),"-89.80")</f>
        <v>-89.80</v>
      </c>
      <c r="C307" s="5" t="str">
        <f>IFERROR(__xludf.DUMMYFUNCTION("""COMPUTED_VALUE"""),"-60.78")</f>
        <v>-60.78</v>
      </c>
    </row>
    <row r="308">
      <c r="A308" s="5">
        <f>IFERROR(__xludf.DUMMYFUNCTION("""COMPUTED_VALUE"""),305.0)</f>
        <v>305</v>
      </c>
      <c r="B308" s="5" t="str">
        <f>IFERROR(__xludf.DUMMYFUNCTION("""COMPUTED_VALUE"""),"-88.24")</f>
        <v>-88.24</v>
      </c>
      <c r="C308" s="5" t="str">
        <f>IFERROR(__xludf.DUMMYFUNCTION("""COMPUTED_VALUE"""),"-62.35")</f>
        <v>-62.35</v>
      </c>
    </row>
    <row r="309">
      <c r="A309" s="5">
        <f>IFERROR(__xludf.DUMMYFUNCTION("""COMPUTED_VALUE"""),306.0)</f>
        <v>306</v>
      </c>
      <c r="B309" s="5" t="str">
        <f>IFERROR(__xludf.DUMMYFUNCTION("""COMPUTED_VALUE"""),"-87.45")</f>
        <v>-87.45</v>
      </c>
      <c r="C309" s="5" t="str">
        <f>IFERROR(__xludf.DUMMYFUNCTION("""COMPUTED_VALUE"""),"-63.92")</f>
        <v>-63.92</v>
      </c>
    </row>
    <row r="310">
      <c r="A310" s="5">
        <f>IFERROR(__xludf.DUMMYFUNCTION("""COMPUTED_VALUE"""),307.0)</f>
        <v>307</v>
      </c>
      <c r="B310" s="5" t="str">
        <f>IFERROR(__xludf.DUMMYFUNCTION("""COMPUTED_VALUE"""),"-85.88")</f>
        <v>-85.88</v>
      </c>
      <c r="C310" s="5" t="str">
        <f>IFERROR(__xludf.DUMMYFUNCTION("""COMPUTED_VALUE"""),"-65.49")</f>
        <v>-65.49</v>
      </c>
    </row>
    <row r="311">
      <c r="A311" s="5">
        <f>IFERROR(__xludf.DUMMYFUNCTION("""COMPUTED_VALUE"""),308.0)</f>
        <v>308</v>
      </c>
      <c r="B311" s="5" t="str">
        <f>IFERROR(__xludf.DUMMYFUNCTION("""COMPUTED_VALUE"""),"-84.31")</f>
        <v>-84.31</v>
      </c>
      <c r="C311" s="5" t="str">
        <f>IFERROR(__xludf.DUMMYFUNCTION("""COMPUTED_VALUE"""),"-66.27")</f>
        <v>-66.27</v>
      </c>
    </row>
    <row r="312">
      <c r="A312" s="5">
        <f>IFERROR(__xludf.DUMMYFUNCTION("""COMPUTED_VALUE"""),309.0)</f>
        <v>309</v>
      </c>
      <c r="B312" s="5" t="str">
        <f>IFERROR(__xludf.DUMMYFUNCTION("""COMPUTED_VALUE"""),"-83.53")</f>
        <v>-83.53</v>
      </c>
      <c r="C312" s="5" t="str">
        <f>IFERROR(__xludf.DUMMYFUNCTION("""COMPUTED_VALUE"""),"-67.84")</f>
        <v>-67.84</v>
      </c>
    </row>
    <row r="313">
      <c r="A313" s="5">
        <f>IFERROR(__xludf.DUMMYFUNCTION("""COMPUTED_VALUE"""),310.0)</f>
        <v>310</v>
      </c>
      <c r="B313" s="5" t="str">
        <f>IFERROR(__xludf.DUMMYFUNCTION("""COMPUTED_VALUE"""),"-81.18")</f>
        <v>-81.18</v>
      </c>
      <c r="C313" s="5" t="str">
        <f>IFERROR(__xludf.DUMMYFUNCTION("""COMPUTED_VALUE"""),"-68.63")</f>
        <v>-68.63</v>
      </c>
    </row>
    <row r="314">
      <c r="A314" s="5">
        <f>IFERROR(__xludf.DUMMYFUNCTION("""COMPUTED_VALUE"""),311.0)</f>
        <v>311</v>
      </c>
      <c r="B314" s="5" t="str">
        <f>IFERROR(__xludf.DUMMYFUNCTION("""COMPUTED_VALUE"""),"-79.61")</f>
        <v>-79.61</v>
      </c>
      <c r="C314" s="5" t="str">
        <f>IFERROR(__xludf.DUMMYFUNCTION("""COMPUTED_VALUE"""),"-70.20")</f>
        <v>-70.20</v>
      </c>
    </row>
    <row r="315">
      <c r="A315" s="5">
        <f>IFERROR(__xludf.DUMMYFUNCTION("""COMPUTED_VALUE"""),312.0)</f>
        <v>312</v>
      </c>
      <c r="B315" s="5" t="str">
        <f>IFERROR(__xludf.DUMMYFUNCTION("""COMPUTED_VALUE"""),"-78.82")</f>
        <v>-78.82</v>
      </c>
      <c r="C315" s="5" t="str">
        <f>IFERROR(__xludf.DUMMYFUNCTION("""COMPUTED_VALUE"""),"-71.76")</f>
        <v>-71.76</v>
      </c>
    </row>
    <row r="316">
      <c r="A316" s="5">
        <f>IFERROR(__xludf.DUMMYFUNCTION("""COMPUTED_VALUE"""),313.0)</f>
        <v>313</v>
      </c>
      <c r="B316" s="5" t="str">
        <f>IFERROR(__xludf.DUMMYFUNCTION("""COMPUTED_VALUE"""),"-78.04")</f>
        <v>-78.04</v>
      </c>
      <c r="C316" s="5" t="str">
        <f>IFERROR(__xludf.DUMMYFUNCTION("""COMPUTED_VALUE"""),"-72.55")</f>
        <v>-72.55</v>
      </c>
    </row>
    <row r="317">
      <c r="A317" s="5">
        <f>IFERROR(__xludf.DUMMYFUNCTION("""COMPUTED_VALUE"""),314.0)</f>
        <v>314</v>
      </c>
      <c r="B317" s="5" t="str">
        <f>IFERROR(__xludf.DUMMYFUNCTION("""COMPUTED_VALUE"""),"-76.47")</f>
        <v>-76.47</v>
      </c>
      <c r="C317" s="5" t="str">
        <f>IFERROR(__xludf.DUMMYFUNCTION("""COMPUTED_VALUE"""),"-74.12")</f>
        <v>-74.12</v>
      </c>
    </row>
    <row r="318">
      <c r="A318" s="5">
        <f>IFERROR(__xludf.DUMMYFUNCTION("""COMPUTED_VALUE"""),315.0)</f>
        <v>315</v>
      </c>
      <c r="B318" s="5" t="str">
        <f>IFERROR(__xludf.DUMMYFUNCTION("""COMPUTED_VALUE"""),"-74.90")</f>
        <v>-74.90</v>
      </c>
      <c r="C318" s="5" t="str">
        <f>IFERROR(__xludf.DUMMYFUNCTION("""COMPUTED_VALUE"""),"-74.90")</f>
        <v>-74.90</v>
      </c>
    </row>
    <row r="319">
      <c r="A319" s="5">
        <f>IFERROR(__xludf.DUMMYFUNCTION("""COMPUTED_VALUE"""),316.0)</f>
        <v>316</v>
      </c>
      <c r="B319" s="5" t="str">
        <f>IFERROR(__xludf.DUMMYFUNCTION("""COMPUTED_VALUE"""),"-72.55")</f>
        <v>-72.55</v>
      </c>
      <c r="C319" s="5" t="str">
        <f>IFERROR(__xludf.DUMMYFUNCTION("""COMPUTED_VALUE"""),"-76.47")</f>
        <v>-76.47</v>
      </c>
    </row>
    <row r="320">
      <c r="A320" s="5">
        <f>IFERROR(__xludf.DUMMYFUNCTION("""COMPUTED_VALUE"""),317.0)</f>
        <v>317</v>
      </c>
      <c r="B320" s="5" t="str">
        <f>IFERROR(__xludf.DUMMYFUNCTION("""COMPUTED_VALUE"""),"-71.76")</f>
        <v>-71.76</v>
      </c>
      <c r="C320" s="5" t="str">
        <f>IFERROR(__xludf.DUMMYFUNCTION("""COMPUTED_VALUE"""),"-78.04")</f>
        <v>-78.04</v>
      </c>
    </row>
    <row r="321">
      <c r="A321" s="5">
        <f>IFERROR(__xludf.DUMMYFUNCTION("""COMPUTED_VALUE"""),318.0)</f>
        <v>318</v>
      </c>
      <c r="B321" s="5" t="str">
        <f>IFERROR(__xludf.DUMMYFUNCTION("""COMPUTED_VALUE"""),"-70.20")</f>
        <v>-70.20</v>
      </c>
      <c r="C321" s="5" t="str">
        <f>IFERROR(__xludf.DUMMYFUNCTION("""COMPUTED_VALUE"""),"-78.82")</f>
        <v>-78.82</v>
      </c>
    </row>
    <row r="322">
      <c r="A322" s="5">
        <f>IFERROR(__xludf.DUMMYFUNCTION("""COMPUTED_VALUE"""),319.0)</f>
        <v>319</v>
      </c>
      <c r="B322" s="5" t="str">
        <f>IFERROR(__xludf.DUMMYFUNCTION("""COMPUTED_VALUE"""),"-69.41")</f>
        <v>-69.41</v>
      </c>
      <c r="C322" s="5" t="str">
        <f>IFERROR(__xludf.DUMMYFUNCTION("""COMPUTED_VALUE"""),"-81.18")</f>
        <v>-81.18</v>
      </c>
    </row>
    <row r="323">
      <c r="A323" s="5">
        <f>IFERROR(__xludf.DUMMYFUNCTION("""COMPUTED_VALUE"""),320.0)</f>
        <v>320</v>
      </c>
      <c r="B323" s="5" t="str">
        <f>IFERROR(__xludf.DUMMYFUNCTION("""COMPUTED_VALUE"""),"-68.63")</f>
        <v>-68.63</v>
      </c>
      <c r="C323" s="5" t="str">
        <f>IFERROR(__xludf.DUMMYFUNCTION("""COMPUTED_VALUE"""),"-82.75")</f>
        <v>-82.75</v>
      </c>
    </row>
    <row r="324">
      <c r="A324" s="5">
        <f>IFERROR(__xludf.DUMMYFUNCTION("""COMPUTED_VALUE"""),321.0)</f>
        <v>321</v>
      </c>
      <c r="B324" s="5" t="str">
        <f>IFERROR(__xludf.DUMMYFUNCTION("""COMPUTED_VALUE"""),"-66.27")</f>
        <v>-66.27</v>
      </c>
      <c r="C324" s="5" t="str">
        <f>IFERROR(__xludf.DUMMYFUNCTION("""COMPUTED_VALUE"""),"-83.53")</f>
        <v>-83.53</v>
      </c>
    </row>
    <row r="325">
      <c r="A325" s="5">
        <f>IFERROR(__xludf.DUMMYFUNCTION("""COMPUTED_VALUE"""),322.0)</f>
        <v>322</v>
      </c>
      <c r="B325" s="5" t="str">
        <f>IFERROR(__xludf.DUMMYFUNCTION("""COMPUTED_VALUE"""),"-64.71")</f>
        <v>-64.71</v>
      </c>
      <c r="C325" s="5" t="str">
        <f>IFERROR(__xludf.DUMMYFUNCTION("""COMPUTED_VALUE"""),"-84.31")</f>
        <v>-84.31</v>
      </c>
    </row>
    <row r="326">
      <c r="A326" s="5">
        <f>IFERROR(__xludf.DUMMYFUNCTION("""COMPUTED_VALUE"""),323.0)</f>
        <v>323</v>
      </c>
      <c r="B326" s="5" t="str">
        <f>IFERROR(__xludf.DUMMYFUNCTION("""COMPUTED_VALUE"""),"-63.14")</f>
        <v>-63.14</v>
      </c>
      <c r="C326" s="5" t="str">
        <f>IFERROR(__xludf.DUMMYFUNCTION("""COMPUTED_VALUE"""),"-85.10")</f>
        <v>-85.10</v>
      </c>
    </row>
    <row r="327">
      <c r="A327" s="5">
        <f>IFERROR(__xludf.DUMMYFUNCTION("""COMPUTED_VALUE"""),324.0)</f>
        <v>324</v>
      </c>
      <c r="B327" s="5" t="str">
        <f>IFERROR(__xludf.DUMMYFUNCTION("""COMPUTED_VALUE"""),"-61.57")</f>
        <v>-61.57</v>
      </c>
      <c r="C327" s="5" t="str">
        <f>IFERROR(__xludf.DUMMYFUNCTION("""COMPUTED_VALUE"""),"-85.88")</f>
        <v>-85.88</v>
      </c>
    </row>
    <row r="328">
      <c r="A328" s="5">
        <f>IFERROR(__xludf.DUMMYFUNCTION("""COMPUTED_VALUE"""),325.0)</f>
        <v>325</v>
      </c>
      <c r="B328" s="5" t="str">
        <f>IFERROR(__xludf.DUMMYFUNCTION("""COMPUTED_VALUE"""),"-60.00")</f>
        <v>-60.00</v>
      </c>
      <c r="C328" s="5" t="str">
        <f>IFERROR(__xludf.DUMMYFUNCTION("""COMPUTED_VALUE"""),"-87.45")</f>
        <v>-87.45</v>
      </c>
    </row>
    <row r="329">
      <c r="A329" s="5">
        <f>IFERROR(__xludf.DUMMYFUNCTION("""COMPUTED_VALUE"""),326.0)</f>
        <v>326</v>
      </c>
      <c r="B329" s="5" t="str">
        <f>IFERROR(__xludf.DUMMYFUNCTION("""COMPUTED_VALUE"""),"-59.22")</f>
        <v>-59.22</v>
      </c>
      <c r="C329" s="5" t="str">
        <f>IFERROR(__xludf.DUMMYFUNCTION("""COMPUTED_VALUE"""),"-88.24")</f>
        <v>-88.24</v>
      </c>
    </row>
    <row r="330">
      <c r="A330" s="5">
        <f>IFERROR(__xludf.DUMMYFUNCTION("""COMPUTED_VALUE"""),327.0)</f>
        <v>327</v>
      </c>
      <c r="B330" s="5" t="str">
        <f>IFERROR(__xludf.DUMMYFUNCTION("""COMPUTED_VALUE"""),"-57.65")</f>
        <v>-57.65</v>
      </c>
      <c r="C330" s="5" t="str">
        <f>IFERROR(__xludf.DUMMYFUNCTION("""COMPUTED_VALUE"""),"-89.80")</f>
        <v>-89.80</v>
      </c>
    </row>
    <row r="331">
      <c r="A331" s="5">
        <f>IFERROR(__xludf.DUMMYFUNCTION("""COMPUTED_VALUE"""),328.0)</f>
        <v>328</v>
      </c>
      <c r="B331" s="5" t="str">
        <f>IFERROR(__xludf.DUMMYFUNCTION("""COMPUTED_VALUE"""),"-56.08")</f>
        <v>-56.08</v>
      </c>
      <c r="C331" s="5" t="str">
        <f>IFERROR(__xludf.DUMMYFUNCTION("""COMPUTED_VALUE"""),"-91.37")</f>
        <v>-91.37</v>
      </c>
    </row>
    <row r="332">
      <c r="A332" s="5">
        <f>IFERROR(__xludf.DUMMYFUNCTION("""COMPUTED_VALUE"""),329.0)</f>
        <v>329</v>
      </c>
      <c r="B332" s="5" t="str">
        <f>IFERROR(__xludf.DUMMYFUNCTION("""COMPUTED_VALUE"""),"-53.73")</f>
        <v>-53.73</v>
      </c>
      <c r="C332" s="5" t="str">
        <f>IFERROR(__xludf.DUMMYFUNCTION("""COMPUTED_VALUE"""),"-91.37")</f>
        <v>-91.37</v>
      </c>
    </row>
    <row r="333">
      <c r="A333" s="5">
        <f>IFERROR(__xludf.DUMMYFUNCTION("""COMPUTED_VALUE"""),330.0)</f>
        <v>330</v>
      </c>
      <c r="B333" s="5" t="str">
        <f>IFERROR(__xludf.DUMMYFUNCTION("""COMPUTED_VALUE"""),"-52.94")</f>
        <v>-52.94</v>
      </c>
      <c r="C333" s="5" t="str">
        <f>IFERROR(__xludf.DUMMYFUNCTION("""COMPUTED_VALUE"""),"-92.16")</f>
        <v>-92.16</v>
      </c>
    </row>
    <row r="334">
      <c r="A334" s="5">
        <f>IFERROR(__xludf.DUMMYFUNCTION("""COMPUTED_VALUE"""),331.0)</f>
        <v>331</v>
      </c>
      <c r="B334" s="5" t="str">
        <f>IFERROR(__xludf.DUMMYFUNCTION("""COMPUTED_VALUE"""),"-50.59")</f>
        <v>-50.59</v>
      </c>
      <c r="C334" s="5" t="str">
        <f>IFERROR(__xludf.DUMMYFUNCTION("""COMPUTED_VALUE"""),"-92.94")</f>
        <v>-92.94</v>
      </c>
    </row>
    <row r="335">
      <c r="A335" s="5">
        <f>IFERROR(__xludf.DUMMYFUNCTION("""COMPUTED_VALUE"""),332.0)</f>
        <v>332</v>
      </c>
      <c r="B335" s="5" t="str">
        <f>IFERROR(__xludf.DUMMYFUNCTION("""COMPUTED_VALUE"""),"-49.02")</f>
        <v>-49.02</v>
      </c>
      <c r="C335" s="5" t="str">
        <f>IFERROR(__xludf.DUMMYFUNCTION("""COMPUTED_VALUE"""),"-94.51")</f>
        <v>-94.51</v>
      </c>
    </row>
    <row r="336">
      <c r="A336" s="5">
        <f>IFERROR(__xludf.DUMMYFUNCTION("""COMPUTED_VALUE"""),333.0)</f>
        <v>333</v>
      </c>
      <c r="B336" s="5" t="str">
        <f>IFERROR(__xludf.DUMMYFUNCTION("""COMPUTED_VALUE"""),"-48.24")</f>
        <v>-48.24</v>
      </c>
      <c r="C336" s="5" t="str">
        <f>IFERROR(__xludf.DUMMYFUNCTION("""COMPUTED_VALUE"""),"-95.29")</f>
        <v>-95.29</v>
      </c>
    </row>
    <row r="337">
      <c r="A337" s="5">
        <f>IFERROR(__xludf.DUMMYFUNCTION("""COMPUTED_VALUE"""),334.0)</f>
        <v>334</v>
      </c>
      <c r="B337" s="5" t="str">
        <f>IFERROR(__xludf.DUMMYFUNCTION("""COMPUTED_VALUE"""),"-46.67")</f>
        <v>-46.67</v>
      </c>
      <c r="C337" s="5" t="str">
        <f>IFERROR(__xludf.DUMMYFUNCTION("""COMPUTED_VALUE"""),"-96.08")</f>
        <v>-96.08</v>
      </c>
    </row>
    <row r="338">
      <c r="A338" s="5">
        <f>IFERROR(__xludf.DUMMYFUNCTION("""COMPUTED_VALUE"""),335.0)</f>
        <v>335</v>
      </c>
      <c r="B338" s="5" t="str">
        <f>IFERROR(__xludf.DUMMYFUNCTION("""COMPUTED_VALUE"""),"-44.31")</f>
        <v>-44.31</v>
      </c>
      <c r="C338" s="5" t="str">
        <f>IFERROR(__xludf.DUMMYFUNCTION("""COMPUTED_VALUE"""),"-96.86")</f>
        <v>-96.86</v>
      </c>
    </row>
    <row r="339">
      <c r="A339" s="5">
        <f>IFERROR(__xludf.DUMMYFUNCTION("""COMPUTED_VALUE"""),336.0)</f>
        <v>336</v>
      </c>
      <c r="B339" s="5" t="str">
        <f>IFERROR(__xludf.DUMMYFUNCTION("""COMPUTED_VALUE"""),"-42.74")</f>
        <v>-42.74</v>
      </c>
      <c r="C339" s="5" t="str">
        <f>IFERROR(__xludf.DUMMYFUNCTION("""COMPUTED_VALUE"""),"-98.43")</f>
        <v>-98.43</v>
      </c>
    </row>
    <row r="340">
      <c r="A340" s="5">
        <f>IFERROR(__xludf.DUMMYFUNCTION("""COMPUTED_VALUE"""),337.0)</f>
        <v>337</v>
      </c>
      <c r="B340" s="5" t="str">
        <f>IFERROR(__xludf.DUMMYFUNCTION("""COMPUTED_VALUE"""),"-41.18")</f>
        <v>-41.18</v>
      </c>
      <c r="C340" s="5" t="str">
        <f>IFERROR(__xludf.DUMMYFUNCTION("""COMPUTED_VALUE"""),"-98.43")</f>
        <v>-98.43</v>
      </c>
    </row>
    <row r="341">
      <c r="A341" s="5">
        <f>IFERROR(__xludf.DUMMYFUNCTION("""COMPUTED_VALUE"""),338.0)</f>
        <v>338</v>
      </c>
      <c r="B341" s="5" t="str">
        <f>IFERROR(__xludf.DUMMYFUNCTION("""COMPUTED_VALUE"""),"-39.61")</f>
        <v>-39.61</v>
      </c>
      <c r="C341" s="5" t="str">
        <f>IFERROR(__xludf.DUMMYFUNCTION("""COMPUTED_VALUE"""),"-99.22")</f>
        <v>-99.22</v>
      </c>
    </row>
    <row r="342">
      <c r="A342" s="5">
        <f>IFERROR(__xludf.DUMMYFUNCTION("""COMPUTED_VALUE"""),339.0)</f>
        <v>339</v>
      </c>
      <c r="B342" s="5" t="str">
        <f>IFERROR(__xludf.DUMMYFUNCTION("""COMPUTED_VALUE"""),"-37.25")</f>
        <v>-37.25</v>
      </c>
      <c r="C342" s="5" t="str">
        <f>IFERROR(__xludf.DUMMYFUNCTION("""COMPUTED_VALUE"""),"-99.22")</f>
        <v>-99.22</v>
      </c>
    </row>
    <row r="343">
      <c r="A343" s="5">
        <f>IFERROR(__xludf.DUMMYFUNCTION("""COMPUTED_VALUE"""),340.0)</f>
        <v>340</v>
      </c>
      <c r="B343" s="5" t="str">
        <f>IFERROR(__xludf.DUMMYFUNCTION("""COMPUTED_VALUE"""),"-35.69")</f>
        <v>-35.69</v>
      </c>
      <c r="C343" s="5" t="str">
        <f>IFERROR(__xludf.DUMMYFUNCTION("""COMPUTED_VALUE"""),"-100.00")</f>
        <v>-100.00</v>
      </c>
    </row>
    <row r="344">
      <c r="A344" s="5">
        <f>IFERROR(__xludf.DUMMYFUNCTION("""COMPUTED_VALUE"""),341.0)</f>
        <v>341</v>
      </c>
      <c r="B344" s="5" t="str">
        <f>IFERROR(__xludf.DUMMYFUNCTION("""COMPUTED_VALUE"""),"-34.12")</f>
        <v>-34.12</v>
      </c>
      <c r="C344" s="5" t="str">
        <f>IFERROR(__xludf.DUMMYFUNCTION("""COMPUTED_VALUE"""),"-100.00")</f>
        <v>-100.00</v>
      </c>
    </row>
    <row r="345">
      <c r="A345" s="5">
        <f>IFERROR(__xludf.DUMMYFUNCTION("""COMPUTED_VALUE"""),342.0)</f>
        <v>342</v>
      </c>
      <c r="B345" s="5" t="str">
        <f>IFERROR(__xludf.DUMMYFUNCTION("""COMPUTED_VALUE"""),"-32.55")</f>
        <v>-32.55</v>
      </c>
      <c r="C345" s="5" t="str">
        <f>IFERROR(__xludf.DUMMYFUNCTION("""COMPUTED_VALUE"""),"-100.00")</f>
        <v>-100.00</v>
      </c>
    </row>
    <row r="346">
      <c r="A346" s="5">
        <f>IFERROR(__xludf.DUMMYFUNCTION("""COMPUTED_VALUE"""),343.0)</f>
        <v>343</v>
      </c>
      <c r="B346" s="5" t="str">
        <f>IFERROR(__xludf.DUMMYFUNCTION("""COMPUTED_VALUE"""),"-30.20")</f>
        <v>-30.20</v>
      </c>
      <c r="C346" s="5" t="str">
        <f>IFERROR(__xludf.DUMMYFUNCTION("""COMPUTED_VALUE"""),"-100.00")</f>
        <v>-100.00</v>
      </c>
    </row>
    <row r="347">
      <c r="A347" s="5">
        <f>IFERROR(__xludf.DUMMYFUNCTION("""COMPUTED_VALUE"""),344.0)</f>
        <v>344</v>
      </c>
      <c r="B347" s="5" t="str">
        <f>IFERROR(__xludf.DUMMYFUNCTION("""COMPUTED_VALUE"""),"-28.63")</f>
        <v>-28.63</v>
      </c>
      <c r="C347" s="5" t="str">
        <f>IFERROR(__xludf.DUMMYFUNCTION("""COMPUTED_VALUE"""),"-100.00")</f>
        <v>-100.00</v>
      </c>
    </row>
    <row r="348">
      <c r="A348" s="5">
        <f>IFERROR(__xludf.DUMMYFUNCTION("""COMPUTED_VALUE"""),345.0)</f>
        <v>345</v>
      </c>
      <c r="B348" s="5" t="str">
        <f>IFERROR(__xludf.DUMMYFUNCTION("""COMPUTED_VALUE"""),"-27.06")</f>
        <v>-27.06</v>
      </c>
      <c r="C348" s="5" t="str">
        <f>IFERROR(__xludf.DUMMYFUNCTION("""COMPUTED_VALUE"""),"-100.00")</f>
        <v>-100.00</v>
      </c>
    </row>
    <row r="349">
      <c r="A349" s="5">
        <f>IFERROR(__xludf.DUMMYFUNCTION("""COMPUTED_VALUE"""),346.0)</f>
        <v>346</v>
      </c>
      <c r="B349" s="5" t="str">
        <f>IFERROR(__xludf.DUMMYFUNCTION("""COMPUTED_VALUE"""),"-24.71")</f>
        <v>-24.71</v>
      </c>
      <c r="C349" s="5" t="str">
        <f>IFERROR(__xludf.DUMMYFUNCTION("""COMPUTED_VALUE"""),"-100.00")</f>
        <v>-100.00</v>
      </c>
    </row>
    <row r="350">
      <c r="A350" s="5">
        <f>IFERROR(__xludf.DUMMYFUNCTION("""COMPUTED_VALUE"""),347.0)</f>
        <v>347</v>
      </c>
      <c r="B350" s="5" t="str">
        <f>IFERROR(__xludf.DUMMYFUNCTION("""COMPUTED_VALUE"""),"-23.14")</f>
        <v>-23.14</v>
      </c>
      <c r="C350" s="5" t="str">
        <f>IFERROR(__xludf.DUMMYFUNCTION("""COMPUTED_VALUE"""),"-100.00")</f>
        <v>-100.00</v>
      </c>
    </row>
    <row r="351">
      <c r="A351" s="5">
        <f>IFERROR(__xludf.DUMMYFUNCTION("""COMPUTED_VALUE"""),348.0)</f>
        <v>348</v>
      </c>
      <c r="B351" s="5" t="str">
        <f>IFERROR(__xludf.DUMMYFUNCTION("""COMPUTED_VALUE"""),"-21.57")</f>
        <v>-21.57</v>
      </c>
      <c r="C351" s="5" t="str">
        <f>IFERROR(__xludf.DUMMYFUNCTION("""COMPUTED_VALUE"""),"-100.00")</f>
        <v>-100.00</v>
      </c>
    </row>
    <row r="352">
      <c r="A352" s="5">
        <f>IFERROR(__xludf.DUMMYFUNCTION("""COMPUTED_VALUE"""),349.0)</f>
        <v>349</v>
      </c>
      <c r="B352" s="5" t="str">
        <f>IFERROR(__xludf.DUMMYFUNCTION("""COMPUTED_VALUE"""),"-20.00")</f>
        <v>-20.00</v>
      </c>
      <c r="C352" s="5" t="str">
        <f>IFERROR(__xludf.DUMMYFUNCTION("""COMPUTED_VALUE"""),"-100.00")</f>
        <v>-100.00</v>
      </c>
    </row>
    <row r="353">
      <c r="A353" s="5">
        <f>IFERROR(__xludf.DUMMYFUNCTION("""COMPUTED_VALUE"""),350.0)</f>
        <v>350</v>
      </c>
      <c r="B353" s="5" t="str">
        <f>IFERROR(__xludf.DUMMYFUNCTION("""COMPUTED_VALUE"""),"-18.43")</f>
        <v>-18.43</v>
      </c>
      <c r="C353" s="5" t="str">
        <f>IFERROR(__xludf.DUMMYFUNCTION("""COMPUTED_VALUE"""),"-100.00")</f>
        <v>-100.00</v>
      </c>
    </row>
    <row r="354">
      <c r="A354" s="5">
        <f>IFERROR(__xludf.DUMMYFUNCTION("""COMPUTED_VALUE"""),351.0)</f>
        <v>351</v>
      </c>
      <c r="B354" s="5" t="str">
        <f>IFERROR(__xludf.DUMMYFUNCTION("""COMPUTED_VALUE"""),"-16.08")</f>
        <v>-16.08</v>
      </c>
      <c r="C354" s="5" t="str">
        <f>IFERROR(__xludf.DUMMYFUNCTION("""COMPUTED_VALUE"""),"-100.00")</f>
        <v>-100.00</v>
      </c>
    </row>
    <row r="355">
      <c r="A355" s="5">
        <f>IFERROR(__xludf.DUMMYFUNCTION("""COMPUTED_VALUE"""),352.0)</f>
        <v>352</v>
      </c>
      <c r="B355" s="5" t="str">
        <f>IFERROR(__xludf.DUMMYFUNCTION("""COMPUTED_VALUE"""),"-14.51")</f>
        <v>-14.51</v>
      </c>
      <c r="C355" s="5" t="str">
        <f>IFERROR(__xludf.DUMMYFUNCTION("""COMPUTED_VALUE"""),"-100.00")</f>
        <v>-100.00</v>
      </c>
    </row>
    <row r="356">
      <c r="A356" s="5">
        <f>IFERROR(__xludf.DUMMYFUNCTION("""COMPUTED_VALUE"""),353.0)</f>
        <v>353</v>
      </c>
      <c r="B356" s="5" t="str">
        <f>IFERROR(__xludf.DUMMYFUNCTION("""COMPUTED_VALUE"""),"-12.94")</f>
        <v>-12.94</v>
      </c>
      <c r="C356" s="5" t="str">
        <f>IFERROR(__xludf.DUMMYFUNCTION("""COMPUTED_VALUE"""),"-100.00")</f>
        <v>-100.00</v>
      </c>
    </row>
    <row r="357">
      <c r="A357" s="5">
        <f>IFERROR(__xludf.DUMMYFUNCTION("""COMPUTED_VALUE"""),354.0)</f>
        <v>354</v>
      </c>
      <c r="B357" s="5" t="str">
        <f>IFERROR(__xludf.DUMMYFUNCTION("""COMPUTED_VALUE"""),"-11.37")</f>
        <v>-11.37</v>
      </c>
      <c r="C357" s="5" t="str">
        <f>IFERROR(__xludf.DUMMYFUNCTION("""COMPUTED_VALUE"""),"-100.00")</f>
        <v>-100.00</v>
      </c>
    </row>
    <row r="358">
      <c r="A358" s="5">
        <f>IFERROR(__xludf.DUMMYFUNCTION("""COMPUTED_VALUE"""),355.0)</f>
        <v>355</v>
      </c>
      <c r="B358" s="5" t="str">
        <f>IFERROR(__xludf.DUMMYFUNCTION("""COMPUTED_VALUE"""),"-9.02")</f>
        <v>-9.02</v>
      </c>
      <c r="C358" s="5" t="str">
        <f>IFERROR(__xludf.DUMMYFUNCTION("""COMPUTED_VALUE"""),"-100.00")</f>
        <v>-100.00</v>
      </c>
    </row>
    <row r="359">
      <c r="A359" s="5">
        <f>IFERROR(__xludf.DUMMYFUNCTION("""COMPUTED_VALUE"""),356.0)</f>
        <v>356</v>
      </c>
      <c r="B359" s="5" t="str">
        <f>IFERROR(__xludf.DUMMYFUNCTION("""COMPUTED_VALUE"""),"-7.45")</f>
        <v>-7.45</v>
      </c>
      <c r="C359" s="5" t="str">
        <f>IFERROR(__xludf.DUMMYFUNCTION("""COMPUTED_VALUE"""),"-100.00")</f>
        <v>-100.00</v>
      </c>
    </row>
    <row r="360">
      <c r="A360" s="5">
        <f>IFERROR(__xludf.DUMMYFUNCTION("""COMPUTED_VALUE"""),357.0)</f>
        <v>357</v>
      </c>
      <c r="B360" s="5" t="str">
        <f>IFERROR(__xludf.DUMMYFUNCTION("""COMPUTED_VALUE"""),"-5.88")</f>
        <v>-5.88</v>
      </c>
      <c r="C360" s="5" t="str">
        <f>IFERROR(__xludf.DUMMYFUNCTION("""COMPUTED_VALUE"""),"-100.00")</f>
        <v>-100.00</v>
      </c>
    </row>
    <row r="361">
      <c r="A361" s="5">
        <f>IFERROR(__xludf.DUMMYFUNCTION("""COMPUTED_VALUE"""),358.0)</f>
        <v>358</v>
      </c>
      <c r="B361" s="5" t="str">
        <f>IFERROR(__xludf.DUMMYFUNCTION("""COMPUTED_VALUE"""),"-4.31")</f>
        <v>-4.31</v>
      </c>
      <c r="C361" s="5" t="str">
        <f>IFERROR(__xludf.DUMMYFUNCTION("""COMPUTED_VALUE"""),"-100.00")</f>
        <v>-100.00</v>
      </c>
    </row>
    <row r="362">
      <c r="A362" s="5">
        <f>IFERROR(__xludf.DUMMYFUNCTION("""COMPUTED_VALUE"""),359.0)</f>
        <v>359</v>
      </c>
      <c r="B362" s="5" t="str">
        <f>IFERROR(__xludf.DUMMYFUNCTION("""COMPUTED_VALUE"""),"-1.18")</f>
        <v>-1.18</v>
      </c>
      <c r="C362" s="5" t="str">
        <f>IFERROR(__xludf.DUMMYFUNCTION("""COMPUTED_VALUE"""),"-100.00")</f>
        <v>-100.00</v>
      </c>
    </row>
  </sheetData>
  <drawing r:id="rId1"/>
</worksheet>
</file>