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ng\Downloads\"/>
    </mc:Choice>
  </mc:AlternateContent>
  <xr:revisionPtr revIDLastSave="0" documentId="13_ncr:1_{5468116D-0E5E-42EF-9AD7-9AFCAAC6BC63}" xr6:coauthVersionLast="47" xr6:coauthVersionMax="47" xr10:uidLastSave="{00000000-0000-0000-0000-000000000000}"/>
  <bookViews>
    <workbookView xWindow="-110" yWindow="-110" windowWidth="19420" windowHeight="10300" firstSheet="16" activeTab="7" xr2:uid="{D4886810-D9CC-4231-AA87-2302A306BB27}"/>
  </bookViews>
  <sheets>
    <sheet name="Financials&gt;" sheetId="1" r:id="rId1"/>
    <sheet name="HistoricalFS" sheetId="3" r:id="rId2"/>
    <sheet name="Ratio Analysis" sheetId="6" r:id="rId3"/>
    <sheet name="Forecasting" sheetId="7" r:id="rId4"/>
    <sheet name="Common Size Statement" sheetId="8" r:id="rId5"/>
    <sheet name="DCF&gt;" sheetId="9" r:id="rId6"/>
    <sheet name="Beta-Regression " sheetId="25" r:id="rId7"/>
    <sheet name="WACC" sheetId="10" r:id="rId8"/>
    <sheet name="Intrinsic Growth" sheetId="20" r:id="rId9"/>
    <sheet name="DCF" sheetId="21" r:id="rId10"/>
    <sheet name="Raw FS&amp;CF" sheetId="19" r:id="rId11"/>
    <sheet name="Data&gt; " sheetId="11" r:id="rId12"/>
    <sheet name="Beta-Comps" sheetId="12" r:id="rId13"/>
    <sheet name="Beta-Regression 1" sheetId="14" r:id="rId14"/>
    <sheet name="Beta-Regression 2" sheetId="15" r:id="rId15"/>
    <sheet name="Beta-Regression 3" sheetId="16" r:id="rId16"/>
    <sheet name="Beta-Regression 4" sheetId="17" r:id="rId17"/>
    <sheet name="Beta-Regression 5" sheetId="18" r:id="rId18"/>
    <sheet name="Data Room&gt;" sheetId="4" r:id="rId19"/>
    <sheet name="Data Sheet" sheetId="2" r:id="rId20"/>
  </sheets>
  <definedNames>
    <definedName name="_xlnm._FilterDatabase" localSheetId="6" hidden="1">'Beta-Regression '!$B$6:$D$112</definedName>
    <definedName name="_xlnm._FilterDatabase" localSheetId="13" hidden="1">'Beta-Regression 1'!$B$6:$D$112</definedName>
    <definedName name="_xlnm._FilterDatabase" localSheetId="14" hidden="1">'Beta-Regression 2'!$B$6:$D$112</definedName>
    <definedName name="_xlnm._FilterDatabase" localSheetId="15" hidden="1">'Beta-Regression 3'!$B$6:$D$112</definedName>
    <definedName name="_xlnm._FilterDatabase" localSheetId="16" hidden="1">'Beta-Regression 4'!$B$6:$D$112</definedName>
    <definedName name="_xlnm._FilterDatabase" localSheetId="17" hidden="1">'Beta-Regression 5'!$B$6:$D$111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1" l="1"/>
  <c r="F7" i="21"/>
  <c r="G7" i="21" s="1"/>
  <c r="H7" i="21" s="1"/>
  <c r="I7" i="21" s="1"/>
  <c r="E7" i="21"/>
  <c r="I42" i="20"/>
  <c r="J42" i="20"/>
  <c r="K42" i="20"/>
  <c r="H42" i="20"/>
  <c r="H41" i="20"/>
  <c r="I41" i="20"/>
  <c r="J41" i="20"/>
  <c r="K41" i="20"/>
  <c r="G41" i="20"/>
  <c r="B44" i="19"/>
  <c r="G21" i="20"/>
  <c r="H21" i="20"/>
  <c r="I21" i="20"/>
  <c r="J21" i="20"/>
  <c r="K21" i="20"/>
  <c r="G22" i="20"/>
  <c r="H22" i="20"/>
  <c r="I22" i="20"/>
  <c r="J22" i="20"/>
  <c r="K22" i="20"/>
  <c r="G23" i="20"/>
  <c r="H23" i="20"/>
  <c r="I23" i="20"/>
  <c r="J23" i="20"/>
  <c r="K23" i="20"/>
  <c r="G24" i="20"/>
  <c r="H24" i="20"/>
  <c r="I24" i="20"/>
  <c r="J24" i="20"/>
  <c r="K24" i="20"/>
  <c r="G25" i="20"/>
  <c r="H25" i="20"/>
  <c r="I25" i="20"/>
  <c r="J25" i="20"/>
  <c r="K25" i="20"/>
  <c r="G26" i="20"/>
  <c r="H26" i="20"/>
  <c r="I26" i="20"/>
  <c r="J26" i="20"/>
  <c r="K26" i="20"/>
  <c r="G27" i="20"/>
  <c r="H27" i="20"/>
  <c r="I27" i="20"/>
  <c r="J27" i="20"/>
  <c r="K27" i="20"/>
  <c r="H20" i="20"/>
  <c r="I20" i="20"/>
  <c r="J20" i="20"/>
  <c r="K20" i="20"/>
  <c r="B21" i="20"/>
  <c r="B22" i="20"/>
  <c r="B23" i="20"/>
  <c r="B24" i="20"/>
  <c r="B25" i="20"/>
  <c r="B26" i="20"/>
  <c r="B27" i="20"/>
  <c r="B2" i="19"/>
  <c r="J11" i="10"/>
  <c r="J12" i="10"/>
  <c r="J13" i="10"/>
  <c r="J10" i="10"/>
  <c r="V44" i="25"/>
  <c r="V50" i="25" s="1"/>
  <c r="V34" i="25"/>
  <c r="V40" i="25" s="1"/>
  <c r="V24" i="25"/>
  <c r="V14" i="25"/>
  <c r="V30" i="25"/>
  <c r="V20" i="25"/>
  <c r="V9" i="25"/>
  <c r="V8" i="25"/>
  <c r="V7" i="25"/>
  <c r="V6" i="25"/>
  <c r="S112" i="25"/>
  <c r="S111" i="25"/>
  <c r="S110" i="25"/>
  <c r="S109" i="25"/>
  <c r="S108" i="25"/>
  <c r="S107" i="25"/>
  <c r="S106" i="25"/>
  <c r="S105" i="25"/>
  <c r="S104" i="25"/>
  <c r="S103" i="25"/>
  <c r="S102" i="25"/>
  <c r="S101" i="25"/>
  <c r="S100" i="25"/>
  <c r="S99" i="25"/>
  <c r="S98" i="25"/>
  <c r="S97" i="25"/>
  <c r="S96" i="25"/>
  <c r="S95" i="25"/>
  <c r="S94" i="25"/>
  <c r="S93" i="25"/>
  <c r="S92" i="25"/>
  <c r="S91" i="25"/>
  <c r="S90" i="25"/>
  <c r="S89" i="25"/>
  <c r="S88" i="25"/>
  <c r="S87" i="25"/>
  <c r="S86" i="25"/>
  <c r="S85" i="25"/>
  <c r="S84" i="25"/>
  <c r="S83" i="25"/>
  <c r="S82" i="25"/>
  <c r="S81" i="25"/>
  <c r="S80" i="25"/>
  <c r="S79" i="25"/>
  <c r="S78" i="25"/>
  <c r="S77" i="25"/>
  <c r="S76" i="25"/>
  <c r="S75" i="25"/>
  <c r="S74" i="25"/>
  <c r="S73" i="25"/>
  <c r="S72" i="25"/>
  <c r="S71" i="25"/>
  <c r="S70" i="25"/>
  <c r="S69" i="25"/>
  <c r="S68" i="25"/>
  <c r="S67" i="25"/>
  <c r="S66" i="25"/>
  <c r="S65" i="25"/>
  <c r="S64" i="25"/>
  <c r="S63" i="25"/>
  <c r="S62" i="25"/>
  <c r="S61" i="25"/>
  <c r="S60" i="25"/>
  <c r="S59" i="25"/>
  <c r="S58" i="25"/>
  <c r="S57" i="25"/>
  <c r="S56" i="25"/>
  <c r="S55" i="25"/>
  <c r="S54" i="25"/>
  <c r="S53" i="25"/>
  <c r="S52" i="25"/>
  <c r="S51" i="25"/>
  <c r="S50" i="25"/>
  <c r="S49" i="25"/>
  <c r="S48" i="25"/>
  <c r="S47" i="25"/>
  <c r="S46" i="25"/>
  <c r="S45" i="25"/>
  <c r="S44" i="25"/>
  <c r="S43" i="25"/>
  <c r="S42" i="25"/>
  <c r="S41" i="25"/>
  <c r="S40" i="25"/>
  <c r="S39" i="25"/>
  <c r="S38" i="25"/>
  <c r="S37" i="25"/>
  <c r="S36" i="25"/>
  <c r="S35" i="25"/>
  <c r="S34" i="25"/>
  <c r="S33" i="25"/>
  <c r="S32" i="25"/>
  <c r="S31" i="25"/>
  <c r="S30" i="25"/>
  <c r="S29" i="25"/>
  <c r="S28" i="25"/>
  <c r="S27" i="25"/>
  <c r="S26" i="25"/>
  <c r="S25" i="25"/>
  <c r="S24" i="25"/>
  <c r="S23" i="25"/>
  <c r="S22" i="25"/>
  <c r="S21" i="25"/>
  <c r="S20" i="25"/>
  <c r="S19" i="25"/>
  <c r="S18" i="25"/>
  <c r="S17" i="25"/>
  <c r="S16" i="25"/>
  <c r="S15" i="25"/>
  <c r="S14" i="25"/>
  <c r="S13" i="25"/>
  <c r="S12" i="25"/>
  <c r="S11" i="25"/>
  <c r="S10" i="25"/>
  <c r="S9" i="25"/>
  <c r="S8" i="25"/>
  <c r="P112" i="25"/>
  <c r="P111" i="25"/>
  <c r="P110" i="25"/>
  <c r="P109" i="25"/>
  <c r="P108" i="25"/>
  <c r="P107" i="25"/>
  <c r="P106" i="25"/>
  <c r="P105" i="25"/>
  <c r="P104" i="25"/>
  <c r="P103" i="25"/>
  <c r="P102" i="25"/>
  <c r="P101" i="25"/>
  <c r="P100" i="25"/>
  <c r="P99" i="25"/>
  <c r="P98" i="25"/>
  <c r="P97" i="25"/>
  <c r="P96" i="25"/>
  <c r="P95" i="25"/>
  <c r="P94" i="25"/>
  <c r="P93" i="25"/>
  <c r="P92" i="25"/>
  <c r="P91" i="25"/>
  <c r="P90" i="25"/>
  <c r="P89" i="25"/>
  <c r="P88" i="25"/>
  <c r="P87" i="25"/>
  <c r="P86" i="25"/>
  <c r="P85" i="25"/>
  <c r="P84" i="25"/>
  <c r="P83" i="25"/>
  <c r="P82" i="25"/>
  <c r="P81" i="25"/>
  <c r="P80" i="25"/>
  <c r="P79" i="25"/>
  <c r="P78" i="25"/>
  <c r="P77" i="25"/>
  <c r="P76" i="25"/>
  <c r="P75" i="25"/>
  <c r="P74" i="25"/>
  <c r="P73" i="25"/>
  <c r="P72" i="25"/>
  <c r="P71" i="25"/>
  <c r="P70" i="25"/>
  <c r="P69" i="25"/>
  <c r="P68" i="25"/>
  <c r="P67" i="25"/>
  <c r="P66" i="25"/>
  <c r="P65" i="25"/>
  <c r="P64" i="25"/>
  <c r="P63" i="25"/>
  <c r="P62" i="25"/>
  <c r="P61" i="25"/>
  <c r="P60" i="25"/>
  <c r="P59" i="25"/>
  <c r="P58" i="25"/>
  <c r="P57" i="25"/>
  <c r="P56" i="25"/>
  <c r="P55" i="25"/>
  <c r="P54" i="25"/>
  <c r="P53" i="25"/>
  <c r="P52" i="25"/>
  <c r="P51" i="25"/>
  <c r="P50" i="25"/>
  <c r="P49" i="25"/>
  <c r="P48" i="25"/>
  <c r="P47" i="25"/>
  <c r="P46" i="25"/>
  <c r="P45" i="25"/>
  <c r="P44" i="25"/>
  <c r="P43" i="25"/>
  <c r="P42" i="25"/>
  <c r="P41" i="25"/>
  <c r="P40" i="25"/>
  <c r="P39" i="25"/>
  <c r="P38" i="25"/>
  <c r="P37" i="25"/>
  <c r="P36" i="25"/>
  <c r="P35" i="25"/>
  <c r="P34" i="25"/>
  <c r="P33" i="25"/>
  <c r="P32" i="25"/>
  <c r="P31" i="25"/>
  <c r="P30" i="25"/>
  <c r="P29" i="25"/>
  <c r="P28" i="25"/>
  <c r="P27" i="25"/>
  <c r="P26" i="25"/>
  <c r="P25" i="25"/>
  <c r="P24" i="25"/>
  <c r="P23" i="25"/>
  <c r="P22" i="25"/>
  <c r="P21" i="25"/>
  <c r="P20" i="25"/>
  <c r="P19" i="25"/>
  <c r="P18" i="25"/>
  <c r="P17" i="25"/>
  <c r="P16" i="25"/>
  <c r="P15" i="25"/>
  <c r="P14" i="25"/>
  <c r="P13" i="25"/>
  <c r="P12" i="25"/>
  <c r="P11" i="25"/>
  <c r="P10" i="25"/>
  <c r="P9" i="25"/>
  <c r="P8" i="25"/>
  <c r="M112" i="25"/>
  <c r="M111" i="25"/>
  <c r="M110" i="25"/>
  <c r="M109" i="25"/>
  <c r="M108" i="25"/>
  <c r="M107" i="25"/>
  <c r="M106" i="25"/>
  <c r="M105" i="25"/>
  <c r="M104" i="25"/>
  <c r="M103" i="25"/>
  <c r="M102" i="25"/>
  <c r="M101" i="25"/>
  <c r="M100" i="25"/>
  <c r="M99" i="25"/>
  <c r="M98" i="25"/>
  <c r="M97" i="25"/>
  <c r="M96" i="25"/>
  <c r="M95" i="25"/>
  <c r="M94" i="25"/>
  <c r="M93" i="25"/>
  <c r="M92" i="25"/>
  <c r="M91" i="25"/>
  <c r="M90" i="25"/>
  <c r="M89" i="25"/>
  <c r="M88" i="25"/>
  <c r="M87" i="25"/>
  <c r="M86" i="25"/>
  <c r="M85" i="25"/>
  <c r="M84" i="25"/>
  <c r="M83" i="25"/>
  <c r="M82" i="25"/>
  <c r="M81" i="25"/>
  <c r="M80" i="25"/>
  <c r="M79" i="25"/>
  <c r="M78" i="25"/>
  <c r="M77" i="25"/>
  <c r="M76" i="25"/>
  <c r="M75" i="25"/>
  <c r="M74" i="25"/>
  <c r="M73" i="25"/>
  <c r="M72" i="25"/>
  <c r="M71" i="25"/>
  <c r="M70" i="25"/>
  <c r="M69" i="25"/>
  <c r="M68" i="25"/>
  <c r="M67" i="25"/>
  <c r="M66" i="25"/>
  <c r="M65" i="25"/>
  <c r="M64" i="25"/>
  <c r="M63" i="25"/>
  <c r="M62" i="25"/>
  <c r="M61" i="25"/>
  <c r="M60" i="25"/>
  <c r="M59" i="25"/>
  <c r="M58" i="25"/>
  <c r="M57" i="25"/>
  <c r="M56" i="25"/>
  <c r="M55" i="25"/>
  <c r="M54" i="25"/>
  <c r="M53" i="25"/>
  <c r="M52" i="25"/>
  <c r="M51" i="25"/>
  <c r="M50" i="25"/>
  <c r="M49" i="25"/>
  <c r="M48" i="25"/>
  <c r="M47" i="25"/>
  <c r="M46" i="25"/>
  <c r="M45" i="25"/>
  <c r="M44" i="25"/>
  <c r="M43" i="25"/>
  <c r="M42" i="25"/>
  <c r="M41" i="25"/>
  <c r="M40" i="25"/>
  <c r="M39" i="25"/>
  <c r="M38" i="25"/>
  <c r="M37" i="25"/>
  <c r="M36" i="25"/>
  <c r="M35" i="25"/>
  <c r="M34" i="25"/>
  <c r="M33" i="25"/>
  <c r="M32" i="25"/>
  <c r="M31" i="25"/>
  <c r="M30" i="25"/>
  <c r="M29" i="25"/>
  <c r="M28" i="25"/>
  <c r="M27" i="25"/>
  <c r="M26" i="25"/>
  <c r="M25" i="25"/>
  <c r="M24" i="25"/>
  <c r="M23" i="25"/>
  <c r="M22" i="25"/>
  <c r="M21" i="25"/>
  <c r="M20" i="25"/>
  <c r="M19" i="25"/>
  <c r="M18" i="25"/>
  <c r="M17" i="25"/>
  <c r="M16" i="25"/>
  <c r="M15" i="25"/>
  <c r="M14" i="25"/>
  <c r="M13" i="25"/>
  <c r="M12" i="25"/>
  <c r="M11" i="25"/>
  <c r="M10" i="25"/>
  <c r="M9" i="25"/>
  <c r="M8" i="25"/>
  <c r="J112" i="25"/>
  <c r="J111" i="25"/>
  <c r="J110" i="25"/>
  <c r="J109" i="25"/>
  <c r="J108" i="25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J8" i="25"/>
  <c r="G112" i="25"/>
  <c r="G111" i="25"/>
  <c r="G110" i="25"/>
  <c r="G109" i="25"/>
  <c r="G108" i="25"/>
  <c r="G107" i="25"/>
  <c r="G106" i="25"/>
  <c r="G105" i="25"/>
  <c r="G104" i="25"/>
  <c r="G103" i="25"/>
  <c r="G102" i="25"/>
  <c r="G101" i="25"/>
  <c r="G100" i="25"/>
  <c r="G99" i="25"/>
  <c r="G98" i="25"/>
  <c r="G97" i="25"/>
  <c r="G96" i="25"/>
  <c r="G95" i="25"/>
  <c r="G94" i="25"/>
  <c r="G93" i="25"/>
  <c r="G92" i="25"/>
  <c r="G91" i="25"/>
  <c r="G90" i="25"/>
  <c r="G89" i="25"/>
  <c r="G88" i="25"/>
  <c r="G87" i="25"/>
  <c r="G86" i="25"/>
  <c r="G85" i="25"/>
  <c r="G84" i="25"/>
  <c r="G83" i="25"/>
  <c r="G82" i="25"/>
  <c r="G81" i="25"/>
  <c r="G80" i="25"/>
  <c r="G79" i="25"/>
  <c r="G78" i="25"/>
  <c r="G77" i="25"/>
  <c r="G76" i="25"/>
  <c r="G75" i="25"/>
  <c r="G74" i="25"/>
  <c r="G73" i="25"/>
  <c r="G72" i="25"/>
  <c r="G71" i="25"/>
  <c r="G70" i="25"/>
  <c r="G69" i="25"/>
  <c r="G68" i="25"/>
  <c r="G67" i="25"/>
  <c r="G66" i="25"/>
  <c r="G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N33" i="10" l="1"/>
  <c r="N35" i="10" s="1"/>
  <c r="K23" i="10" s="1"/>
  <c r="Q2" i="7"/>
  <c r="N15" i="7"/>
  <c r="N16" i="7"/>
  <c r="N17" i="7"/>
  <c r="N18" i="7"/>
  <c r="N14" i="7"/>
  <c r="N4" i="7" a="1"/>
  <c r="N4" i="7" s="1"/>
  <c r="C36" i="2"/>
  <c r="D36" i="2"/>
  <c r="E36" i="2"/>
  <c r="F36" i="2"/>
  <c r="G36" i="2"/>
  <c r="H36" i="2"/>
  <c r="I36" i="2"/>
  <c r="J36" i="2"/>
  <c r="K36" i="2"/>
  <c r="B36" i="2"/>
  <c r="L5" i="7"/>
  <c r="L6" i="7" s="1"/>
  <c r="L7" i="7" s="1"/>
  <c r="L8" i="7" s="1"/>
  <c r="L9" i="7" s="1"/>
  <c r="L10" i="7" s="1"/>
  <c r="L11" i="7" s="1"/>
  <c r="L12" i="7" s="1"/>
  <c r="L13" i="7" s="1"/>
  <c r="L14" i="7" s="1"/>
  <c r="M4" i="7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L2" i="7"/>
  <c r="S4" i="7" a="1"/>
  <c r="S4" i="7" s="1"/>
  <c r="I4" i="7" a="1"/>
  <c r="I4" i="7" s="1"/>
  <c r="D4" i="7" a="1"/>
  <c r="D5" i="7" s="1"/>
  <c r="D34" i="21"/>
  <c r="D33" i="21"/>
  <c r="D22" i="21"/>
  <c r="G9" i="21"/>
  <c r="H9" i="21" s="1"/>
  <c r="I9" i="21" s="1"/>
  <c r="F5" i="21"/>
  <c r="G5" i="21" s="1"/>
  <c r="H5" i="21" s="1"/>
  <c r="I5" i="21" s="1"/>
  <c r="J5" i="21" s="1"/>
  <c r="B55" i="20"/>
  <c r="K55" i="20"/>
  <c r="J55" i="20"/>
  <c r="I55" i="20"/>
  <c r="H55" i="20"/>
  <c r="G55" i="20"/>
  <c r="B39" i="20"/>
  <c r="K39" i="20"/>
  <c r="J39" i="20"/>
  <c r="I39" i="20"/>
  <c r="H39" i="20"/>
  <c r="G39" i="20"/>
  <c r="H2" i="20"/>
  <c r="I2" i="20"/>
  <c r="J2" i="20"/>
  <c r="K2" i="20"/>
  <c r="E2" i="21" s="1"/>
  <c r="F2" i="21" s="1"/>
  <c r="G2" i="21" s="1"/>
  <c r="H2" i="21" s="1"/>
  <c r="I2" i="21" s="1"/>
  <c r="J2" i="21" s="1"/>
  <c r="G2" i="20"/>
  <c r="H30" i="20"/>
  <c r="I30" i="20"/>
  <c r="J30" i="20"/>
  <c r="K30" i="20"/>
  <c r="G30" i="20"/>
  <c r="B30" i="20"/>
  <c r="G20" i="20"/>
  <c r="B20" i="20"/>
  <c r="G13" i="20"/>
  <c r="H13" i="20"/>
  <c r="I13" i="20"/>
  <c r="J13" i="20"/>
  <c r="K13" i="20"/>
  <c r="G14" i="20"/>
  <c r="H14" i="20"/>
  <c r="I14" i="20"/>
  <c r="J14" i="20"/>
  <c r="K14" i="20"/>
  <c r="H12" i="20"/>
  <c r="I12" i="20"/>
  <c r="J12" i="20"/>
  <c r="K12" i="20"/>
  <c r="G12" i="20"/>
  <c r="B13" i="20"/>
  <c r="B14" i="20"/>
  <c r="B12" i="20"/>
  <c r="G8" i="20"/>
  <c r="H8" i="20"/>
  <c r="I8" i="20"/>
  <c r="J8" i="20"/>
  <c r="K8" i="20"/>
  <c r="H7" i="20"/>
  <c r="I7" i="20"/>
  <c r="J7" i="20"/>
  <c r="K7" i="20"/>
  <c r="G7" i="20"/>
  <c r="G6" i="20"/>
  <c r="H6" i="20"/>
  <c r="I6" i="20"/>
  <c r="J6" i="20"/>
  <c r="K6" i="20"/>
  <c r="H5" i="20"/>
  <c r="I5" i="20"/>
  <c r="J5" i="20"/>
  <c r="K5" i="20"/>
  <c r="G5" i="20"/>
  <c r="B8" i="20"/>
  <c r="B7" i="20"/>
  <c r="B6" i="20"/>
  <c r="B5" i="20"/>
  <c r="B2" i="20"/>
  <c r="B2" i="6"/>
  <c r="D30" i="19"/>
  <c r="E30" i="19"/>
  <c r="F30" i="19"/>
  <c r="G30" i="19"/>
  <c r="H30" i="19"/>
  <c r="I30" i="19"/>
  <c r="J30" i="19"/>
  <c r="K30" i="19"/>
  <c r="L30" i="19"/>
  <c r="M30" i="19"/>
  <c r="N30" i="19"/>
  <c r="C30" i="19"/>
  <c r="M7" i="18"/>
  <c r="D8" i="18"/>
  <c r="G8" i="18"/>
  <c r="D9" i="18"/>
  <c r="G9" i="18"/>
  <c r="D10" i="18"/>
  <c r="G10" i="18"/>
  <c r="D11" i="18"/>
  <c r="G11" i="18"/>
  <c r="D12" i="18"/>
  <c r="G12" i="18"/>
  <c r="D13" i="18"/>
  <c r="G13" i="18"/>
  <c r="D14" i="18"/>
  <c r="G14" i="18"/>
  <c r="D15" i="18"/>
  <c r="G15" i="18"/>
  <c r="D16" i="18"/>
  <c r="G16" i="18"/>
  <c r="D17" i="18"/>
  <c r="G17" i="18"/>
  <c r="D18" i="18"/>
  <c r="G18" i="18"/>
  <c r="D19" i="18"/>
  <c r="G19" i="18"/>
  <c r="D20" i="18"/>
  <c r="G20" i="18"/>
  <c r="D21" i="18"/>
  <c r="G21" i="18"/>
  <c r="D22" i="18"/>
  <c r="G22" i="18"/>
  <c r="D23" i="18"/>
  <c r="G23" i="18"/>
  <c r="D24" i="18"/>
  <c r="G24" i="18"/>
  <c r="D25" i="18"/>
  <c r="G25" i="18"/>
  <c r="D26" i="18"/>
  <c r="G26" i="18"/>
  <c r="D27" i="18"/>
  <c r="G27" i="18"/>
  <c r="D28" i="18"/>
  <c r="G28" i="18"/>
  <c r="D29" i="18"/>
  <c r="G29" i="18"/>
  <c r="D30" i="18"/>
  <c r="G30" i="18"/>
  <c r="D31" i="18"/>
  <c r="G31" i="18"/>
  <c r="D32" i="18"/>
  <c r="G32" i="18"/>
  <c r="D33" i="18"/>
  <c r="G33" i="18"/>
  <c r="D34" i="18"/>
  <c r="G34" i="18"/>
  <c r="D35" i="18"/>
  <c r="G35" i="18"/>
  <c r="D36" i="18"/>
  <c r="G36" i="18"/>
  <c r="D37" i="18"/>
  <c r="G37" i="18"/>
  <c r="D38" i="18"/>
  <c r="G38" i="18"/>
  <c r="D39" i="18"/>
  <c r="G39" i="18"/>
  <c r="D40" i="18"/>
  <c r="G40" i="18"/>
  <c r="D41" i="18"/>
  <c r="G41" i="18"/>
  <c r="D42" i="18"/>
  <c r="G42" i="18"/>
  <c r="D43" i="18"/>
  <c r="G43" i="18"/>
  <c r="D44" i="18"/>
  <c r="G44" i="18"/>
  <c r="D45" i="18"/>
  <c r="G45" i="18"/>
  <c r="D46" i="18"/>
  <c r="G46" i="18"/>
  <c r="D47" i="18"/>
  <c r="G47" i="18"/>
  <c r="D48" i="18"/>
  <c r="G48" i="18"/>
  <c r="D49" i="18"/>
  <c r="G49" i="18"/>
  <c r="D50" i="18"/>
  <c r="G50" i="18"/>
  <c r="D51" i="18"/>
  <c r="G51" i="18"/>
  <c r="D52" i="18"/>
  <c r="G52" i="18"/>
  <c r="D53" i="18"/>
  <c r="G53" i="18"/>
  <c r="D54" i="18"/>
  <c r="G54" i="18"/>
  <c r="D55" i="18"/>
  <c r="G55" i="18"/>
  <c r="D56" i="18"/>
  <c r="G56" i="18"/>
  <c r="D57" i="18"/>
  <c r="G57" i="18"/>
  <c r="D58" i="18"/>
  <c r="G58" i="18"/>
  <c r="D59" i="18"/>
  <c r="G59" i="18"/>
  <c r="D60" i="18"/>
  <c r="G60" i="18"/>
  <c r="D61" i="18"/>
  <c r="G61" i="18"/>
  <c r="D62" i="18"/>
  <c r="G62" i="18"/>
  <c r="D63" i="18"/>
  <c r="G63" i="18"/>
  <c r="D64" i="18"/>
  <c r="G64" i="18"/>
  <c r="D65" i="18"/>
  <c r="G65" i="18"/>
  <c r="D66" i="18"/>
  <c r="G66" i="18"/>
  <c r="D67" i="18"/>
  <c r="G67" i="18"/>
  <c r="D68" i="18"/>
  <c r="G68" i="18"/>
  <c r="D69" i="18"/>
  <c r="G69" i="18"/>
  <c r="D70" i="18"/>
  <c r="G70" i="18"/>
  <c r="D71" i="18"/>
  <c r="G71" i="18"/>
  <c r="D72" i="18"/>
  <c r="G72" i="18"/>
  <c r="D73" i="18"/>
  <c r="G73" i="18"/>
  <c r="D74" i="18"/>
  <c r="G74" i="18"/>
  <c r="D75" i="18"/>
  <c r="G75" i="18"/>
  <c r="D76" i="18"/>
  <c r="G76" i="18"/>
  <c r="D77" i="18"/>
  <c r="G77" i="18"/>
  <c r="D78" i="18"/>
  <c r="G78" i="18"/>
  <c r="D79" i="18"/>
  <c r="G79" i="18"/>
  <c r="D80" i="18"/>
  <c r="G80" i="18"/>
  <c r="D81" i="18"/>
  <c r="G81" i="18"/>
  <c r="D82" i="18"/>
  <c r="G82" i="18"/>
  <c r="D83" i="18"/>
  <c r="G83" i="18"/>
  <c r="D84" i="18"/>
  <c r="G84" i="18"/>
  <c r="D85" i="18"/>
  <c r="G85" i="18"/>
  <c r="D86" i="18"/>
  <c r="G86" i="18"/>
  <c r="D87" i="18"/>
  <c r="G87" i="18"/>
  <c r="D88" i="18"/>
  <c r="G88" i="18"/>
  <c r="D89" i="18"/>
  <c r="G89" i="18"/>
  <c r="D90" i="18"/>
  <c r="G90" i="18"/>
  <c r="D91" i="18"/>
  <c r="G91" i="18"/>
  <c r="D92" i="18"/>
  <c r="G92" i="18"/>
  <c r="D93" i="18"/>
  <c r="G93" i="18"/>
  <c r="D94" i="18"/>
  <c r="G94" i="18"/>
  <c r="D95" i="18"/>
  <c r="G95" i="18"/>
  <c r="D96" i="18"/>
  <c r="G96" i="18"/>
  <c r="D97" i="18"/>
  <c r="G97" i="18"/>
  <c r="D98" i="18"/>
  <c r="G98" i="18"/>
  <c r="D99" i="18"/>
  <c r="G99" i="18"/>
  <c r="D100" i="18"/>
  <c r="G100" i="18"/>
  <c r="D101" i="18"/>
  <c r="G101" i="18"/>
  <c r="D102" i="18"/>
  <c r="G102" i="18"/>
  <c r="D103" i="18"/>
  <c r="G103" i="18"/>
  <c r="D104" i="18"/>
  <c r="G104" i="18"/>
  <c r="D105" i="18"/>
  <c r="G105" i="18"/>
  <c r="D106" i="18"/>
  <c r="G106" i="18"/>
  <c r="D107" i="18"/>
  <c r="G107" i="18"/>
  <c r="D108" i="18"/>
  <c r="G108" i="18"/>
  <c r="D109" i="18"/>
  <c r="G109" i="18"/>
  <c r="D110" i="18"/>
  <c r="G110" i="18"/>
  <c r="D111" i="18"/>
  <c r="G111" i="18"/>
  <c r="J6" i="17"/>
  <c r="J12" i="17" s="1"/>
  <c r="M7" i="17"/>
  <c r="D8" i="17"/>
  <c r="G8" i="17"/>
  <c r="D9" i="17"/>
  <c r="G9" i="17"/>
  <c r="D10" i="17"/>
  <c r="G10" i="17"/>
  <c r="D11" i="17"/>
  <c r="G11" i="17"/>
  <c r="D12" i="17"/>
  <c r="G12" i="17"/>
  <c r="D13" i="17"/>
  <c r="G13" i="17"/>
  <c r="D14" i="17"/>
  <c r="G14" i="17"/>
  <c r="D15" i="17"/>
  <c r="G15" i="17"/>
  <c r="D16" i="17"/>
  <c r="G16" i="17"/>
  <c r="D17" i="17"/>
  <c r="G17" i="17"/>
  <c r="D18" i="17"/>
  <c r="G18" i="17"/>
  <c r="D19" i="17"/>
  <c r="G19" i="17"/>
  <c r="D20" i="17"/>
  <c r="G20" i="17"/>
  <c r="D21" i="17"/>
  <c r="G21" i="17"/>
  <c r="D22" i="17"/>
  <c r="G22" i="17"/>
  <c r="D23" i="17"/>
  <c r="G23" i="17"/>
  <c r="D24" i="17"/>
  <c r="G24" i="17"/>
  <c r="D25" i="17"/>
  <c r="G25" i="17"/>
  <c r="D26" i="17"/>
  <c r="G26" i="17"/>
  <c r="D27" i="17"/>
  <c r="G27" i="17"/>
  <c r="D28" i="17"/>
  <c r="G28" i="17"/>
  <c r="D29" i="17"/>
  <c r="G29" i="17"/>
  <c r="D30" i="17"/>
  <c r="G30" i="17"/>
  <c r="D31" i="17"/>
  <c r="G31" i="17"/>
  <c r="D32" i="17"/>
  <c r="G32" i="17"/>
  <c r="D33" i="17"/>
  <c r="G33" i="17"/>
  <c r="D34" i="17"/>
  <c r="G34" i="17"/>
  <c r="D35" i="17"/>
  <c r="G35" i="17"/>
  <c r="D36" i="17"/>
  <c r="G36" i="17"/>
  <c r="D37" i="17"/>
  <c r="G37" i="17"/>
  <c r="D38" i="17"/>
  <c r="G38" i="17"/>
  <c r="D39" i="17"/>
  <c r="G39" i="17"/>
  <c r="D40" i="17"/>
  <c r="G40" i="17"/>
  <c r="D41" i="17"/>
  <c r="G41" i="17"/>
  <c r="D42" i="17"/>
  <c r="G42" i="17"/>
  <c r="D43" i="17"/>
  <c r="G43" i="17"/>
  <c r="D44" i="17"/>
  <c r="G44" i="17"/>
  <c r="D45" i="17"/>
  <c r="G45" i="17"/>
  <c r="D46" i="17"/>
  <c r="G46" i="17"/>
  <c r="D47" i="17"/>
  <c r="G47" i="17"/>
  <c r="D48" i="17"/>
  <c r="G48" i="17"/>
  <c r="D49" i="17"/>
  <c r="G49" i="17"/>
  <c r="D50" i="17"/>
  <c r="G50" i="17"/>
  <c r="D51" i="17"/>
  <c r="G51" i="17"/>
  <c r="D52" i="17"/>
  <c r="G52" i="17"/>
  <c r="D53" i="17"/>
  <c r="G53" i="17"/>
  <c r="D54" i="17"/>
  <c r="G54" i="17"/>
  <c r="D55" i="17"/>
  <c r="G55" i="17"/>
  <c r="D56" i="17"/>
  <c r="G56" i="17"/>
  <c r="D57" i="17"/>
  <c r="G57" i="17"/>
  <c r="D58" i="17"/>
  <c r="G58" i="17"/>
  <c r="D59" i="17"/>
  <c r="G59" i="17"/>
  <c r="D60" i="17"/>
  <c r="G60" i="17"/>
  <c r="D61" i="17"/>
  <c r="G61" i="17"/>
  <c r="D62" i="17"/>
  <c r="G62" i="17"/>
  <c r="D63" i="17"/>
  <c r="G63" i="17"/>
  <c r="D64" i="17"/>
  <c r="G64" i="17"/>
  <c r="D65" i="17"/>
  <c r="G65" i="17"/>
  <c r="D66" i="17"/>
  <c r="G66" i="17"/>
  <c r="D67" i="17"/>
  <c r="G67" i="17"/>
  <c r="D68" i="17"/>
  <c r="G68" i="17"/>
  <c r="D69" i="17"/>
  <c r="G69" i="17"/>
  <c r="D70" i="17"/>
  <c r="G70" i="17"/>
  <c r="D71" i="17"/>
  <c r="G71" i="17"/>
  <c r="D72" i="17"/>
  <c r="G72" i="17"/>
  <c r="D73" i="17"/>
  <c r="G73" i="17"/>
  <c r="D74" i="17"/>
  <c r="G74" i="17"/>
  <c r="D75" i="17"/>
  <c r="G75" i="17"/>
  <c r="D76" i="17"/>
  <c r="G76" i="17"/>
  <c r="D77" i="17"/>
  <c r="G77" i="17"/>
  <c r="D78" i="17"/>
  <c r="G78" i="17"/>
  <c r="D79" i="17"/>
  <c r="G79" i="17"/>
  <c r="D80" i="17"/>
  <c r="G80" i="17"/>
  <c r="D81" i="17"/>
  <c r="G81" i="17"/>
  <c r="D82" i="17"/>
  <c r="G82" i="17"/>
  <c r="D83" i="17"/>
  <c r="G83" i="17"/>
  <c r="D84" i="17"/>
  <c r="G84" i="17"/>
  <c r="D85" i="17"/>
  <c r="G85" i="17"/>
  <c r="D86" i="17"/>
  <c r="G86" i="17"/>
  <c r="D87" i="17"/>
  <c r="G87" i="17"/>
  <c r="D88" i="17"/>
  <c r="G88" i="17"/>
  <c r="D89" i="17"/>
  <c r="G89" i="17"/>
  <c r="D90" i="17"/>
  <c r="G90" i="17"/>
  <c r="D91" i="17"/>
  <c r="G91" i="17"/>
  <c r="D92" i="17"/>
  <c r="G92" i="17"/>
  <c r="D93" i="17"/>
  <c r="G93" i="17"/>
  <c r="D94" i="17"/>
  <c r="G94" i="17"/>
  <c r="D95" i="17"/>
  <c r="G95" i="17"/>
  <c r="D96" i="17"/>
  <c r="G96" i="17"/>
  <c r="D97" i="17"/>
  <c r="G97" i="17"/>
  <c r="D98" i="17"/>
  <c r="G98" i="17"/>
  <c r="D99" i="17"/>
  <c r="G99" i="17"/>
  <c r="D100" i="17"/>
  <c r="G100" i="17"/>
  <c r="D101" i="17"/>
  <c r="G101" i="17"/>
  <c r="D102" i="17"/>
  <c r="G102" i="17"/>
  <c r="D103" i="17"/>
  <c r="G103" i="17"/>
  <c r="D104" i="17"/>
  <c r="G104" i="17"/>
  <c r="D105" i="17"/>
  <c r="G105" i="17"/>
  <c r="D106" i="17"/>
  <c r="G106" i="17"/>
  <c r="D107" i="17"/>
  <c r="G107" i="17"/>
  <c r="D108" i="17"/>
  <c r="G108" i="17"/>
  <c r="D109" i="17"/>
  <c r="G109" i="17"/>
  <c r="D110" i="17"/>
  <c r="G110" i="17"/>
  <c r="D111" i="17"/>
  <c r="G111" i="17"/>
  <c r="D112" i="17"/>
  <c r="G112" i="17"/>
  <c r="M7" i="16"/>
  <c r="J6" i="16" s="1"/>
  <c r="J12" i="16" s="1"/>
  <c r="D8" i="16"/>
  <c r="G8" i="16"/>
  <c r="D9" i="16"/>
  <c r="G9" i="16"/>
  <c r="D10" i="16"/>
  <c r="G10" i="16"/>
  <c r="D11" i="16"/>
  <c r="G11" i="16"/>
  <c r="D12" i="16"/>
  <c r="G12" i="16"/>
  <c r="D13" i="16"/>
  <c r="G13" i="16"/>
  <c r="D14" i="16"/>
  <c r="G14" i="16"/>
  <c r="D15" i="16"/>
  <c r="G15" i="16"/>
  <c r="D16" i="16"/>
  <c r="G16" i="16"/>
  <c r="D17" i="16"/>
  <c r="G17" i="16"/>
  <c r="D18" i="16"/>
  <c r="G18" i="16"/>
  <c r="D19" i="16"/>
  <c r="G19" i="16"/>
  <c r="D20" i="16"/>
  <c r="G20" i="16"/>
  <c r="D21" i="16"/>
  <c r="G21" i="16"/>
  <c r="D22" i="16"/>
  <c r="G22" i="16"/>
  <c r="D23" i="16"/>
  <c r="G23" i="16"/>
  <c r="D24" i="16"/>
  <c r="G24" i="16"/>
  <c r="D25" i="16"/>
  <c r="G25" i="16"/>
  <c r="D26" i="16"/>
  <c r="G26" i="16"/>
  <c r="D27" i="16"/>
  <c r="G27" i="16"/>
  <c r="D28" i="16"/>
  <c r="G28" i="16"/>
  <c r="D29" i="16"/>
  <c r="G29" i="16"/>
  <c r="D30" i="16"/>
  <c r="G30" i="16"/>
  <c r="D31" i="16"/>
  <c r="G31" i="16"/>
  <c r="D32" i="16"/>
  <c r="G32" i="16"/>
  <c r="D33" i="16"/>
  <c r="G33" i="16"/>
  <c r="D34" i="16"/>
  <c r="G34" i="16"/>
  <c r="D35" i="16"/>
  <c r="G35" i="16"/>
  <c r="D36" i="16"/>
  <c r="G36" i="16"/>
  <c r="D37" i="16"/>
  <c r="G37" i="16"/>
  <c r="D38" i="16"/>
  <c r="G38" i="16"/>
  <c r="D39" i="16"/>
  <c r="G39" i="16"/>
  <c r="D40" i="16"/>
  <c r="G40" i="16"/>
  <c r="D41" i="16"/>
  <c r="G41" i="16"/>
  <c r="D42" i="16"/>
  <c r="G42" i="16"/>
  <c r="D43" i="16"/>
  <c r="G43" i="16"/>
  <c r="D44" i="16"/>
  <c r="G44" i="16"/>
  <c r="D45" i="16"/>
  <c r="G45" i="16"/>
  <c r="D46" i="16"/>
  <c r="G46" i="16"/>
  <c r="D47" i="16"/>
  <c r="G47" i="16"/>
  <c r="D48" i="16"/>
  <c r="G48" i="16"/>
  <c r="D49" i="16"/>
  <c r="G49" i="16"/>
  <c r="D50" i="16"/>
  <c r="G50" i="16"/>
  <c r="D51" i="16"/>
  <c r="G51" i="16"/>
  <c r="D52" i="16"/>
  <c r="G52" i="16"/>
  <c r="D53" i="16"/>
  <c r="G53" i="16"/>
  <c r="D54" i="16"/>
  <c r="G54" i="16"/>
  <c r="D55" i="16"/>
  <c r="G55" i="16"/>
  <c r="D56" i="16"/>
  <c r="G56" i="16"/>
  <c r="D57" i="16"/>
  <c r="G57" i="16"/>
  <c r="D58" i="16"/>
  <c r="G58" i="16"/>
  <c r="D59" i="16"/>
  <c r="G59" i="16"/>
  <c r="D60" i="16"/>
  <c r="G60" i="16"/>
  <c r="D61" i="16"/>
  <c r="G61" i="16"/>
  <c r="D62" i="16"/>
  <c r="G62" i="16"/>
  <c r="D63" i="16"/>
  <c r="G63" i="16"/>
  <c r="D64" i="16"/>
  <c r="G64" i="16"/>
  <c r="D65" i="16"/>
  <c r="G65" i="16"/>
  <c r="D66" i="16"/>
  <c r="G66" i="16"/>
  <c r="D67" i="16"/>
  <c r="G67" i="16"/>
  <c r="D68" i="16"/>
  <c r="G68" i="16"/>
  <c r="D69" i="16"/>
  <c r="G69" i="16"/>
  <c r="D70" i="16"/>
  <c r="G70" i="16"/>
  <c r="D71" i="16"/>
  <c r="G71" i="16"/>
  <c r="D72" i="16"/>
  <c r="G72" i="16"/>
  <c r="D73" i="16"/>
  <c r="G73" i="16"/>
  <c r="D74" i="16"/>
  <c r="G74" i="16"/>
  <c r="D75" i="16"/>
  <c r="G75" i="16"/>
  <c r="D76" i="16"/>
  <c r="G76" i="16"/>
  <c r="D77" i="16"/>
  <c r="G77" i="16"/>
  <c r="D78" i="16"/>
  <c r="G78" i="16"/>
  <c r="D79" i="16"/>
  <c r="G79" i="16"/>
  <c r="D80" i="16"/>
  <c r="G80" i="16"/>
  <c r="D81" i="16"/>
  <c r="G81" i="16"/>
  <c r="D82" i="16"/>
  <c r="G82" i="16"/>
  <c r="D83" i="16"/>
  <c r="G83" i="16"/>
  <c r="D84" i="16"/>
  <c r="G84" i="16"/>
  <c r="D85" i="16"/>
  <c r="G85" i="16"/>
  <c r="D86" i="16"/>
  <c r="G86" i="16"/>
  <c r="D87" i="16"/>
  <c r="G87" i="16"/>
  <c r="D88" i="16"/>
  <c r="G88" i="16"/>
  <c r="D89" i="16"/>
  <c r="G89" i="16"/>
  <c r="D90" i="16"/>
  <c r="G90" i="16"/>
  <c r="D91" i="16"/>
  <c r="G91" i="16"/>
  <c r="D92" i="16"/>
  <c r="G92" i="16"/>
  <c r="D93" i="16"/>
  <c r="G93" i="16"/>
  <c r="D94" i="16"/>
  <c r="G94" i="16"/>
  <c r="D95" i="16"/>
  <c r="G95" i="16"/>
  <c r="D96" i="16"/>
  <c r="G96" i="16"/>
  <c r="D97" i="16"/>
  <c r="G97" i="16"/>
  <c r="D98" i="16"/>
  <c r="G98" i="16"/>
  <c r="D99" i="16"/>
  <c r="G99" i="16"/>
  <c r="D100" i="16"/>
  <c r="G100" i="16"/>
  <c r="D101" i="16"/>
  <c r="G101" i="16"/>
  <c r="D102" i="16"/>
  <c r="G102" i="16"/>
  <c r="D103" i="16"/>
  <c r="G103" i="16"/>
  <c r="D104" i="16"/>
  <c r="G104" i="16"/>
  <c r="D105" i="16"/>
  <c r="G105" i="16"/>
  <c r="D106" i="16"/>
  <c r="G106" i="16"/>
  <c r="D107" i="16"/>
  <c r="G107" i="16"/>
  <c r="D108" i="16"/>
  <c r="G108" i="16"/>
  <c r="D109" i="16"/>
  <c r="G109" i="16"/>
  <c r="D110" i="16"/>
  <c r="G110" i="16"/>
  <c r="D111" i="16"/>
  <c r="G111" i="16"/>
  <c r="D112" i="16"/>
  <c r="G112" i="16"/>
  <c r="M7" i="15"/>
  <c r="J6" i="15" s="1"/>
  <c r="J12" i="15" s="1"/>
  <c r="D8" i="15"/>
  <c r="M5" i="15" s="1"/>
  <c r="G8" i="15"/>
  <c r="D9" i="15"/>
  <c r="G9" i="15"/>
  <c r="D10" i="15"/>
  <c r="G10" i="15"/>
  <c r="D11" i="15"/>
  <c r="G11" i="15"/>
  <c r="D12" i="15"/>
  <c r="G12" i="15"/>
  <c r="D13" i="15"/>
  <c r="G13" i="15"/>
  <c r="D14" i="15"/>
  <c r="G14" i="15"/>
  <c r="D15" i="15"/>
  <c r="G15" i="15"/>
  <c r="D16" i="15"/>
  <c r="G16" i="15"/>
  <c r="D17" i="15"/>
  <c r="G17" i="15"/>
  <c r="D18" i="15"/>
  <c r="G18" i="15"/>
  <c r="D19" i="15"/>
  <c r="G19" i="15"/>
  <c r="D20" i="15"/>
  <c r="G20" i="15"/>
  <c r="D21" i="15"/>
  <c r="G21" i="15"/>
  <c r="D22" i="15"/>
  <c r="G22" i="15"/>
  <c r="D23" i="15"/>
  <c r="G23" i="15"/>
  <c r="D24" i="15"/>
  <c r="G24" i="15"/>
  <c r="D25" i="15"/>
  <c r="G25" i="15"/>
  <c r="D26" i="15"/>
  <c r="G26" i="15"/>
  <c r="D27" i="15"/>
  <c r="G27" i="15"/>
  <c r="D28" i="15"/>
  <c r="G28" i="15"/>
  <c r="D29" i="15"/>
  <c r="G29" i="15"/>
  <c r="D30" i="15"/>
  <c r="G30" i="15"/>
  <c r="D31" i="15"/>
  <c r="G31" i="15"/>
  <c r="D32" i="15"/>
  <c r="G32" i="15"/>
  <c r="D33" i="15"/>
  <c r="G33" i="15"/>
  <c r="D34" i="15"/>
  <c r="G34" i="15"/>
  <c r="D35" i="15"/>
  <c r="G35" i="15"/>
  <c r="D36" i="15"/>
  <c r="G36" i="15"/>
  <c r="D37" i="15"/>
  <c r="G37" i="15"/>
  <c r="D38" i="15"/>
  <c r="G38" i="15"/>
  <c r="D39" i="15"/>
  <c r="G39" i="15"/>
  <c r="D40" i="15"/>
  <c r="G40" i="15"/>
  <c r="D41" i="15"/>
  <c r="G41" i="15"/>
  <c r="D42" i="15"/>
  <c r="G42" i="15"/>
  <c r="D43" i="15"/>
  <c r="G43" i="15"/>
  <c r="D44" i="15"/>
  <c r="G44" i="15"/>
  <c r="D45" i="15"/>
  <c r="G45" i="15"/>
  <c r="D46" i="15"/>
  <c r="G46" i="15"/>
  <c r="D47" i="15"/>
  <c r="G47" i="15"/>
  <c r="D48" i="15"/>
  <c r="G48" i="15"/>
  <c r="D49" i="15"/>
  <c r="G49" i="15"/>
  <c r="D50" i="15"/>
  <c r="G50" i="15"/>
  <c r="D51" i="15"/>
  <c r="G51" i="15"/>
  <c r="D52" i="15"/>
  <c r="G52" i="15"/>
  <c r="D53" i="15"/>
  <c r="G53" i="15"/>
  <c r="D54" i="15"/>
  <c r="G54" i="15"/>
  <c r="D55" i="15"/>
  <c r="G55" i="15"/>
  <c r="D56" i="15"/>
  <c r="G56" i="15"/>
  <c r="D57" i="15"/>
  <c r="G57" i="15"/>
  <c r="D58" i="15"/>
  <c r="G58" i="15"/>
  <c r="D59" i="15"/>
  <c r="G59" i="15"/>
  <c r="D60" i="15"/>
  <c r="G60" i="15"/>
  <c r="D61" i="15"/>
  <c r="G61" i="15"/>
  <c r="D62" i="15"/>
  <c r="G62" i="15"/>
  <c r="D63" i="15"/>
  <c r="G63" i="15"/>
  <c r="D64" i="15"/>
  <c r="G64" i="15"/>
  <c r="D65" i="15"/>
  <c r="G65" i="15"/>
  <c r="D66" i="15"/>
  <c r="G66" i="15"/>
  <c r="D67" i="15"/>
  <c r="G67" i="15"/>
  <c r="D68" i="15"/>
  <c r="G68" i="15"/>
  <c r="D69" i="15"/>
  <c r="G69" i="15"/>
  <c r="D70" i="15"/>
  <c r="G70" i="15"/>
  <c r="D71" i="15"/>
  <c r="G71" i="15"/>
  <c r="D72" i="15"/>
  <c r="G72" i="15"/>
  <c r="D73" i="15"/>
  <c r="G73" i="15"/>
  <c r="D74" i="15"/>
  <c r="G74" i="15"/>
  <c r="D75" i="15"/>
  <c r="G75" i="15"/>
  <c r="D76" i="15"/>
  <c r="G76" i="15"/>
  <c r="D77" i="15"/>
  <c r="G77" i="15"/>
  <c r="D78" i="15"/>
  <c r="G78" i="15"/>
  <c r="D79" i="15"/>
  <c r="G79" i="15"/>
  <c r="D80" i="15"/>
  <c r="G80" i="15"/>
  <c r="D81" i="15"/>
  <c r="G81" i="15"/>
  <c r="D82" i="15"/>
  <c r="G82" i="15"/>
  <c r="D83" i="15"/>
  <c r="G83" i="15"/>
  <c r="D84" i="15"/>
  <c r="G84" i="15"/>
  <c r="D85" i="15"/>
  <c r="G85" i="15"/>
  <c r="D86" i="15"/>
  <c r="G86" i="15"/>
  <c r="D87" i="15"/>
  <c r="G87" i="15"/>
  <c r="D88" i="15"/>
  <c r="G88" i="15"/>
  <c r="D89" i="15"/>
  <c r="G89" i="15"/>
  <c r="D90" i="15"/>
  <c r="G90" i="15"/>
  <c r="D91" i="15"/>
  <c r="G91" i="15"/>
  <c r="D92" i="15"/>
  <c r="G92" i="15"/>
  <c r="D93" i="15"/>
  <c r="G93" i="15"/>
  <c r="D94" i="15"/>
  <c r="G94" i="15"/>
  <c r="D95" i="15"/>
  <c r="G95" i="15"/>
  <c r="D96" i="15"/>
  <c r="G96" i="15"/>
  <c r="D97" i="15"/>
  <c r="G97" i="15"/>
  <c r="D98" i="15"/>
  <c r="G98" i="15"/>
  <c r="D99" i="15"/>
  <c r="G99" i="15"/>
  <c r="D100" i="15"/>
  <c r="G100" i="15"/>
  <c r="D101" i="15"/>
  <c r="G101" i="15"/>
  <c r="D102" i="15"/>
  <c r="G102" i="15"/>
  <c r="D103" i="15"/>
  <c r="G103" i="15"/>
  <c r="D104" i="15"/>
  <c r="G104" i="15"/>
  <c r="D105" i="15"/>
  <c r="G105" i="15"/>
  <c r="D106" i="15"/>
  <c r="G106" i="15"/>
  <c r="D107" i="15"/>
  <c r="G107" i="15"/>
  <c r="D108" i="15"/>
  <c r="G108" i="15"/>
  <c r="D109" i="15"/>
  <c r="G109" i="15"/>
  <c r="D110" i="15"/>
  <c r="G110" i="15"/>
  <c r="D111" i="15"/>
  <c r="G111" i="15"/>
  <c r="D112" i="15"/>
  <c r="G112" i="15"/>
  <c r="M7" i="14"/>
  <c r="J6" i="14" s="1"/>
  <c r="J12" i="14" s="1"/>
  <c r="D8" i="14"/>
  <c r="G8" i="14"/>
  <c r="D9" i="14"/>
  <c r="G9" i="14"/>
  <c r="D10" i="14"/>
  <c r="G10" i="14"/>
  <c r="D11" i="14"/>
  <c r="G11" i="14"/>
  <c r="D12" i="14"/>
  <c r="G12" i="14"/>
  <c r="D13" i="14"/>
  <c r="G13" i="14"/>
  <c r="D14" i="14"/>
  <c r="G14" i="14"/>
  <c r="D15" i="14"/>
  <c r="G15" i="14"/>
  <c r="D16" i="14"/>
  <c r="G16" i="14"/>
  <c r="D17" i="14"/>
  <c r="G17" i="14"/>
  <c r="D18" i="14"/>
  <c r="G18" i="14"/>
  <c r="D19" i="14"/>
  <c r="G19" i="14"/>
  <c r="D20" i="14"/>
  <c r="G20" i="14"/>
  <c r="D21" i="14"/>
  <c r="G21" i="14"/>
  <c r="D22" i="14"/>
  <c r="G22" i="14"/>
  <c r="D23" i="14"/>
  <c r="G23" i="14"/>
  <c r="D24" i="14"/>
  <c r="G24" i="14"/>
  <c r="D25" i="14"/>
  <c r="G25" i="14"/>
  <c r="D26" i="14"/>
  <c r="G26" i="14"/>
  <c r="D27" i="14"/>
  <c r="G27" i="14"/>
  <c r="D28" i="14"/>
  <c r="G28" i="14"/>
  <c r="D29" i="14"/>
  <c r="G29" i="14"/>
  <c r="D30" i="14"/>
  <c r="G30" i="14"/>
  <c r="D31" i="14"/>
  <c r="G31" i="14"/>
  <c r="D32" i="14"/>
  <c r="G32" i="14"/>
  <c r="D33" i="14"/>
  <c r="G33" i="14"/>
  <c r="D34" i="14"/>
  <c r="G34" i="14"/>
  <c r="D35" i="14"/>
  <c r="G35" i="14"/>
  <c r="D36" i="14"/>
  <c r="G36" i="14"/>
  <c r="D37" i="14"/>
  <c r="G37" i="14"/>
  <c r="D38" i="14"/>
  <c r="G38" i="14"/>
  <c r="D39" i="14"/>
  <c r="G39" i="14"/>
  <c r="D40" i="14"/>
  <c r="G40" i="14"/>
  <c r="D41" i="14"/>
  <c r="G41" i="14"/>
  <c r="D42" i="14"/>
  <c r="G42" i="14"/>
  <c r="D43" i="14"/>
  <c r="G43" i="14"/>
  <c r="D44" i="14"/>
  <c r="G44" i="14"/>
  <c r="D45" i="14"/>
  <c r="G45" i="14"/>
  <c r="D46" i="14"/>
  <c r="G46" i="14"/>
  <c r="D47" i="14"/>
  <c r="G47" i="14"/>
  <c r="D48" i="14"/>
  <c r="G48" i="14"/>
  <c r="D49" i="14"/>
  <c r="G49" i="14"/>
  <c r="D50" i="14"/>
  <c r="G50" i="14"/>
  <c r="D51" i="14"/>
  <c r="G51" i="14"/>
  <c r="D52" i="14"/>
  <c r="G52" i="14"/>
  <c r="D53" i="14"/>
  <c r="G53" i="14"/>
  <c r="D54" i="14"/>
  <c r="G54" i="14"/>
  <c r="D55" i="14"/>
  <c r="G55" i="14"/>
  <c r="D56" i="14"/>
  <c r="G56" i="14"/>
  <c r="D57" i="14"/>
  <c r="G57" i="14"/>
  <c r="D58" i="14"/>
  <c r="G58" i="14"/>
  <c r="D59" i="14"/>
  <c r="G59" i="14"/>
  <c r="D60" i="14"/>
  <c r="G60" i="14"/>
  <c r="D61" i="14"/>
  <c r="G61" i="14"/>
  <c r="D62" i="14"/>
  <c r="G62" i="14"/>
  <c r="D63" i="14"/>
  <c r="G63" i="14"/>
  <c r="D64" i="14"/>
  <c r="G64" i="14"/>
  <c r="D65" i="14"/>
  <c r="G65" i="14"/>
  <c r="D66" i="14"/>
  <c r="G66" i="14"/>
  <c r="D67" i="14"/>
  <c r="G67" i="14"/>
  <c r="D68" i="14"/>
  <c r="G68" i="14"/>
  <c r="D69" i="14"/>
  <c r="G69" i="14"/>
  <c r="D70" i="14"/>
  <c r="G70" i="14"/>
  <c r="D71" i="14"/>
  <c r="G71" i="14"/>
  <c r="D72" i="14"/>
  <c r="G72" i="14"/>
  <c r="D73" i="14"/>
  <c r="G73" i="14"/>
  <c r="D74" i="14"/>
  <c r="G74" i="14"/>
  <c r="D75" i="14"/>
  <c r="G75" i="14"/>
  <c r="D76" i="14"/>
  <c r="G76" i="14"/>
  <c r="D77" i="14"/>
  <c r="G77" i="14"/>
  <c r="D78" i="14"/>
  <c r="G78" i="14"/>
  <c r="D79" i="14"/>
  <c r="G79" i="14"/>
  <c r="D80" i="14"/>
  <c r="G80" i="14"/>
  <c r="D81" i="14"/>
  <c r="G81" i="14"/>
  <c r="D82" i="14"/>
  <c r="G82" i="14"/>
  <c r="D83" i="14"/>
  <c r="G83" i="14"/>
  <c r="D84" i="14"/>
  <c r="G84" i="14"/>
  <c r="D85" i="14"/>
  <c r="G85" i="14"/>
  <c r="D86" i="14"/>
  <c r="G86" i="14"/>
  <c r="D87" i="14"/>
  <c r="G87" i="14"/>
  <c r="D88" i="14"/>
  <c r="G88" i="14"/>
  <c r="D89" i="14"/>
  <c r="G89" i="14"/>
  <c r="D90" i="14"/>
  <c r="G90" i="14"/>
  <c r="D91" i="14"/>
  <c r="G91" i="14"/>
  <c r="D92" i="14"/>
  <c r="G92" i="14"/>
  <c r="D93" i="14"/>
  <c r="G93" i="14"/>
  <c r="D94" i="14"/>
  <c r="G94" i="14"/>
  <c r="D95" i="14"/>
  <c r="G95" i="14"/>
  <c r="D96" i="14"/>
  <c r="G96" i="14"/>
  <c r="D97" i="14"/>
  <c r="G97" i="14"/>
  <c r="D98" i="14"/>
  <c r="G98" i="14"/>
  <c r="D99" i="14"/>
  <c r="G99" i="14"/>
  <c r="D100" i="14"/>
  <c r="G100" i="14"/>
  <c r="D101" i="14"/>
  <c r="G101" i="14"/>
  <c r="D102" i="14"/>
  <c r="G102" i="14"/>
  <c r="D103" i="14"/>
  <c r="G103" i="14"/>
  <c r="D104" i="14"/>
  <c r="G104" i="14"/>
  <c r="D105" i="14"/>
  <c r="G105" i="14"/>
  <c r="D106" i="14"/>
  <c r="G106" i="14"/>
  <c r="D107" i="14"/>
  <c r="G107" i="14"/>
  <c r="D108" i="14"/>
  <c r="G108" i="14"/>
  <c r="D109" i="14"/>
  <c r="G109" i="14"/>
  <c r="D110" i="14"/>
  <c r="G110" i="14"/>
  <c r="D111" i="14"/>
  <c r="G111" i="14"/>
  <c r="D112" i="14"/>
  <c r="G112" i="14"/>
  <c r="E10" i="10"/>
  <c r="F10" i="10"/>
  <c r="E11" i="10"/>
  <c r="F11" i="10"/>
  <c r="H11" i="10" s="1"/>
  <c r="E12" i="10"/>
  <c r="C31" i="10" s="1"/>
  <c r="F12" i="10"/>
  <c r="C32" i="10" s="1"/>
  <c r="E13" i="10"/>
  <c r="F13" i="10"/>
  <c r="E14" i="10"/>
  <c r="F14" i="10"/>
  <c r="G16" i="10"/>
  <c r="G17" i="10"/>
  <c r="E23" i="10" s="1"/>
  <c r="B24" i="8"/>
  <c r="B2" i="8"/>
  <c r="I34" i="8"/>
  <c r="J34" i="8"/>
  <c r="K34" i="8"/>
  <c r="E35" i="8"/>
  <c r="H35" i="8"/>
  <c r="J35" i="8"/>
  <c r="E37" i="8"/>
  <c r="F37" i="8"/>
  <c r="H37" i="8"/>
  <c r="J37" i="8"/>
  <c r="K37" i="8"/>
  <c r="D38" i="8"/>
  <c r="E38" i="8"/>
  <c r="F38" i="8"/>
  <c r="L38" i="8"/>
  <c r="D39" i="8"/>
  <c r="E39" i="8"/>
  <c r="F39" i="8"/>
  <c r="J39" i="8"/>
  <c r="K39" i="8"/>
  <c r="L39" i="8"/>
  <c r="D40" i="8"/>
  <c r="E40" i="8"/>
  <c r="J40" i="8"/>
  <c r="K40" i="8"/>
  <c r="L40" i="8"/>
  <c r="D41" i="8"/>
  <c r="J41" i="8"/>
  <c r="K41" i="8"/>
  <c r="L41" i="8"/>
  <c r="C39" i="8"/>
  <c r="C36" i="8"/>
  <c r="C37" i="8"/>
  <c r="C35" i="8"/>
  <c r="C34" i="8"/>
  <c r="C75" i="2"/>
  <c r="D75" i="2"/>
  <c r="E75" i="2"/>
  <c r="F75" i="2"/>
  <c r="G75" i="2"/>
  <c r="H38" i="8" s="1"/>
  <c r="H75" i="2"/>
  <c r="I38" i="8" s="1"/>
  <c r="I75" i="2"/>
  <c r="J38" i="8" s="1"/>
  <c r="J75" i="2"/>
  <c r="K38" i="8" s="1"/>
  <c r="K75" i="2"/>
  <c r="B75" i="2"/>
  <c r="C38" i="8" s="1"/>
  <c r="C76" i="2"/>
  <c r="D34" i="8" s="1"/>
  <c r="D76" i="2"/>
  <c r="E41" i="8" s="1"/>
  <c r="E76" i="2"/>
  <c r="F40" i="8" s="1"/>
  <c r="F76" i="2"/>
  <c r="G39" i="8" s="1"/>
  <c r="G76" i="2"/>
  <c r="H39" i="8" s="1"/>
  <c r="H76" i="2"/>
  <c r="I37" i="8" s="1"/>
  <c r="I76" i="2"/>
  <c r="J36" i="8" s="1"/>
  <c r="J76" i="2"/>
  <c r="K35" i="8" s="1"/>
  <c r="K76" i="2"/>
  <c r="L34" i="8" s="1"/>
  <c r="B76" i="2"/>
  <c r="C40" i="8" s="1"/>
  <c r="C28" i="8"/>
  <c r="C30" i="8"/>
  <c r="D30" i="8"/>
  <c r="E30" i="8"/>
  <c r="F30" i="8"/>
  <c r="G30" i="8"/>
  <c r="H30" i="8"/>
  <c r="I30" i="8"/>
  <c r="J30" i="8"/>
  <c r="K30" i="8"/>
  <c r="L30" i="8"/>
  <c r="C31" i="8"/>
  <c r="D31" i="8"/>
  <c r="E31" i="8"/>
  <c r="F31" i="8"/>
  <c r="G31" i="8"/>
  <c r="H31" i="8"/>
  <c r="I31" i="8"/>
  <c r="J31" i="8"/>
  <c r="K31" i="8"/>
  <c r="L31" i="8"/>
  <c r="C32" i="8"/>
  <c r="D32" i="8"/>
  <c r="E32" i="8"/>
  <c r="F32" i="8"/>
  <c r="G32" i="8"/>
  <c r="H32" i="8"/>
  <c r="I32" i="8"/>
  <c r="J32" i="8"/>
  <c r="K32" i="8"/>
  <c r="L32" i="8"/>
  <c r="D29" i="8"/>
  <c r="E29" i="8"/>
  <c r="F29" i="8"/>
  <c r="G29" i="8"/>
  <c r="H29" i="8"/>
  <c r="I29" i="8"/>
  <c r="J29" i="8"/>
  <c r="K29" i="8"/>
  <c r="L29" i="8"/>
  <c r="C29" i="8"/>
  <c r="D28" i="8"/>
  <c r="E28" i="8"/>
  <c r="F28" i="8"/>
  <c r="G28" i="8"/>
  <c r="H28" i="8"/>
  <c r="I28" i="8"/>
  <c r="J28" i="8"/>
  <c r="K28" i="8"/>
  <c r="L28" i="8"/>
  <c r="L26" i="8"/>
  <c r="K26" i="8"/>
  <c r="J26" i="8"/>
  <c r="I26" i="8"/>
  <c r="H26" i="8"/>
  <c r="G26" i="8"/>
  <c r="F26" i="8"/>
  <c r="E26" i="8"/>
  <c r="D26" i="8"/>
  <c r="C26" i="8"/>
  <c r="D4" i="8"/>
  <c r="E4" i="8"/>
  <c r="F4" i="8"/>
  <c r="G4" i="8"/>
  <c r="H4" i="8"/>
  <c r="I4" i="8"/>
  <c r="J4" i="8"/>
  <c r="K4" i="8"/>
  <c r="L4" i="8"/>
  <c r="C4" i="8"/>
  <c r="B30" i="8"/>
  <c r="B31" i="8"/>
  <c r="B32" i="8"/>
  <c r="B35" i="8"/>
  <c r="B36" i="8"/>
  <c r="B37" i="8"/>
  <c r="B38" i="8"/>
  <c r="B39" i="8"/>
  <c r="B40" i="8"/>
  <c r="B41" i="8"/>
  <c r="B29" i="8"/>
  <c r="C21" i="8"/>
  <c r="C6" i="8"/>
  <c r="C7" i="8"/>
  <c r="D7" i="8"/>
  <c r="E7" i="8"/>
  <c r="F7" i="8"/>
  <c r="G7" i="8"/>
  <c r="H7" i="8"/>
  <c r="I7" i="8"/>
  <c r="J7" i="8"/>
  <c r="K7" i="8"/>
  <c r="L7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G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L15" i="8"/>
  <c r="C16" i="8"/>
  <c r="D16" i="8"/>
  <c r="E16" i="8"/>
  <c r="F16" i="8"/>
  <c r="G16" i="8"/>
  <c r="H16" i="8"/>
  <c r="I16" i="8"/>
  <c r="J16" i="8"/>
  <c r="K16" i="8"/>
  <c r="L16" i="8"/>
  <c r="C17" i="8"/>
  <c r="D17" i="8"/>
  <c r="E17" i="8"/>
  <c r="F17" i="8"/>
  <c r="G17" i="8"/>
  <c r="H17" i="8"/>
  <c r="I17" i="8"/>
  <c r="J17" i="8"/>
  <c r="K17" i="8"/>
  <c r="L17" i="8"/>
  <c r="C18" i="8"/>
  <c r="D18" i="8"/>
  <c r="E18" i="8"/>
  <c r="F18" i="8"/>
  <c r="G18" i="8"/>
  <c r="H18" i="8"/>
  <c r="I18" i="8"/>
  <c r="J18" i="8"/>
  <c r="K18" i="8"/>
  <c r="L18" i="8"/>
  <c r="C19" i="8"/>
  <c r="D19" i="8"/>
  <c r="E19" i="8"/>
  <c r="F19" i="8"/>
  <c r="G19" i="8"/>
  <c r="H19" i="8"/>
  <c r="I19" i="8"/>
  <c r="J19" i="8"/>
  <c r="K19" i="8"/>
  <c r="L19" i="8"/>
  <c r="C20" i="8"/>
  <c r="D20" i="8"/>
  <c r="E20" i="8"/>
  <c r="F20" i="8"/>
  <c r="G20" i="8"/>
  <c r="H20" i="8"/>
  <c r="I20" i="8"/>
  <c r="J20" i="8"/>
  <c r="K20" i="8"/>
  <c r="L20" i="8"/>
  <c r="D6" i="8"/>
  <c r="E6" i="8"/>
  <c r="F6" i="8"/>
  <c r="G6" i="8"/>
  <c r="H6" i="8"/>
  <c r="I6" i="8"/>
  <c r="J6" i="8"/>
  <c r="K6" i="8"/>
  <c r="L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6" i="8"/>
  <c r="B34" i="2"/>
  <c r="C33" i="10" l="1"/>
  <c r="D32" i="10" s="1"/>
  <c r="J6" i="18"/>
  <c r="J12" i="18" s="1"/>
  <c r="V10" i="25"/>
  <c r="H13" i="10"/>
  <c r="I12" i="10"/>
  <c r="K13" i="10"/>
  <c r="H14" i="10"/>
  <c r="N11" i="7"/>
  <c r="N10" i="7"/>
  <c r="N9" i="7"/>
  <c r="N7" i="7"/>
  <c r="N8" i="7"/>
  <c r="N6" i="7"/>
  <c r="N13" i="7"/>
  <c r="O13" i="7" s="1"/>
  <c r="N5" i="7"/>
  <c r="O5" i="7" s="1"/>
  <c r="N12" i="7"/>
  <c r="L15" i="7"/>
  <c r="O6" i="7"/>
  <c r="O8" i="7"/>
  <c r="I8" i="7"/>
  <c r="I11" i="7"/>
  <c r="I9" i="7"/>
  <c r="I10" i="7"/>
  <c r="I6" i="7"/>
  <c r="S11" i="7"/>
  <c r="S10" i="7"/>
  <c r="S9" i="7"/>
  <c r="S7" i="7"/>
  <c r="S8" i="7"/>
  <c r="S6" i="7"/>
  <c r="S13" i="7"/>
  <c r="S5" i="7"/>
  <c r="S12" i="7"/>
  <c r="I7" i="7"/>
  <c r="I13" i="7"/>
  <c r="I5" i="7"/>
  <c r="I12" i="7"/>
  <c r="D10" i="7"/>
  <c r="D9" i="7"/>
  <c r="D11" i="7"/>
  <c r="D8" i="7"/>
  <c r="D4" i="7"/>
  <c r="D7" i="7"/>
  <c r="D6" i="7"/>
  <c r="D12" i="7"/>
  <c r="D13" i="7"/>
  <c r="I14" i="10"/>
  <c r="I13" i="10"/>
  <c r="I10" i="10"/>
  <c r="M5" i="16"/>
  <c r="M4" i="18"/>
  <c r="G38" i="8"/>
  <c r="I36" i="8"/>
  <c r="G37" i="8"/>
  <c r="H36" i="8"/>
  <c r="I35" i="8"/>
  <c r="H10" i="10"/>
  <c r="M4" i="15"/>
  <c r="I41" i="8"/>
  <c r="G35" i="8"/>
  <c r="M5" i="17"/>
  <c r="F36" i="8"/>
  <c r="H34" i="8"/>
  <c r="H12" i="10"/>
  <c r="H41" i="8"/>
  <c r="I40" i="8"/>
  <c r="L37" i="8"/>
  <c r="D37" i="8"/>
  <c r="E36" i="8"/>
  <c r="F35" i="8"/>
  <c r="G34" i="8"/>
  <c r="K11" i="10"/>
  <c r="H40" i="8"/>
  <c r="L36" i="8"/>
  <c r="M4" i="16"/>
  <c r="M4" i="17"/>
  <c r="G40" i="8"/>
  <c r="K36" i="8"/>
  <c r="L35" i="8"/>
  <c r="D35" i="8"/>
  <c r="G36" i="8"/>
  <c r="G41" i="8"/>
  <c r="I39" i="8"/>
  <c r="D36" i="8"/>
  <c r="F34" i="8"/>
  <c r="C41" i="8"/>
  <c r="F41" i="8"/>
  <c r="E34" i="8"/>
  <c r="M4" i="14"/>
  <c r="J9" i="21"/>
  <c r="G9" i="20"/>
  <c r="H29" i="20"/>
  <c r="H31" i="20" s="1"/>
  <c r="J29" i="20"/>
  <c r="J31" i="20" s="1"/>
  <c r="I29" i="20"/>
  <c r="I31" i="20" s="1"/>
  <c r="H9" i="20"/>
  <c r="H15" i="20"/>
  <c r="K29" i="20"/>
  <c r="K31" i="20" s="1"/>
  <c r="I9" i="20"/>
  <c r="K9" i="20"/>
  <c r="G29" i="20"/>
  <c r="G31" i="20" s="1"/>
  <c r="J9" i="20"/>
  <c r="G15" i="20"/>
  <c r="I15" i="20"/>
  <c r="K15" i="20"/>
  <c r="J15" i="20"/>
  <c r="K32" i="10"/>
  <c r="E24" i="10"/>
  <c r="K40" i="10" s="1"/>
  <c r="D33" i="10"/>
  <c r="E33" i="10" s="1"/>
  <c r="D31" i="10"/>
  <c r="D35" i="10" s="1"/>
  <c r="I11" i="10"/>
  <c r="M5" i="14"/>
  <c r="M5" i="18"/>
  <c r="H17" i="10" l="1"/>
  <c r="V54" i="25"/>
  <c r="V60" i="25" s="1"/>
  <c r="J14" i="10"/>
  <c r="K14" i="10" s="1"/>
  <c r="K10" i="10"/>
  <c r="H16" i="10"/>
  <c r="I17" i="10"/>
  <c r="O11" i="7"/>
  <c r="O7" i="7"/>
  <c r="L16" i="7"/>
  <c r="O9" i="7"/>
  <c r="O12" i="7"/>
  <c r="O10" i="7"/>
  <c r="I16" i="10"/>
  <c r="E31" i="10" s="1"/>
  <c r="K41" i="10" s="1"/>
  <c r="G17" i="20"/>
  <c r="G33" i="20" s="1"/>
  <c r="J17" i="20"/>
  <c r="H17" i="20"/>
  <c r="K17" i="20"/>
  <c r="K33" i="20" s="1"/>
  <c r="I17" i="20"/>
  <c r="I33" i="20" s="1"/>
  <c r="J17" i="10"/>
  <c r="K12" i="10"/>
  <c r="J16" i="10"/>
  <c r="E32" i="10" l="1"/>
  <c r="K38" i="10" s="1"/>
  <c r="K17" i="10"/>
  <c r="K30" i="10" s="1"/>
  <c r="L17" i="7"/>
  <c r="K16" i="10"/>
  <c r="I48" i="20"/>
  <c r="J33" i="20"/>
  <c r="H48" i="20"/>
  <c r="J48" i="20"/>
  <c r="K48" i="20"/>
  <c r="H33" i="20"/>
  <c r="R4" i="7"/>
  <c r="R5" i="7" s="1"/>
  <c r="R6" i="7" s="1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Q5" i="7"/>
  <c r="Q6" i="7" s="1"/>
  <c r="Q7" i="7" s="1"/>
  <c r="Q8" i="7" s="1"/>
  <c r="Q9" i="7" s="1"/>
  <c r="Q10" i="7" s="1"/>
  <c r="Q11" i="7" s="1"/>
  <c r="Q12" i="7" s="1"/>
  <c r="Q13" i="7" s="1"/>
  <c r="Q14" i="7" s="1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G2" i="7"/>
  <c r="B2" i="7"/>
  <c r="G5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E6" i="7"/>
  <c r="E7" i="7"/>
  <c r="E8" i="7"/>
  <c r="E9" i="7"/>
  <c r="E10" i="7"/>
  <c r="E11" i="7"/>
  <c r="E12" i="7"/>
  <c r="E13" i="7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D18" i="7" s="1"/>
  <c r="E35" i="10" l="1"/>
  <c r="K31" i="10" s="1"/>
  <c r="K33" i="10" s="1"/>
  <c r="K24" i="10" s="1"/>
  <c r="K25" i="10" s="1"/>
  <c r="K37" i="10" s="1"/>
  <c r="K43" i="10" s="1"/>
  <c r="D16" i="21" s="1"/>
  <c r="I10" i="21" s="1"/>
  <c r="G6" i="7"/>
  <c r="L18" i="7"/>
  <c r="E5" i="7"/>
  <c r="D16" i="7"/>
  <c r="D14" i="7"/>
  <c r="E14" i="7" s="1"/>
  <c r="D17" i="7"/>
  <c r="D15" i="7"/>
  <c r="T7" i="7"/>
  <c r="T12" i="7"/>
  <c r="Q15" i="7"/>
  <c r="T10" i="7"/>
  <c r="T8" i="7"/>
  <c r="J8" i="7"/>
  <c r="J5" i="7"/>
  <c r="J12" i="7"/>
  <c r="J13" i="7"/>
  <c r="J7" i="7"/>
  <c r="J11" i="7"/>
  <c r="J10" i="21" l="1"/>
  <c r="D21" i="21"/>
  <c r="G10" i="21"/>
  <c r="F10" i="21"/>
  <c r="H10" i="21"/>
  <c r="G7" i="7"/>
  <c r="G8" i="7" s="1"/>
  <c r="G9" i="7" s="1"/>
  <c r="G10" i="7" s="1"/>
  <c r="G11" i="7" s="1"/>
  <c r="G12" i="7" s="1"/>
  <c r="G13" i="7" s="1"/>
  <c r="G14" i="7" s="1"/>
  <c r="E15" i="7"/>
  <c r="E17" i="7"/>
  <c r="E18" i="7"/>
  <c r="E16" i="7"/>
  <c r="T9" i="7"/>
  <c r="T13" i="7"/>
  <c r="T11" i="7"/>
  <c r="T6" i="7"/>
  <c r="Q16" i="7"/>
  <c r="J9" i="7"/>
  <c r="J6" i="7"/>
  <c r="J10" i="7"/>
  <c r="O14" i="7" l="1"/>
  <c r="I14" i="7"/>
  <c r="J14" i="7" s="1"/>
  <c r="G15" i="7"/>
  <c r="O17" i="7"/>
  <c r="O16" i="7"/>
  <c r="Q17" i="7"/>
  <c r="O18" i="7" l="1"/>
  <c r="O15" i="7"/>
  <c r="I15" i="7"/>
  <c r="J15" i="7" s="1"/>
  <c r="G16" i="7"/>
  <c r="E40" i="6"/>
  <c r="F30" i="6"/>
  <c r="L3" i="6"/>
  <c r="K3" i="6"/>
  <c r="J3" i="6"/>
  <c r="I3" i="6"/>
  <c r="H3" i="6"/>
  <c r="G3" i="6"/>
  <c r="F3" i="6"/>
  <c r="E3" i="6"/>
  <c r="D3" i="6"/>
  <c r="C3" i="6"/>
  <c r="D74" i="3"/>
  <c r="E74" i="3"/>
  <c r="F74" i="3"/>
  <c r="G74" i="3"/>
  <c r="H74" i="3"/>
  <c r="I74" i="3"/>
  <c r="J74" i="3"/>
  <c r="K74" i="3"/>
  <c r="L74" i="3"/>
  <c r="C74" i="3"/>
  <c r="D72" i="3"/>
  <c r="E72" i="3"/>
  <c r="F72" i="3"/>
  <c r="G72" i="3"/>
  <c r="H72" i="3"/>
  <c r="I72" i="3"/>
  <c r="J72" i="3"/>
  <c r="K72" i="3"/>
  <c r="L72" i="3"/>
  <c r="C72" i="3"/>
  <c r="D70" i="3"/>
  <c r="E70" i="3"/>
  <c r="F70" i="3"/>
  <c r="G70" i="3"/>
  <c r="G38" i="6" s="1"/>
  <c r="H70" i="3"/>
  <c r="I70" i="3"/>
  <c r="J70" i="3"/>
  <c r="J38" i="6" s="1"/>
  <c r="K70" i="3"/>
  <c r="L70" i="3"/>
  <c r="C70" i="3"/>
  <c r="L56" i="3"/>
  <c r="K56" i="3"/>
  <c r="J56" i="3"/>
  <c r="I56" i="3"/>
  <c r="H56" i="3"/>
  <c r="G56" i="3"/>
  <c r="F56" i="3"/>
  <c r="E56" i="3"/>
  <c r="D56" i="3"/>
  <c r="C56" i="3"/>
  <c r="L61" i="3"/>
  <c r="K61" i="3"/>
  <c r="J61" i="3"/>
  <c r="I61" i="3"/>
  <c r="H61" i="3"/>
  <c r="G61" i="3"/>
  <c r="F61" i="3"/>
  <c r="E61" i="3"/>
  <c r="D61" i="3"/>
  <c r="L60" i="3"/>
  <c r="K60" i="3"/>
  <c r="J60" i="3"/>
  <c r="I60" i="3"/>
  <c r="H60" i="3"/>
  <c r="G60" i="3"/>
  <c r="F60" i="3"/>
  <c r="E60" i="3"/>
  <c r="D60" i="3"/>
  <c r="L59" i="3"/>
  <c r="K59" i="3"/>
  <c r="J59" i="3"/>
  <c r="I59" i="3"/>
  <c r="H59" i="3"/>
  <c r="G59" i="3"/>
  <c r="F59" i="3"/>
  <c r="E59" i="3"/>
  <c r="D59" i="3"/>
  <c r="C61" i="3"/>
  <c r="C60" i="3"/>
  <c r="C59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K40" i="6" s="1"/>
  <c r="J49" i="3"/>
  <c r="I49" i="3"/>
  <c r="I40" i="6" s="1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K9" i="6" s="1"/>
  <c r="J36" i="3"/>
  <c r="J41" i="3" s="1"/>
  <c r="I36" i="3"/>
  <c r="I41" i="3" s="1"/>
  <c r="H36" i="3"/>
  <c r="H41" i="3" s="1"/>
  <c r="H9" i="6" s="1"/>
  <c r="G36" i="3"/>
  <c r="G41" i="3" s="1"/>
  <c r="G9" i="6" s="1"/>
  <c r="F36" i="3"/>
  <c r="F41" i="3" s="1"/>
  <c r="E36" i="3"/>
  <c r="E41" i="3" s="1"/>
  <c r="E9" i="6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L28" i="6" s="1"/>
  <c r="L34" i="6" s="1"/>
  <c r="K6" i="3"/>
  <c r="K28" i="6" s="1"/>
  <c r="K34" i="6" s="1"/>
  <c r="J6" i="3"/>
  <c r="J27" i="6" s="1"/>
  <c r="J33" i="6" s="1"/>
  <c r="I6" i="3"/>
  <c r="I27" i="6" s="1"/>
  <c r="I33" i="6" s="1"/>
  <c r="H6" i="3"/>
  <c r="H29" i="6" s="1"/>
  <c r="H35" i="6" s="1"/>
  <c r="G6" i="3"/>
  <c r="G30" i="6" s="1"/>
  <c r="F6" i="3"/>
  <c r="F31" i="6" s="1"/>
  <c r="E6" i="3"/>
  <c r="D6" i="3"/>
  <c r="D28" i="6" s="1"/>
  <c r="D34" i="6" s="1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K21" i="8" s="1"/>
  <c r="I34" i="2"/>
  <c r="J21" i="8" s="1"/>
  <c r="H34" i="2"/>
  <c r="I21" i="8" s="1"/>
  <c r="G34" i="2"/>
  <c r="H21" i="8" s="1"/>
  <c r="F34" i="2"/>
  <c r="G21" i="8" s="1"/>
  <c r="E34" i="2"/>
  <c r="F21" i="8" s="1"/>
  <c r="D34" i="2"/>
  <c r="E21" i="8" s="1"/>
  <c r="C34" i="2"/>
  <c r="D21" i="8" s="1"/>
  <c r="B15" i="2"/>
  <c r="K32" i="2"/>
  <c r="J32" i="2"/>
  <c r="I32" i="2"/>
  <c r="H32" i="2"/>
  <c r="G32" i="2"/>
  <c r="F32" i="2"/>
  <c r="E32" i="2"/>
  <c r="D32" i="2"/>
  <c r="C32" i="2"/>
  <c r="B32" i="2"/>
  <c r="K15" i="2"/>
  <c r="B6" i="2"/>
  <c r="D36" i="21" s="1"/>
  <c r="E1" i="2"/>
  <c r="I16" i="7" l="1"/>
  <c r="J16" i="7" s="1"/>
  <c r="G17" i="7"/>
  <c r="C30" i="6"/>
  <c r="J9" i="6"/>
  <c r="H38" i="6"/>
  <c r="I38" i="6"/>
  <c r="E5" i="6"/>
  <c r="D9" i="6"/>
  <c r="H27" i="6"/>
  <c r="H33" i="6" s="1"/>
  <c r="G29" i="6"/>
  <c r="G35" i="6" s="1"/>
  <c r="F40" i="6"/>
  <c r="E38" i="6"/>
  <c r="G7" i="3"/>
  <c r="F9" i="6"/>
  <c r="L38" i="6"/>
  <c r="D38" i="6"/>
  <c r="G5" i="6"/>
  <c r="L21" i="8"/>
  <c r="E4" i="21"/>
  <c r="I9" i="6"/>
  <c r="Q18" i="7"/>
  <c r="C31" i="6"/>
  <c r="E31" i="6"/>
  <c r="J28" i="6"/>
  <c r="J34" i="6" s="1"/>
  <c r="D7" i="3"/>
  <c r="F7" i="3"/>
  <c r="H5" i="6"/>
  <c r="L31" i="6"/>
  <c r="D31" i="6"/>
  <c r="E30" i="6"/>
  <c r="F29" i="6"/>
  <c r="F35" i="6" s="1"/>
  <c r="G27" i="6"/>
  <c r="G33" i="6" s="1"/>
  <c r="I28" i="6"/>
  <c r="I34" i="6" s="1"/>
  <c r="L40" i="6"/>
  <c r="D40" i="6"/>
  <c r="F38" i="6"/>
  <c r="C38" i="6"/>
  <c r="M7" i="3"/>
  <c r="E7" i="3"/>
  <c r="I5" i="6"/>
  <c r="K31" i="6"/>
  <c r="L30" i="6"/>
  <c r="D30" i="6"/>
  <c r="E29" i="6"/>
  <c r="E35" i="6" s="1"/>
  <c r="F27" i="6"/>
  <c r="F33" i="6" s="1"/>
  <c r="H28" i="6"/>
  <c r="H34" i="6" s="1"/>
  <c r="H36" i="6" s="1"/>
  <c r="L7" i="3"/>
  <c r="J5" i="6"/>
  <c r="J31" i="6"/>
  <c r="K30" i="6"/>
  <c r="L29" i="6"/>
  <c r="L35" i="6" s="1"/>
  <c r="D29" i="6"/>
  <c r="D35" i="6" s="1"/>
  <c r="E27" i="6"/>
  <c r="E33" i="6" s="1"/>
  <c r="G28" i="6"/>
  <c r="G34" i="6" s="1"/>
  <c r="J40" i="6"/>
  <c r="M18" i="3"/>
  <c r="M27" i="3" s="1"/>
  <c r="K62" i="3"/>
  <c r="K7" i="3"/>
  <c r="K5" i="6"/>
  <c r="I31" i="6"/>
  <c r="J30" i="6"/>
  <c r="K29" i="6"/>
  <c r="K35" i="6" s="1"/>
  <c r="L27" i="6"/>
  <c r="L33" i="6" s="1"/>
  <c r="D27" i="6"/>
  <c r="D33" i="6" s="1"/>
  <c r="F28" i="6"/>
  <c r="F34" i="6" s="1"/>
  <c r="K38" i="6"/>
  <c r="J7" i="3"/>
  <c r="D5" i="6"/>
  <c r="L5" i="6"/>
  <c r="C27" i="6"/>
  <c r="H31" i="6"/>
  <c r="I30" i="6"/>
  <c r="J29" i="6"/>
  <c r="J35" i="6" s="1"/>
  <c r="K27" i="6"/>
  <c r="K33" i="6" s="1"/>
  <c r="C28" i="6"/>
  <c r="E28" i="6"/>
  <c r="E34" i="6" s="1"/>
  <c r="H40" i="6"/>
  <c r="I7" i="3"/>
  <c r="C29" i="6"/>
  <c r="G31" i="6"/>
  <c r="H30" i="6"/>
  <c r="I29" i="6"/>
  <c r="I35" i="6" s="1"/>
  <c r="C40" i="6"/>
  <c r="G40" i="6"/>
  <c r="H7" i="3"/>
  <c r="F5" i="6"/>
  <c r="F36" i="6"/>
  <c r="C57" i="3"/>
  <c r="K57" i="3"/>
  <c r="E62" i="3"/>
  <c r="J62" i="3"/>
  <c r="I62" i="3"/>
  <c r="D57" i="3"/>
  <c r="L57" i="3"/>
  <c r="F62" i="3"/>
  <c r="C76" i="3"/>
  <c r="E57" i="3"/>
  <c r="G62" i="3"/>
  <c r="E76" i="3"/>
  <c r="L62" i="3"/>
  <c r="G57" i="3"/>
  <c r="G64" i="3" s="1"/>
  <c r="G66" i="3" s="1"/>
  <c r="H76" i="3"/>
  <c r="F76" i="3"/>
  <c r="D62" i="3"/>
  <c r="F57" i="3"/>
  <c r="H57" i="3"/>
  <c r="H62" i="3"/>
  <c r="I57" i="3"/>
  <c r="I64" i="3" s="1"/>
  <c r="I66" i="3" s="1"/>
  <c r="C62" i="3"/>
  <c r="C64" i="3" s="1"/>
  <c r="C66" i="3" s="1"/>
  <c r="J57" i="3"/>
  <c r="D76" i="3"/>
  <c r="J76" i="3"/>
  <c r="K76" i="3"/>
  <c r="L76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G16" i="3"/>
  <c r="G17" i="6" s="1"/>
  <c r="E22" i="3"/>
  <c r="M22" i="3"/>
  <c r="F25" i="3"/>
  <c r="F18" i="6" s="1"/>
  <c r="L10" i="3"/>
  <c r="H16" i="3"/>
  <c r="H17" i="6" s="1"/>
  <c r="G25" i="3"/>
  <c r="G18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M19" i="3"/>
  <c r="J10" i="3"/>
  <c r="K16" i="3"/>
  <c r="K17" i="6" s="1"/>
  <c r="J22" i="3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G10" i="3"/>
  <c r="M10" i="3"/>
  <c r="H12" i="3"/>
  <c r="I25" i="3"/>
  <c r="I18" i="6" s="1"/>
  <c r="C10" i="3"/>
  <c r="K10" i="3"/>
  <c r="I12" i="3"/>
  <c r="M12" i="3"/>
  <c r="M13" i="3" s="1"/>
  <c r="I17" i="7" l="1"/>
  <c r="J17" i="7" s="1"/>
  <c r="G18" i="7"/>
  <c r="I18" i="7" s="1"/>
  <c r="O9" i="6"/>
  <c r="H64" i="3"/>
  <c r="H66" i="3" s="1"/>
  <c r="O30" i="6"/>
  <c r="E6" i="21"/>
  <c r="E8" i="21" s="1"/>
  <c r="K64" i="3"/>
  <c r="K39" i="6" s="1"/>
  <c r="I36" i="6"/>
  <c r="D36" i="6"/>
  <c r="G39" i="6"/>
  <c r="N17" i="6"/>
  <c r="O17" i="6"/>
  <c r="C39" i="6"/>
  <c r="C19" i="3"/>
  <c r="C12" i="6" s="1"/>
  <c r="C13" i="6"/>
  <c r="C25" i="6"/>
  <c r="C21" i="6"/>
  <c r="N9" i="6"/>
  <c r="O40" i="6"/>
  <c r="N40" i="6"/>
  <c r="N5" i="6"/>
  <c r="O5" i="6"/>
  <c r="E36" i="6"/>
  <c r="G36" i="6"/>
  <c r="N30" i="6"/>
  <c r="O18" i="6"/>
  <c r="N18" i="6"/>
  <c r="O31" i="6"/>
  <c r="N31" i="6"/>
  <c r="C33" i="6"/>
  <c r="N27" i="6"/>
  <c r="O27" i="6"/>
  <c r="J36" i="6"/>
  <c r="C35" i="6"/>
  <c r="O29" i="6"/>
  <c r="N29" i="6"/>
  <c r="H39" i="6"/>
  <c r="I39" i="6"/>
  <c r="F64" i="3"/>
  <c r="C34" i="6"/>
  <c r="O28" i="6"/>
  <c r="N28" i="6"/>
  <c r="K36" i="6"/>
  <c r="L36" i="6"/>
  <c r="N38" i="6"/>
  <c r="O38" i="6"/>
  <c r="L64" i="3"/>
  <c r="E64" i="3"/>
  <c r="J64" i="3"/>
  <c r="I76" i="3"/>
  <c r="G76" i="3"/>
  <c r="D64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J18" i="7" l="1"/>
  <c r="K66" i="3"/>
  <c r="C19" i="6"/>
  <c r="L66" i="3"/>
  <c r="L39" i="6"/>
  <c r="I21" i="6"/>
  <c r="I13" i="6"/>
  <c r="I19" i="6" s="1"/>
  <c r="I25" i="6"/>
  <c r="I6" i="6"/>
  <c r="F6" i="6"/>
  <c r="F25" i="6"/>
  <c r="F21" i="6"/>
  <c r="F13" i="6"/>
  <c r="F19" i="6" s="1"/>
  <c r="H13" i="6"/>
  <c r="H19" i="6" s="1"/>
  <c r="H25" i="6"/>
  <c r="H6" i="6"/>
  <c r="H21" i="6"/>
  <c r="J66" i="3"/>
  <c r="J39" i="6"/>
  <c r="L25" i="6"/>
  <c r="L6" i="6"/>
  <c r="L21" i="6"/>
  <c r="L13" i="6"/>
  <c r="L19" i="6" s="1"/>
  <c r="F66" i="3"/>
  <c r="F39" i="6"/>
  <c r="O11" i="6"/>
  <c r="N11" i="6"/>
  <c r="C36" i="6"/>
  <c r="N33" i="6"/>
  <c r="O33" i="6"/>
  <c r="J19" i="3"/>
  <c r="J12" i="6" s="1"/>
  <c r="J21" i="6"/>
  <c r="J13" i="6"/>
  <c r="J19" i="6" s="1"/>
  <c r="J6" i="6"/>
  <c r="J25" i="6"/>
  <c r="D66" i="3"/>
  <c r="D39" i="6"/>
  <c r="O39" i="6" s="1"/>
  <c r="G13" i="6"/>
  <c r="G19" i="6" s="1"/>
  <c r="G25" i="6"/>
  <c r="G6" i="6"/>
  <c r="G21" i="6"/>
  <c r="N35" i="6"/>
  <c r="O35" i="6"/>
  <c r="E25" i="6"/>
  <c r="E6" i="6"/>
  <c r="E21" i="6"/>
  <c r="O21" i="6" s="1"/>
  <c r="E13" i="6"/>
  <c r="E19" i="6" s="1"/>
  <c r="D25" i="6"/>
  <c r="D21" i="6"/>
  <c r="D6" i="6"/>
  <c r="D13" i="6"/>
  <c r="D19" i="6" s="1"/>
  <c r="K19" i="3"/>
  <c r="K12" i="6" s="1"/>
  <c r="K21" i="6"/>
  <c r="K6" i="6"/>
  <c r="K13" i="6"/>
  <c r="K19" i="6" s="1"/>
  <c r="K25" i="6"/>
  <c r="E66" i="3"/>
  <c r="E39" i="6"/>
  <c r="N34" i="6"/>
  <c r="O34" i="6"/>
  <c r="J27" i="3"/>
  <c r="I34" i="20" s="1"/>
  <c r="C31" i="3"/>
  <c r="C33" i="3"/>
  <c r="K27" i="3"/>
  <c r="J34" i="20" s="1"/>
  <c r="G19" i="3"/>
  <c r="G12" i="6" s="1"/>
  <c r="G27" i="3"/>
  <c r="F19" i="3"/>
  <c r="F12" i="6" s="1"/>
  <c r="F27" i="3"/>
  <c r="I19" i="3"/>
  <c r="I12" i="6" s="1"/>
  <c r="I27" i="3"/>
  <c r="C34" i="3"/>
  <c r="C15" i="6" s="1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K34" i="20" s="1"/>
  <c r="M34" i="3"/>
  <c r="M38" i="3"/>
  <c r="J44" i="20" l="1"/>
  <c r="J46" i="20" s="1"/>
  <c r="J50" i="20" s="1"/>
  <c r="J57" i="20" s="1"/>
  <c r="J36" i="20"/>
  <c r="J58" i="20" s="1"/>
  <c r="O25" i="6"/>
  <c r="K44" i="20"/>
  <c r="K46" i="20" s="1"/>
  <c r="K50" i="20" s="1"/>
  <c r="K57" i="20" s="1"/>
  <c r="K36" i="20"/>
  <c r="K58" i="20" s="1"/>
  <c r="I7" i="6"/>
  <c r="H34" i="20"/>
  <c r="O12" i="6"/>
  <c r="I44" i="20"/>
  <c r="I46" i="20" s="1"/>
  <c r="I50" i="20" s="1"/>
  <c r="I57" i="20" s="1"/>
  <c r="I36" i="20"/>
  <c r="I58" i="20" s="1"/>
  <c r="N12" i="6"/>
  <c r="H7" i="6"/>
  <c r="G34" i="20"/>
  <c r="N21" i="6"/>
  <c r="N25" i="6"/>
  <c r="N39" i="6"/>
  <c r="N19" i="6"/>
  <c r="O19" i="6"/>
  <c r="O6" i="6"/>
  <c r="N6" i="6"/>
  <c r="N36" i="6"/>
  <c r="O36" i="6"/>
  <c r="J33" i="3"/>
  <c r="J7" i="6"/>
  <c r="F7" i="6"/>
  <c r="O13" i="6"/>
  <c r="G7" i="6"/>
  <c r="N13" i="6"/>
  <c r="K28" i="3"/>
  <c r="K14" i="6" s="1"/>
  <c r="K7" i="6"/>
  <c r="L7" i="6"/>
  <c r="C38" i="3"/>
  <c r="C23" i="6"/>
  <c r="J31" i="3"/>
  <c r="J28" i="3"/>
  <c r="J14" i="6" s="1"/>
  <c r="K33" i="3"/>
  <c r="K34" i="3" s="1"/>
  <c r="K15" i="6" s="1"/>
  <c r="K31" i="3"/>
  <c r="M42" i="3"/>
  <c r="M44" i="3" s="1"/>
  <c r="L31" i="3"/>
  <c r="L33" i="3"/>
  <c r="L28" i="3"/>
  <c r="L14" i="6" s="1"/>
  <c r="E31" i="3"/>
  <c r="E33" i="3"/>
  <c r="E28" i="3"/>
  <c r="E14" i="6" s="1"/>
  <c r="J38" i="3"/>
  <c r="J34" i="3"/>
  <c r="J15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I60" i="20" l="1"/>
  <c r="J60" i="20"/>
  <c r="K60" i="20"/>
  <c r="C42" i="3"/>
  <c r="C44" i="3" s="1"/>
  <c r="C22" i="6" s="1"/>
  <c r="H44" i="20"/>
  <c r="H46" i="20" s="1"/>
  <c r="H50" i="20" s="1"/>
  <c r="K53" i="20" s="1"/>
  <c r="H36" i="20"/>
  <c r="H58" i="20" s="1"/>
  <c r="G44" i="20"/>
  <c r="G46" i="20" s="1"/>
  <c r="G36" i="20"/>
  <c r="N7" i="6"/>
  <c r="C24" i="6"/>
  <c r="I23" i="6"/>
  <c r="I8" i="6"/>
  <c r="F8" i="6"/>
  <c r="F23" i="6"/>
  <c r="E8" i="6"/>
  <c r="E23" i="6"/>
  <c r="J23" i="6"/>
  <c r="J8" i="6"/>
  <c r="O7" i="6"/>
  <c r="H23" i="6"/>
  <c r="H8" i="6"/>
  <c r="L8" i="6"/>
  <c r="L23" i="6"/>
  <c r="N14" i="6"/>
  <c r="O14" i="6"/>
  <c r="K38" i="3"/>
  <c r="K39" i="3" s="1"/>
  <c r="K8" i="6"/>
  <c r="K23" i="6"/>
  <c r="G23" i="6"/>
  <c r="G8" i="6"/>
  <c r="D23" i="6"/>
  <c r="D8" i="6"/>
  <c r="J44" i="3"/>
  <c r="J22" i="6" s="1"/>
  <c r="J24" i="6" s="1"/>
  <c r="J42" i="3"/>
  <c r="F34" i="3"/>
  <c r="F15" i="6" s="1"/>
  <c r="F38" i="3"/>
  <c r="I38" i="3"/>
  <c r="J39" i="3" s="1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O23" i="6" l="1"/>
  <c r="H57" i="20"/>
  <c r="H60" i="20" s="1"/>
  <c r="K52" i="20"/>
  <c r="T5" i="7"/>
  <c r="S14" i="7"/>
  <c r="T14" i="7" s="1"/>
  <c r="S15" i="7"/>
  <c r="S16" i="7"/>
  <c r="S17" i="7"/>
  <c r="S18" i="7"/>
  <c r="K42" i="3"/>
  <c r="K44" i="3"/>
  <c r="K22" i="6" s="1"/>
  <c r="K24" i="6" s="1"/>
  <c r="N15" i="6"/>
  <c r="O15" i="6"/>
  <c r="N8" i="6"/>
  <c r="O8" i="6"/>
  <c r="N23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44" i="3"/>
  <c r="I22" i="6" s="1"/>
  <c r="I24" i="6" s="1"/>
  <c r="I39" i="3"/>
  <c r="I42" i="3"/>
  <c r="F39" i="3"/>
  <c r="F42" i="3"/>
  <c r="F44" i="3" s="1"/>
  <c r="F22" i="6" s="1"/>
  <c r="F24" i="6" s="1"/>
  <c r="L39" i="3"/>
  <c r="L44" i="3"/>
  <c r="L22" i="6" s="1"/>
  <c r="L24" i="6" s="1"/>
  <c r="L42" i="3"/>
  <c r="M39" i="3"/>
  <c r="D39" i="3"/>
  <c r="D42" i="3"/>
  <c r="D44" i="3" s="1"/>
  <c r="D22" i="6" s="1"/>
  <c r="T18" i="7" l="1"/>
  <c r="T15" i="7"/>
  <c r="T17" i="7"/>
  <c r="K63" i="20"/>
  <c r="F4" i="21" s="1"/>
  <c r="K62" i="20"/>
  <c r="T16" i="7"/>
  <c r="D24" i="6"/>
  <c r="O22" i="6"/>
  <c r="N22" i="6"/>
  <c r="G4" i="21" l="1"/>
  <c r="F6" i="21"/>
  <c r="F8" i="21" s="1"/>
  <c r="F12" i="21" s="1"/>
  <c r="N24" i="6"/>
  <c r="O24" i="6"/>
  <c r="G6" i="21" l="1"/>
  <c r="G8" i="21" s="1"/>
  <c r="G12" i="21" s="1"/>
  <c r="H4" i="21"/>
  <c r="I4" i="21" l="1"/>
  <c r="H6" i="21"/>
  <c r="H8" i="21" s="1"/>
  <c r="H12" i="21" s="1"/>
  <c r="I6" i="21" l="1"/>
  <c r="I8" i="21" s="1"/>
  <c r="I12" i="21" s="1"/>
  <c r="J4" i="21"/>
  <c r="J6" i="21" s="1"/>
  <c r="J8" i="21" s="1"/>
  <c r="J12" i="21" l="1"/>
  <c r="D29" i="21" s="1"/>
  <c r="D20" i="21"/>
  <c r="D24" i="21" s="1"/>
  <c r="D30" i="21" s="1"/>
  <c r="D31" i="21" l="1"/>
  <c r="D35" i="21" s="1"/>
  <c r="D38" i="21" s="1"/>
  <c r="D41" i="21" s="1"/>
</calcChain>
</file>

<file path=xl/sharedStrings.xml><?xml version="1.0" encoding="utf-8"?>
<sst xmlns="http://schemas.openxmlformats.org/spreadsheetml/2006/main" count="662" uniqueCount="346">
  <si>
    <t>COMPANY NAME</t>
  </si>
  <si>
    <t>BRITANNIA INDUSTRIES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</si>
  <si>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</si>
  <si>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</si>
  <si>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</si>
  <si>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</si>
  <si>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</si>
  <si>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</si>
  <si>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</si>
  <si>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</si>
  <si>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</si>
  <si>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</si>
  <si>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</si>
  <si>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</si>
  <si>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</si>
  <si>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</si>
  <si>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</si>
  <si>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</si>
  <si>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</si>
  <si>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</si>
  <si>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</si>
  <si>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</si>
  <si>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</si>
  <si>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</si>
  <si>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</si>
  <si>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</si>
  <si>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</si>
  <si>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</si>
  <si>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</si>
  <si>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</si>
  <si>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</si>
  <si>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</si>
  <si>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</si>
  <si>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</si>
  <si>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</si>
  <si>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</si>
  <si>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</si>
  <si>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</si>
  <si>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</si>
  <si>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</si>
  <si>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</si>
  <si>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</si>
  <si>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</si>
  <si>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</si>
  <si>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</si>
  <si>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</si>
  <si>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</si>
  <si>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</si>
  <si>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</si>
  <si>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</si>
  <si>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</si>
  <si>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</si>
  <si>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</si>
  <si>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</si>
  <si>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</si>
  <si>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</si>
  <si>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</si>
  <si>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</si>
  <si>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</si>
  <si>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</si>
  <si>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</si>
  <si>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</si>
  <si>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</si>
  <si>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</si>
  <si>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</si>
  <si>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</si>
  <si>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</si>
  <si>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</si>
  <si>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</si>
  <si>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</si>
  <si>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</si>
  <si>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</si>
  <si>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</si>
  <si>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</si>
  <si>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</si>
  <si>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</si>
  <si>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</si>
  <si>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</si>
  <si>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</si>
  <si>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</si>
  <si>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</si>
  <si>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</si>
  <si>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</si>
  <si>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</si>
  <si>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</si>
  <si>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</si>
  <si>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</si>
  <si>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</si>
  <si>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</si>
  <si>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</si>
  <si>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</si>
  <si>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</si>
  <si>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</si>
  <si>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</si>
  <si>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</si>
  <si>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</si>
  <si>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</si>
  <si>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</si>
  <si>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</si>
  <si>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</si>
  <si>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</si>
  <si>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</si>
  <si>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</si>
  <si>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</si>
  <si>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</si>
  <si>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</si>
  <si>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</si>
  <si>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</si>
  <si>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</si>
  <si>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</si>
  <si>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</si>
  <si>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</si>
  <si>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Statements</t>
  </si>
  <si>
    <t>Cash from Operating Activities</t>
  </si>
  <si>
    <t>Cash from Investing Activities</t>
  </si>
  <si>
    <t>Cash from Financing Activities</t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</si>
  <si>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</si>
  <si>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</si>
  <si>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</si>
  <si>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</si>
  <si>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</si>
  <si>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</si>
  <si>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</si>
  <si>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</si>
  <si>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</si>
  <si>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</si>
  <si>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</si>
  <si>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</si>
  <si>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</si>
  <si>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</si>
  <si>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</si>
  <si>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</si>
  <si>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</si>
  <si>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</si>
  <si>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</si>
  <si>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</si>
  <si>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</si>
  <si>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</si>
  <si>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</si>
  <si>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</si>
  <si>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</si>
  <si>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</si>
  <si>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</si>
  <si>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</si>
  <si>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</si>
  <si>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</si>
  <si>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</si>
  <si>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</si>
  <si>
    <t>Year Weight</t>
  </si>
  <si>
    <t>Year</t>
  </si>
  <si>
    <t>EPS</t>
  </si>
  <si>
    <t>EPS Growth</t>
  </si>
  <si>
    <t>Particulars</t>
  </si>
  <si>
    <t>Total Asset</t>
  </si>
  <si>
    <t>Other Asset</t>
  </si>
  <si>
    <t>WACC</t>
  </si>
  <si>
    <t>Debt Weight</t>
  </si>
  <si>
    <t>4. Levered Beta = Unlevered Beta*(1+(1-Tax Rate)*Debt/Equity)</t>
  </si>
  <si>
    <t>Cost of Debt</t>
  </si>
  <si>
    <t>3. Unlevered Beta = Levered Beta/1+(1-Tax Rate)*Debt/Equity)</t>
  </si>
  <si>
    <t>2. Levered beta is based on 5 year monthly data</t>
  </si>
  <si>
    <t>Equity Weight</t>
  </si>
  <si>
    <t>1. Tax Rate considered as Marginal Tax Rate for the country</t>
  </si>
  <si>
    <t>Cost of Equity</t>
  </si>
  <si>
    <t>Notes:</t>
  </si>
  <si>
    <t>Weighted Average Cost of Capital</t>
  </si>
  <si>
    <t>Debt/Equity</t>
  </si>
  <si>
    <t>Levered Beta</t>
  </si>
  <si>
    <t>Total Capital</t>
  </si>
  <si>
    <t>Tax Rate</t>
  </si>
  <si>
    <t>Target Debt/Equity</t>
  </si>
  <si>
    <t>Total Debt</t>
  </si>
  <si>
    <t>Comps Median Unlevered Beta</t>
  </si>
  <si>
    <t>Target</t>
  </si>
  <si>
    <t>Current</t>
  </si>
  <si>
    <t>Capital Structure</t>
  </si>
  <si>
    <r>
      <t xml:space="preserve">Levered  Beta </t>
    </r>
    <r>
      <rPr>
        <vertAlign val="superscript"/>
        <sz val="11"/>
        <color theme="1"/>
        <rFont val="Calibri"/>
        <family val="2"/>
      </rPr>
      <t>4</t>
    </r>
  </si>
  <si>
    <t>Post Tax Cost of Debt</t>
  </si>
  <si>
    <t>Equity Risk Premium</t>
  </si>
  <si>
    <t>Risk Free Rate</t>
  </si>
  <si>
    <t>Pre-Tax Cost of Debt</t>
  </si>
  <si>
    <t>Average</t>
  </si>
  <si>
    <t>India</t>
  </si>
  <si>
    <t>Godrej Consumer</t>
  </si>
  <si>
    <t>Britannia Inds.</t>
  </si>
  <si>
    <t>Nestle India</t>
  </si>
  <si>
    <t>Hind. Unilever</t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</si>
  <si>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</si>
  <si>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</si>
  <si>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t>Capital</t>
  </si>
  <si>
    <t>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</si>
  <si>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</si>
  <si>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Total Equity</t>
  </si>
  <si>
    <t>Country</t>
  </si>
  <si>
    <t>Name of the Comp</t>
  </si>
  <si>
    <t>Unlevered</t>
  </si>
  <si>
    <t>Levered</t>
  </si>
  <si>
    <t>Debt /</t>
  </si>
  <si>
    <t>Peer Comps</t>
  </si>
  <si>
    <t>All figures are in INR unless stated otherwise.</t>
  </si>
  <si>
    <t>Debt / Eq</t>
  </si>
  <si>
    <t>Debt Rs.Cr.</t>
  </si>
  <si>
    <t xml:space="preserve">Mar Cap Rs.Cr. </t>
  </si>
  <si>
    <t>CMP Rs.</t>
  </si>
  <si>
    <t>Name</t>
  </si>
  <si>
    <t>S.No.</t>
  </si>
  <si>
    <t>Total Market Returns</t>
  </si>
  <si>
    <t>Dividend Yield</t>
  </si>
  <si>
    <t>Average Return</t>
  </si>
  <si>
    <t>Annual</t>
  </si>
  <si>
    <t>Return on Markets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</si>
  <si>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</si>
  <si>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</si>
  <si>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</si>
  <si>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</si>
  <si>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</si>
  <si>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</si>
  <si>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</si>
  <si>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</si>
  <si>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</si>
  <si>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</si>
  <si>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</si>
  <si>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</si>
  <si>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</si>
  <si>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</si>
  <si>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</si>
  <si>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</si>
  <si>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</si>
  <si>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</si>
  <si>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</si>
  <si>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</si>
  <si>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</si>
  <si>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</si>
  <si>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Adjusted Beta</t>
  </si>
  <si>
    <t>Regression Statistics</t>
  </si>
  <si>
    <t>Market Beta Weight</t>
  </si>
  <si>
    <t>SUMMARY OUTPUT</t>
  </si>
  <si>
    <t>Market Beta</t>
  </si>
  <si>
    <t>Beta 3</t>
  </si>
  <si>
    <t>Raw Beta Weight</t>
  </si>
  <si>
    <t>Levered Raw Beta</t>
  </si>
  <si>
    <t xml:space="preserve"> Return</t>
  </si>
  <si>
    <t>Closing Price</t>
  </si>
  <si>
    <t>Date</t>
  </si>
  <si>
    <t>Beta 2</t>
  </si>
  <si>
    <t>Beta 1</t>
  </si>
  <si>
    <t>Beta Drifting</t>
  </si>
  <si>
    <t>NIFTY Returns</t>
  </si>
  <si>
    <t>Hind. Unilever Weekly Returns</t>
  </si>
  <si>
    <t>Regression Beta - 2 Years Weekly</t>
  </si>
  <si>
    <t>Nestle India Weekly Returns</t>
  </si>
  <si>
    <t>Britannia Ind. Weekly Returns</t>
  </si>
  <si>
    <t>Godrej Consumer Weekly Returns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</si>
  <si>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</si>
  <si>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</si>
  <si>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</si>
  <si>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</si>
  <si>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</si>
  <si>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</si>
  <si>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</si>
  <si>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</si>
  <si>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</si>
  <si>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</si>
  <si>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</si>
  <si>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</si>
  <si>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</si>
  <si>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</si>
  <si>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</si>
  <si>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</si>
  <si>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</si>
  <si>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</si>
  <si>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</si>
  <si>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</si>
  <si>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</si>
  <si>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</si>
  <si>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</si>
  <si>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</si>
  <si>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</si>
  <si>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</si>
  <si>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</si>
  <si>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</si>
  <si>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</si>
  <si>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Current Assets</t>
  </si>
  <si>
    <t>Current Liabilities</t>
  </si>
  <si>
    <t>Net Working Capital</t>
  </si>
  <si>
    <t>Total Current Liabilities</t>
  </si>
  <si>
    <t>Non Current Assets</t>
  </si>
  <si>
    <t>Net Non Current Assets</t>
  </si>
  <si>
    <t xml:space="preserve">Invested Capital </t>
  </si>
  <si>
    <t>EBIT</t>
  </si>
  <si>
    <t>ROIC</t>
  </si>
  <si>
    <t>Net Capex</t>
  </si>
  <si>
    <t>Change in Working Capital</t>
  </si>
  <si>
    <t>Marginal Tax Rate</t>
  </si>
  <si>
    <t>EBIT(1-T)</t>
  </si>
  <si>
    <t>Reinvestment</t>
  </si>
  <si>
    <t>Reinvestment Rate</t>
  </si>
  <si>
    <t>4 Year Average</t>
  </si>
  <si>
    <t>4 Year Median</t>
  </si>
  <si>
    <t>Intrinsic Growth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</si>
  <si>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</si>
  <si>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</si>
  <si>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</si>
  <si>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</si>
  <si>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</si>
  <si>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</si>
  <si>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</si>
  <si>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</si>
  <si>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</si>
  <si>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FCFF(n+1)</t>
  </si>
  <si>
    <t>Terminal Growth Rate</t>
  </si>
  <si>
    <t>Terminal Value</t>
  </si>
  <si>
    <t>PV of Terminal Value</t>
  </si>
  <si>
    <t>Value of Operating Activities</t>
  </si>
  <si>
    <t>Add: Cash</t>
  </si>
  <si>
    <t>Less: Debt</t>
  </si>
  <si>
    <t>Calculation of Equity Value per Share</t>
  </si>
  <si>
    <t>Value of Equity</t>
  </si>
  <si>
    <t>No of Shares</t>
  </si>
  <si>
    <t>Equity Value per Share</t>
  </si>
  <si>
    <t>Share Price</t>
  </si>
  <si>
    <t>Discount/Premium</t>
  </si>
  <si>
    <t>Britannia Weekly Returns</t>
  </si>
  <si>
    <t>Varun Beverages Weekly Returns</t>
  </si>
  <si>
    <t xml:space="preserve"> Returns</t>
  </si>
  <si>
    <t>NIFTY RETURNS</t>
  </si>
  <si>
    <t>Beta By Regression</t>
  </si>
  <si>
    <t>Hind. Unilevre</t>
  </si>
  <si>
    <t>Britannia</t>
  </si>
  <si>
    <t>Varun Beverages</t>
  </si>
  <si>
    <t xml:space="preserve"> Hind. Unilever Beta Drifting</t>
  </si>
  <si>
    <t>Nestle India Beta Drifting</t>
  </si>
  <si>
    <t>Britannia Beta Drifting</t>
  </si>
  <si>
    <t>Godrej Consumer Beta Drifting</t>
  </si>
  <si>
    <t>Varun Beverages Beta Drifting</t>
  </si>
  <si>
    <t xml:space="preserve">Varun Beverages </t>
  </si>
  <si>
    <t>Operating Activities -</t>
  </si>
  <si>
    <t>Cash Flow from Operating Activities</t>
  </si>
  <si>
    <t>Investing Activities</t>
  </si>
  <si>
    <t>Cash Flow from Investing Activities</t>
  </si>
  <si>
    <t>Financing Activities</t>
  </si>
  <si>
    <t>Proceeds from debentures</t>
  </si>
  <si>
    <t>Corporate loans</t>
  </si>
  <si>
    <t>Investment subsidy</t>
  </si>
  <si>
    <t>Share application money</t>
  </si>
  <si>
    <t>Cash Flow from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</si>
</sst>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0.00&quot;x&quot;"/>
    <numFmt numFmtId="169" formatCode="yyyy"/>
    <numFmt numFmtId="170" formatCode="yyyy&quot;A&quot;"/>
    <numFmt numFmtId="171" formatCode="yyyy&quot;E&quot;"/>
    <numFmt numFmtId="172" formatCode="#,##0.0"/>
    <numFmt numFmtId="173" formatCode="#,##0.0;\(#,##0.0\);\-"/>
    <numFmt numFmtId="174" formatCode="mmm/yy&quot;A&quot;"/>
    <numFmt numFmtId="175" formatCode="mmm/yy&quot;F&quot;"/>
    <numFmt numFmtId="176" formatCode="0.000"/>
    <numFmt numFmtId="185" formatCode="#,##0.0;\(\-#,##0.0\);\-"/>
  </numFmts>
  <fonts count="2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theme="0"/>
      <name val="Calibri"/>
      <family val="2"/>
    </font>
    <font>
      <i/>
      <sz val="9"/>
      <color theme="1"/>
      <name val="Calibri"/>
      <family val="2"/>
    </font>
    <font>
      <sz val="11"/>
      <color rgb="FF3333FF"/>
      <name val="calibri"/>
      <family val="2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4"/>
      <color theme="0"/>
      <name val="calibri"/>
      <family val="2"/>
    </font>
    <font>
      <sz val="9"/>
      <color rgb="FF22222F"/>
      <name val="Inter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 style="hair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auto="1"/>
      </top>
      <bottom style="thick">
        <color rgb="FF00206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170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3" fontId="0" fillId="0" borderId="0" xfId="0" applyNumberFormat="1"/>
    <xf numFmtId="0" fontId="3" fillId="0" borderId="1" xfId="0" applyFont="1" applyBorder="1"/>
    <xf numFmtId="167" fontId="3" fillId="0" borderId="1" xfId="0" applyNumberFormat="1" applyFont="1" applyBorder="1"/>
    <xf numFmtId="166" fontId="3" fillId="0" borderId="1" xfId="0" applyNumberFormat="1" applyFont="1" applyBorder="1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1" applyNumberFormat="1" applyFont="1" applyBorder="1"/>
    <xf numFmtId="0" fontId="0" fillId="0" borderId="0" xfId="0" applyAlignment="1">
      <alignment vertical="center"/>
    </xf>
    <xf numFmtId="10" fontId="0" fillId="0" borderId="0" xfId="1" applyNumberFormat="1" applyFont="1" applyBorder="1"/>
    <xf numFmtId="0" fontId="0" fillId="0" borderId="3" xfId="0" applyBorder="1" applyAlignment="1">
      <alignment vertical="center"/>
    </xf>
    <xf numFmtId="0" fontId="0" fillId="0" borderId="3" xfId="0" applyBorder="1"/>
    <xf numFmtId="10" fontId="0" fillId="0" borderId="3" xfId="1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0" fontId="0" fillId="0" borderId="0" xfId="0" applyAlignment="1">
      <alignment horizontal="lef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2" fontId="0" fillId="0" borderId="0" xfId="0" applyNumberFormat="1"/>
    <xf numFmtId="0" fontId="0" fillId="6" borderId="0" xfId="0" applyFill="1" applyAlignment="1">
      <alignment horizontal="left"/>
    </xf>
    <xf numFmtId="171" fontId="0" fillId="6" borderId="0" xfId="0" applyNumberFormat="1" applyFill="1" applyAlignment="1">
      <alignment horizontal="right"/>
    </xf>
    <xf numFmtId="172" fontId="0" fillId="6" borderId="0" xfId="0" applyNumberFormat="1" applyFill="1"/>
    <xf numFmtId="10" fontId="0" fillId="6" borderId="0" xfId="1" applyNumberFormat="1" applyFont="1" applyFill="1"/>
    <xf numFmtId="0" fontId="3" fillId="0" borderId="4" xfId="0" applyFont="1" applyBorder="1"/>
    <xf numFmtId="17" fontId="3" fillId="0" borderId="4" xfId="0" applyNumberFormat="1" applyFont="1" applyBorder="1"/>
    <xf numFmtId="43" fontId="0" fillId="0" borderId="0" xfId="0" applyNumberFormat="1"/>
    <xf numFmtId="43" fontId="3" fillId="0" borderId="0" xfId="0" applyNumberFormat="1" applyFont="1"/>
    <xf numFmtId="10" fontId="3" fillId="0" borderId="0" xfId="1" applyNumberFormat="1" applyFont="1"/>
    <xf numFmtId="10" fontId="1" fillId="0" borderId="0" xfId="1" applyNumberFormat="1" applyFont="1"/>
    <xf numFmtId="10" fontId="3" fillId="6" borderId="0" xfId="0" applyNumberFormat="1" applyFont="1" applyFill="1"/>
    <xf numFmtId="0" fontId="3" fillId="6" borderId="0" xfId="0" applyFont="1" applyFill="1"/>
    <xf numFmtId="2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4" xfId="0" applyBorder="1"/>
    <xf numFmtId="10" fontId="0" fillId="7" borderId="0" xfId="1" applyNumberFormat="1" applyFont="1" applyFill="1"/>
    <xf numFmtId="2" fontId="0" fillId="7" borderId="5" xfId="0" applyNumberFormat="1" applyFill="1" applyBorder="1"/>
    <xf numFmtId="0" fontId="0" fillId="0" borderId="5" xfId="0" applyBorder="1"/>
    <xf numFmtId="10" fontId="0" fillId="0" borderId="6" xfId="0" applyNumberFormat="1" applyBorder="1"/>
    <xf numFmtId="10" fontId="0" fillId="0" borderId="6" xfId="1" applyNumberFormat="1" applyFont="1" applyBorder="1"/>
    <xf numFmtId="172" fontId="0" fillId="0" borderId="6" xfId="0" applyNumberFormat="1" applyBorder="1"/>
    <xf numFmtId="0" fontId="0" fillId="0" borderId="6" xfId="0" applyBorder="1"/>
    <xf numFmtId="10" fontId="17" fillId="0" borderId="0" xfId="0" applyNumberFormat="1" applyFont="1"/>
    <xf numFmtId="0" fontId="3" fillId="0" borderId="4" xfId="0" applyFont="1" applyBorder="1" applyAlignment="1">
      <alignment horizontal="right"/>
    </xf>
    <xf numFmtId="10" fontId="0" fillId="7" borderId="5" xfId="1" applyNumberFormat="1" applyFont="1" applyFill="1" applyBorder="1"/>
    <xf numFmtId="10" fontId="0" fillId="7" borderId="5" xfId="0" applyNumberFormat="1" applyFill="1" applyBorder="1"/>
    <xf numFmtId="2" fontId="0" fillId="0" borderId="4" xfId="0" applyNumberFormat="1" applyBorder="1"/>
    <xf numFmtId="10" fontId="0" fillId="0" borderId="4" xfId="1" applyNumberFormat="1" applyFont="1" applyFill="1" applyBorder="1"/>
    <xf numFmtId="10" fontId="0" fillId="0" borderId="4" xfId="0" applyNumberFormat="1" applyBorder="1"/>
    <xf numFmtId="2" fontId="0" fillId="0" borderId="7" xfId="0" applyNumberFormat="1" applyBorder="1"/>
    <xf numFmtId="10" fontId="0" fillId="0" borderId="7" xfId="1" applyNumberFormat="1" applyFont="1" applyFill="1" applyBorder="1"/>
    <xf numFmtId="10" fontId="0" fillId="0" borderId="7" xfId="0" applyNumberFormat="1" applyBorder="1"/>
    <xf numFmtId="0" fontId="3" fillId="0" borderId="7" xfId="0" applyFont="1" applyBorder="1"/>
    <xf numFmtId="2" fontId="0" fillId="7" borderId="0" xfId="0" applyNumberFormat="1" applyFill="1"/>
    <xf numFmtId="10" fontId="17" fillId="0" borderId="0" xfId="1" applyNumberFormat="1" applyFont="1"/>
    <xf numFmtId="0" fontId="17" fillId="0" borderId="0" xfId="0" applyFont="1"/>
    <xf numFmtId="0" fontId="0" fillId="0" borderId="7" xfId="0" applyBorder="1"/>
    <xf numFmtId="0" fontId="19" fillId="0" borderId="0" xfId="0" applyFont="1"/>
    <xf numFmtId="0" fontId="0" fillId="8" borderId="0" xfId="0" applyFill="1"/>
    <xf numFmtId="10" fontId="17" fillId="0" borderId="0" xfId="0" applyNumberFormat="1" applyFont="1" applyAlignment="1">
      <alignment vertical="top"/>
    </xf>
    <xf numFmtId="10" fontId="0" fillId="0" borderId="0" xfId="1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15" fillId="8" borderId="0" xfId="0" applyFont="1" applyFill="1"/>
    <xf numFmtId="0" fontId="2" fillId="8" borderId="0" xfId="0" applyFont="1" applyFill="1"/>
    <xf numFmtId="14" fontId="0" fillId="0" borderId="0" xfId="0" applyNumberFormat="1" applyAlignment="1">
      <alignment horizontal="left"/>
    </xf>
    <xf numFmtId="0" fontId="0" fillId="0" borderId="8" xfId="0" applyBorder="1"/>
    <xf numFmtId="0" fontId="13" fillId="0" borderId="9" xfId="0" applyFont="1" applyBorder="1" applyAlignment="1">
      <alignment horizontal="center"/>
    </xf>
    <xf numFmtId="2" fontId="0" fillId="6" borderId="0" xfId="0" applyNumberFormat="1" applyFill="1"/>
    <xf numFmtId="0" fontId="0" fillId="6" borderId="0" xfId="0" applyFill="1"/>
    <xf numFmtId="0" fontId="13" fillId="0" borderId="9" xfId="0" applyFont="1" applyBorder="1" applyAlignment="1">
      <alignment horizontal="centerContinuous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17" fontId="2" fillId="8" borderId="0" xfId="0" applyNumberFormat="1" applyFont="1" applyFill="1"/>
    <xf numFmtId="3" fontId="3" fillId="0" borderId="1" xfId="0" applyNumberFormat="1" applyFont="1" applyBorder="1"/>
    <xf numFmtId="0" fontId="0" fillId="0" borderId="12" xfId="0" applyBorder="1"/>
    <xf numFmtId="173" fontId="0" fillId="0" borderId="12" xfId="0" applyNumberFormat="1" applyBorder="1"/>
    <xf numFmtId="173" fontId="0" fillId="0" borderId="11" xfId="0" applyNumberFormat="1" applyBorder="1"/>
    <xf numFmtId="173" fontId="0" fillId="0" borderId="0" xfId="0" applyNumberFormat="1"/>
    <xf numFmtId="173" fontId="3" fillId="0" borderId="0" xfId="0" applyNumberFormat="1" applyFont="1"/>
    <xf numFmtId="173" fontId="0" fillId="0" borderId="7" xfId="0" applyNumberFormat="1" applyBorder="1"/>
    <xf numFmtId="173" fontId="0" fillId="0" borderId="13" xfId="0" applyNumberFormat="1" applyBorder="1"/>
    <xf numFmtId="173" fontId="0" fillId="0" borderId="5" xfId="0" applyNumberFormat="1" applyBorder="1"/>
    <xf numFmtId="0" fontId="3" fillId="0" borderId="14" xfId="0" applyFont="1" applyBorder="1"/>
    <xf numFmtId="173" fontId="3" fillId="0" borderId="14" xfId="0" applyNumberFormat="1" applyFont="1" applyBorder="1"/>
    <xf numFmtId="0" fontId="3" fillId="0" borderId="15" xfId="0" applyFont="1" applyBorder="1"/>
    <xf numFmtId="0" fontId="0" fillId="0" borderId="15" xfId="0" applyBorder="1"/>
    <xf numFmtId="0" fontId="0" fillId="0" borderId="13" xfId="0" applyBorder="1"/>
    <xf numFmtId="0" fontId="3" fillId="0" borderId="16" xfId="0" applyFont="1" applyBorder="1"/>
    <xf numFmtId="173" fontId="3" fillId="0" borderId="15" xfId="0" applyNumberFormat="1" applyFont="1" applyBorder="1"/>
    <xf numFmtId="173" fontId="3" fillId="0" borderId="16" xfId="0" applyNumberFormat="1" applyFont="1" applyBorder="1"/>
    <xf numFmtId="10" fontId="3" fillId="0" borderId="16" xfId="1" applyNumberFormat="1" applyFont="1" applyBorder="1"/>
    <xf numFmtId="10" fontId="17" fillId="0" borderId="12" xfId="0" applyNumberFormat="1" applyFont="1" applyBorder="1"/>
    <xf numFmtId="10" fontId="0" fillId="0" borderId="12" xfId="1" applyNumberFormat="1" applyFont="1" applyBorder="1"/>
    <xf numFmtId="174" fontId="2" fillId="8" borderId="0" xfId="0" applyNumberFormat="1" applyFont="1" applyFill="1"/>
    <xf numFmtId="175" fontId="2" fillId="8" borderId="0" xfId="0" applyNumberFormat="1" applyFont="1" applyFill="1"/>
    <xf numFmtId="0" fontId="0" fillId="0" borderId="16" xfId="0" applyBorder="1"/>
    <xf numFmtId="10" fontId="0" fillId="6" borderId="0" xfId="0" applyNumberFormat="1" applyFill="1"/>
    <xf numFmtId="43" fontId="0" fillId="0" borderId="12" xfId="0" applyNumberFormat="1" applyBorder="1"/>
    <xf numFmtId="10" fontId="0" fillId="0" borderId="12" xfId="0" applyNumberFormat="1" applyBorder="1"/>
    <xf numFmtId="0" fontId="17" fillId="0" borderId="12" xfId="0" applyFont="1" applyBorder="1"/>
    <xf numFmtId="43" fontId="0" fillId="7" borderId="12" xfId="0" applyNumberFormat="1" applyFill="1" applyBorder="1"/>
    <xf numFmtId="10" fontId="17" fillId="7" borderId="12" xfId="0" applyNumberFormat="1" applyFont="1" applyFill="1" applyBorder="1"/>
    <xf numFmtId="0" fontId="0" fillId="7" borderId="12" xfId="0" applyFill="1" applyBorder="1"/>
    <xf numFmtId="0" fontId="0" fillId="7" borderId="0" xfId="0" applyFill="1"/>
    <xf numFmtId="0" fontId="0" fillId="7" borderId="16" xfId="0" applyFill="1" applyBorder="1"/>
    <xf numFmtId="176" fontId="0" fillId="0" borderId="12" xfId="0" applyNumberFormat="1" applyBorder="1"/>
    <xf numFmtId="43" fontId="0" fillId="0" borderId="16" xfId="0" applyNumberFormat="1" applyBorder="1"/>
    <xf numFmtId="43" fontId="3" fillId="0" borderId="16" xfId="0" applyNumberFormat="1" applyFont="1" applyBorder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right"/>
    </xf>
    <xf numFmtId="0" fontId="20" fillId="8" borderId="0" xfId="0" applyFont="1" applyFill="1"/>
    <xf numFmtId="0" fontId="3" fillId="6" borderId="16" xfId="0" applyNumberFormat="1" applyFont="1" applyFill="1" applyBorder="1"/>
    <xf numFmtId="10" fontId="3" fillId="6" borderId="16" xfId="1" applyNumberFormat="1" applyFont="1" applyFill="1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13" fillId="0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Continuous"/>
    </xf>
    <xf numFmtId="0" fontId="0" fillId="0" borderId="0" xfId="0" applyFont="1" applyFill="1" applyBorder="1" applyAlignment="1">
      <alignment horizontal="left"/>
    </xf>
    <xf numFmtId="17" fontId="2" fillId="8" borderId="0" xfId="0" applyNumberFormat="1" applyFont="1" applyFill="1" applyAlignment="1">
      <alignment horizontal="right"/>
    </xf>
    <xf numFmtId="17" fontId="2" fillId="8" borderId="0" xfId="0" applyNumberFormat="1" applyFont="1" applyFill="1" applyAlignment="1">
      <alignment horizontal="center"/>
    </xf>
    <xf numFmtId="10" fontId="0" fillId="0" borderId="0" xfId="0" applyNumberFormat="1" applyFont="1"/>
    <xf numFmtId="172" fontId="0" fillId="0" borderId="0" xfId="0" applyNumberFormat="1" applyFont="1"/>
    <xf numFmtId="3" fontId="21" fillId="0" borderId="0" xfId="0" applyNumberFormat="1" applyFont="1"/>
    <xf numFmtId="0" fontId="2" fillId="8" borderId="0" xfId="0" applyFont="1" applyFill="1" applyAlignment="1">
      <alignment horizontal="center" vertical="center"/>
    </xf>
    <xf numFmtId="0" fontId="0" fillId="0" borderId="0" xfId="0" applyFont="1"/>
    <xf numFmtId="173" fontId="0" fillId="0" borderId="2" xfId="0" applyNumberFormat="1" applyFont="1" applyBorder="1"/>
    <xf numFmtId="173" fontId="0" fillId="0" borderId="3" xfId="0" applyNumberFormat="1" applyBorder="1"/>
    <xf numFmtId="173" fontId="0" fillId="0" borderId="2" xfId="0" applyNumberFormat="1" applyBorder="1"/>
    <xf numFmtId="173" fontId="0" fillId="0" borderId="0" xfId="0" applyNumberFormat="1" applyBorder="1"/>
    <xf numFmtId="185" fontId="3" fillId="0" borderId="1" xfId="0" applyNumberFormat="1" applyFont="1" applyBorder="1"/>
    <xf numFmtId="0" fontId="3" fillId="0" borderId="17" xfId="0" applyFont="1" applyBorder="1"/>
    <xf numFmtId="173" fontId="3" fillId="0" borderId="17" xfId="0" applyNumberFormat="1" applyFont="1" applyBorder="1"/>
    <xf numFmtId="166" fontId="3" fillId="0" borderId="16" xfId="0" applyNumberFormat="1" applyFont="1" applyBorder="1"/>
    <xf numFmtId="2" fontId="0" fillId="0" borderId="0" xfId="0" applyNumberFormat="1" applyFont="1"/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1" defaultTableStyle="TableStyleMedium2" defaultPivotStyle="PivotStyleLight16">
    <tableStyle name="Invisible" pivot="0" table="0" count="0" xr9:uid="{C182CD8C-D2D4-4565-95A0-7779EBCAE721}"/>
  </tableStyles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Sales</a:t>
            </a:r>
            <a:r>
              <a:rPr lang="en-IN" b="1" baseline="0"/>
              <a:t> Forecast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cat>
            <c:numRef>
              <c:f>Forecasting!$C$4:$C$18</c:f>
              <c:numCache>
                <c:formatCode>yyyy"A"</c:formatCode>
                <c:ptCount val="15"/>
                <c:pt idx="0">
                  <c:v>41729</c:v>
                </c:pt>
                <c:pt idx="1">
                  <c:v>42094</c:v>
                </c:pt>
                <c:pt idx="2">
                  <c:v>42459</c:v>
                </c:pt>
                <c:pt idx="3">
                  <c:v>42824</c:v>
                </c:pt>
                <c:pt idx="4">
                  <c:v>43189</c:v>
                </c:pt>
                <c:pt idx="5">
                  <c:v>43554</c:v>
                </c:pt>
                <c:pt idx="6">
                  <c:v>43919</c:v>
                </c:pt>
                <c:pt idx="7">
                  <c:v>44284</c:v>
                </c:pt>
                <c:pt idx="8">
                  <c:v>44649</c:v>
                </c:pt>
                <c:pt idx="9">
                  <c:v>45014</c:v>
                </c:pt>
                <c:pt idx="10" formatCode="yyyy&quot;E&quot;">
                  <c:v>45379</c:v>
                </c:pt>
                <c:pt idx="11" formatCode="yyyy&quot;E&quot;">
                  <c:v>45744</c:v>
                </c:pt>
                <c:pt idx="12" formatCode="yyyy&quot;E&quot;">
                  <c:v>46109</c:v>
                </c:pt>
                <c:pt idx="13" formatCode="yyyy&quot;E&quot;">
                  <c:v>46474</c:v>
                </c:pt>
                <c:pt idx="14" formatCode="yyyy&quot;E&quot;">
                  <c:v>46839</c:v>
                </c:pt>
              </c:numCache>
            </c:numRef>
          </c:cat>
          <c:val>
            <c:numRef>
              <c:f>Forecasting!$D$4:$D$18</c:f>
              <c:numCache>
                <c:formatCode>#,##0.0</c:formatCode>
                <c:ptCount val="15"/>
                <c:pt idx="0">
                  <c:v>6912.71</c:v>
                </c:pt>
                <c:pt idx="1">
                  <c:v>7858.42</c:v>
                </c:pt>
                <c:pt idx="2">
                  <c:v>8397.23</c:v>
                </c:pt>
                <c:pt idx="3">
                  <c:v>9054.09</c:v>
                </c:pt>
                <c:pt idx="4">
                  <c:v>9913.99</c:v>
                </c:pt>
                <c:pt idx="5">
                  <c:v>11054.67</c:v>
                </c:pt>
                <c:pt idx="6">
                  <c:v>11599.55</c:v>
                </c:pt>
                <c:pt idx="7">
                  <c:v>13136.14</c:v>
                </c:pt>
                <c:pt idx="8">
                  <c:v>14136.26</c:v>
                </c:pt>
                <c:pt idx="9">
                  <c:v>16300.55</c:v>
                </c:pt>
                <c:pt idx="10">
                  <c:v>16199.929333333333</c:v>
                </c:pt>
                <c:pt idx="11">
                  <c:v>17175.123575757578</c:v>
                </c:pt>
                <c:pt idx="12">
                  <c:v>18150.317818181818</c:v>
                </c:pt>
                <c:pt idx="13">
                  <c:v>19125.512060606059</c:v>
                </c:pt>
                <c:pt idx="14">
                  <c:v>20100.706303030303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14-4115-859A-8DBA96C4867F}"/>
            </c:ext>
          </c:extLst>
        </c:ser>
        <c:ser>
          <c:idx val="3"/>
          <c:order val="1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Forecasting!$C$4:$C$18</c:f>
              <c:numCache>
                <c:formatCode>yyyy"A"</c:formatCode>
                <c:ptCount val="15"/>
                <c:pt idx="0">
                  <c:v>41729</c:v>
                </c:pt>
                <c:pt idx="1">
                  <c:v>42094</c:v>
                </c:pt>
                <c:pt idx="2">
                  <c:v>42459</c:v>
                </c:pt>
                <c:pt idx="3">
                  <c:v>42824</c:v>
                </c:pt>
                <c:pt idx="4">
                  <c:v>43189</c:v>
                </c:pt>
                <c:pt idx="5">
                  <c:v>43554</c:v>
                </c:pt>
                <c:pt idx="6">
                  <c:v>43919</c:v>
                </c:pt>
                <c:pt idx="7">
                  <c:v>44284</c:v>
                </c:pt>
                <c:pt idx="8">
                  <c:v>44649</c:v>
                </c:pt>
                <c:pt idx="9">
                  <c:v>45014</c:v>
                </c:pt>
                <c:pt idx="10" formatCode="yyyy&quot;E&quot;">
                  <c:v>45379</c:v>
                </c:pt>
                <c:pt idx="11" formatCode="yyyy&quot;E&quot;">
                  <c:v>45744</c:v>
                </c:pt>
                <c:pt idx="12" formatCode="yyyy&quot;E&quot;">
                  <c:v>46109</c:v>
                </c:pt>
                <c:pt idx="13" formatCode="yyyy&quot;E&quot;">
                  <c:v>46474</c:v>
                </c:pt>
                <c:pt idx="14" formatCode="yyyy&quot;E&quot;">
                  <c:v>46839</c:v>
                </c:pt>
              </c:numCache>
            </c:numRef>
          </c:cat>
          <c:val>
            <c:numRef>
              <c:f>Forecasting!$D$4:$D$18</c:f>
              <c:numCache>
                <c:formatCode>#,##0.0</c:formatCode>
                <c:ptCount val="15"/>
                <c:pt idx="0">
                  <c:v>6912.71</c:v>
                </c:pt>
                <c:pt idx="1">
                  <c:v>7858.42</c:v>
                </c:pt>
                <c:pt idx="2">
                  <c:v>8397.23</c:v>
                </c:pt>
                <c:pt idx="3">
                  <c:v>9054.09</c:v>
                </c:pt>
                <c:pt idx="4">
                  <c:v>9913.99</c:v>
                </c:pt>
                <c:pt idx="5">
                  <c:v>11054.67</c:v>
                </c:pt>
                <c:pt idx="6">
                  <c:v>11599.55</c:v>
                </c:pt>
                <c:pt idx="7">
                  <c:v>13136.14</c:v>
                </c:pt>
                <c:pt idx="8">
                  <c:v>14136.26</c:v>
                </c:pt>
                <c:pt idx="9">
                  <c:v>16300.55</c:v>
                </c:pt>
                <c:pt idx="10">
                  <c:v>16199.929333333333</c:v>
                </c:pt>
                <c:pt idx="11">
                  <c:v>17175.123575757578</c:v>
                </c:pt>
                <c:pt idx="12">
                  <c:v>18150.317818181818</c:v>
                </c:pt>
                <c:pt idx="13">
                  <c:v>19125.512060606059</c:v>
                </c:pt>
                <c:pt idx="14">
                  <c:v>20100.706303030303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14-4115-859A-8DBA96C4867F}"/>
            </c:ext>
          </c:extLst>
        </c:ser>
        <c:ser>
          <c:idx val="1"/>
          <c:order val="2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cat>
            <c:numRef>
              <c:f>Forecasting!$C$4:$C$18</c:f>
              <c:numCache>
                <c:formatCode>yyyy"A"</c:formatCode>
                <c:ptCount val="15"/>
                <c:pt idx="0">
                  <c:v>41729</c:v>
                </c:pt>
                <c:pt idx="1">
                  <c:v>42094</c:v>
                </c:pt>
                <c:pt idx="2">
                  <c:v>42459</c:v>
                </c:pt>
                <c:pt idx="3">
                  <c:v>42824</c:v>
                </c:pt>
                <c:pt idx="4">
                  <c:v>43189</c:v>
                </c:pt>
                <c:pt idx="5">
                  <c:v>43554</c:v>
                </c:pt>
                <c:pt idx="6">
                  <c:v>43919</c:v>
                </c:pt>
                <c:pt idx="7">
                  <c:v>44284</c:v>
                </c:pt>
                <c:pt idx="8">
                  <c:v>44649</c:v>
                </c:pt>
                <c:pt idx="9">
                  <c:v>45014</c:v>
                </c:pt>
                <c:pt idx="10" formatCode="yyyy&quot;E&quot;">
                  <c:v>45379</c:v>
                </c:pt>
                <c:pt idx="11" formatCode="yyyy&quot;E&quot;">
                  <c:v>45744</c:v>
                </c:pt>
                <c:pt idx="12" formatCode="yyyy&quot;E&quot;">
                  <c:v>46109</c:v>
                </c:pt>
                <c:pt idx="13" formatCode="yyyy&quot;E&quot;">
                  <c:v>46474</c:v>
                </c:pt>
                <c:pt idx="14" formatCode="yyyy&quot;E&quot;">
                  <c:v>46839</c:v>
                </c:pt>
              </c:numCache>
            </c:numRef>
          </c:cat>
          <c:val>
            <c:numRef>
              <c:f>Forecasting!$D$4:$D$18</c:f>
              <c:numCache>
                <c:formatCode>#,##0.0</c:formatCode>
                <c:ptCount val="15"/>
                <c:pt idx="0">
                  <c:v>6912.71</c:v>
                </c:pt>
                <c:pt idx="1">
                  <c:v>7858.42</c:v>
                </c:pt>
                <c:pt idx="2">
                  <c:v>8397.23</c:v>
                </c:pt>
                <c:pt idx="3">
                  <c:v>9054.09</c:v>
                </c:pt>
                <c:pt idx="4">
                  <c:v>9913.99</c:v>
                </c:pt>
                <c:pt idx="5">
                  <c:v>11054.67</c:v>
                </c:pt>
                <c:pt idx="6">
                  <c:v>11599.55</c:v>
                </c:pt>
                <c:pt idx="7">
                  <c:v>13136.14</c:v>
                </c:pt>
                <c:pt idx="8">
                  <c:v>14136.26</c:v>
                </c:pt>
                <c:pt idx="9">
                  <c:v>16300.55</c:v>
                </c:pt>
                <c:pt idx="10">
                  <c:v>16199.929333333333</c:v>
                </c:pt>
                <c:pt idx="11">
                  <c:v>17175.123575757578</c:v>
                </c:pt>
                <c:pt idx="12">
                  <c:v>18150.317818181818</c:v>
                </c:pt>
                <c:pt idx="13">
                  <c:v>19125.512060606059</c:v>
                </c:pt>
                <c:pt idx="14">
                  <c:v>20100.706303030303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14-4115-859A-8DBA96C4867F}"/>
            </c:ext>
          </c:extLst>
        </c:ser>
        <c:ser>
          <c:idx val="0"/>
          <c:order val="3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Forecasting!$C$4:$C$18</c:f>
              <c:numCache>
                <c:formatCode>yyyy"A"</c:formatCode>
                <c:ptCount val="15"/>
                <c:pt idx="0">
                  <c:v>41729</c:v>
                </c:pt>
                <c:pt idx="1">
                  <c:v>42094</c:v>
                </c:pt>
                <c:pt idx="2">
                  <c:v>42459</c:v>
                </c:pt>
                <c:pt idx="3">
                  <c:v>42824</c:v>
                </c:pt>
                <c:pt idx="4">
                  <c:v>43189</c:v>
                </c:pt>
                <c:pt idx="5">
                  <c:v>43554</c:v>
                </c:pt>
                <c:pt idx="6">
                  <c:v>43919</c:v>
                </c:pt>
                <c:pt idx="7">
                  <c:v>44284</c:v>
                </c:pt>
                <c:pt idx="8">
                  <c:v>44649</c:v>
                </c:pt>
                <c:pt idx="9">
                  <c:v>45014</c:v>
                </c:pt>
                <c:pt idx="10" formatCode="yyyy&quot;E&quot;">
                  <c:v>45379</c:v>
                </c:pt>
                <c:pt idx="11" formatCode="yyyy&quot;E&quot;">
                  <c:v>45744</c:v>
                </c:pt>
                <c:pt idx="12" formatCode="yyyy&quot;E&quot;">
                  <c:v>46109</c:v>
                </c:pt>
                <c:pt idx="13" formatCode="yyyy&quot;E&quot;">
                  <c:v>46474</c:v>
                </c:pt>
                <c:pt idx="14" formatCode="yyyy&quot;E&quot;">
                  <c:v>46839</c:v>
                </c:pt>
              </c:numCache>
            </c:numRef>
          </c:cat>
          <c:val>
            <c:numRef>
              <c:f>Forecasting!$D$4:$D$18</c:f>
              <c:numCache>
                <c:formatCode>#,##0.0</c:formatCode>
                <c:ptCount val="15"/>
                <c:pt idx="0">
                  <c:v>6912.71</c:v>
                </c:pt>
                <c:pt idx="1">
                  <c:v>7858.42</c:v>
                </c:pt>
                <c:pt idx="2">
                  <c:v>8397.23</c:v>
                </c:pt>
                <c:pt idx="3">
                  <c:v>9054.09</c:v>
                </c:pt>
                <c:pt idx="4">
                  <c:v>9913.99</c:v>
                </c:pt>
                <c:pt idx="5">
                  <c:v>11054.67</c:v>
                </c:pt>
                <c:pt idx="6">
                  <c:v>11599.55</c:v>
                </c:pt>
                <c:pt idx="7">
                  <c:v>13136.14</c:v>
                </c:pt>
                <c:pt idx="8">
                  <c:v>14136.26</c:v>
                </c:pt>
                <c:pt idx="9">
                  <c:v>16300.55</c:v>
                </c:pt>
                <c:pt idx="10">
                  <c:v>16199.929333333333</c:v>
                </c:pt>
                <c:pt idx="11">
                  <c:v>17175.123575757578</c:v>
                </c:pt>
                <c:pt idx="12">
                  <c:v>18150.317818181818</c:v>
                </c:pt>
                <c:pt idx="13">
                  <c:v>19125.512060606059</c:v>
                </c:pt>
                <c:pt idx="14">
                  <c:v>20100.706303030303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14-4115-859A-8DBA96C48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ln>
                <a:noFill/>
              </a:ln>
            </c:spPr>
          </c:downBars>
        </c:upDownBars>
        <c:smooth val="0"/>
        <c:axId val="207630080"/>
        <c:axId val="207610400"/>
      </c:lineChart>
      <c:dateAx>
        <c:axId val="207630080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0400"/>
        <c:crosses val="autoZero"/>
        <c:auto val="1"/>
        <c:lblOffset val="100"/>
        <c:baseTimeUnit val="years"/>
        <c:majorUnit val="1"/>
        <c:majorTimeUnit val="years"/>
      </c:dateAx>
      <c:valAx>
        <c:axId val="207610400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008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>
          <a:lumMod val="15000"/>
          <a:lumOff val="85000"/>
        </a:schemeClr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EBITDA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Forecasting!$I$3</c:f>
              <c:strCache>
                <c:ptCount val="1"/>
                <c:pt idx="0">
                  <c:v>EBITDA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Forecasting!$H$4:$H$18</c:f>
              <c:numCache>
                <c:formatCode>yyyy"A"</c:formatCode>
                <c:ptCount val="15"/>
                <c:pt idx="0">
                  <c:v>41729</c:v>
                </c:pt>
                <c:pt idx="1">
                  <c:v>42094</c:v>
                </c:pt>
                <c:pt idx="2">
                  <c:v>42459</c:v>
                </c:pt>
                <c:pt idx="3">
                  <c:v>42824</c:v>
                </c:pt>
                <c:pt idx="4">
                  <c:v>43189</c:v>
                </c:pt>
                <c:pt idx="5">
                  <c:v>43554</c:v>
                </c:pt>
                <c:pt idx="6">
                  <c:v>43919</c:v>
                </c:pt>
                <c:pt idx="7">
                  <c:v>44284</c:v>
                </c:pt>
                <c:pt idx="8">
                  <c:v>44649</c:v>
                </c:pt>
                <c:pt idx="9">
                  <c:v>45014</c:v>
                </c:pt>
                <c:pt idx="10" formatCode="yyyy&quot;E&quot;">
                  <c:v>45379</c:v>
                </c:pt>
                <c:pt idx="11" formatCode="yyyy&quot;E&quot;">
                  <c:v>45744</c:v>
                </c:pt>
                <c:pt idx="12" formatCode="yyyy&quot;E&quot;">
                  <c:v>46109</c:v>
                </c:pt>
                <c:pt idx="13" formatCode="yyyy&quot;E&quot;">
                  <c:v>46474</c:v>
                </c:pt>
                <c:pt idx="14" formatCode="yyyy&quot;E&quot;">
                  <c:v>46839</c:v>
                </c:pt>
              </c:numCache>
            </c:numRef>
          </c:cat>
          <c:val>
            <c:numRef>
              <c:f>Forecasting!$I$4:$I$18</c:f>
              <c:numCache>
                <c:formatCode>#,##0.0</c:formatCode>
                <c:ptCount val="15"/>
                <c:pt idx="0">
                  <c:v>660.40000000000009</c:v>
                </c:pt>
                <c:pt idx="1">
                  <c:v>1098.0899999999999</c:v>
                </c:pt>
                <c:pt idx="2">
                  <c:v>1338.96</c:v>
                </c:pt>
                <c:pt idx="3">
                  <c:v>1428.8600000000001</c:v>
                </c:pt>
                <c:pt idx="4">
                  <c:v>1668.11</c:v>
                </c:pt>
                <c:pt idx="5">
                  <c:v>1942.56</c:v>
                </c:pt>
                <c:pt idx="6">
                  <c:v>2115.0400000000004</c:v>
                </c:pt>
                <c:pt idx="7">
                  <c:v>2835.67</c:v>
                </c:pt>
                <c:pt idx="8">
                  <c:v>2432</c:v>
                </c:pt>
                <c:pt idx="9">
                  <c:v>3433.23</c:v>
                </c:pt>
                <c:pt idx="10">
                  <c:v>3365.6046666666671</c:v>
                </c:pt>
                <c:pt idx="11">
                  <c:v>3632.9342424242427</c:v>
                </c:pt>
                <c:pt idx="12">
                  <c:v>3900.2638181818188</c:v>
                </c:pt>
                <c:pt idx="13">
                  <c:v>4167.5933939393944</c:v>
                </c:pt>
                <c:pt idx="14">
                  <c:v>4434.9229696969705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C-444F-98E5-1309B23E3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16640"/>
        <c:axId val="207631040"/>
      </c:lineChart>
      <c:dateAx>
        <c:axId val="207616640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1040"/>
        <c:crosses val="autoZero"/>
        <c:auto val="1"/>
        <c:lblOffset val="100"/>
        <c:baseTimeUnit val="years"/>
        <c:majorUnit val="1"/>
        <c:majorTimeUnit val="years"/>
      </c:dateAx>
      <c:valAx>
        <c:axId val="207631040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EBIT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Forecasting!$N$3</c:f>
              <c:strCache>
                <c:ptCount val="1"/>
                <c:pt idx="0">
                  <c:v>EBIT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Forecasting!$M$4:$M$18</c:f>
              <c:numCache>
                <c:formatCode>yyyy"A"</c:formatCode>
                <c:ptCount val="15"/>
                <c:pt idx="0">
                  <c:v>41729</c:v>
                </c:pt>
                <c:pt idx="1">
                  <c:v>42094</c:v>
                </c:pt>
                <c:pt idx="2">
                  <c:v>42459</c:v>
                </c:pt>
                <c:pt idx="3">
                  <c:v>42824</c:v>
                </c:pt>
                <c:pt idx="4">
                  <c:v>43189</c:v>
                </c:pt>
                <c:pt idx="5">
                  <c:v>43554</c:v>
                </c:pt>
                <c:pt idx="6">
                  <c:v>43919</c:v>
                </c:pt>
                <c:pt idx="7">
                  <c:v>44284</c:v>
                </c:pt>
                <c:pt idx="8">
                  <c:v>44649</c:v>
                </c:pt>
                <c:pt idx="9">
                  <c:v>45014</c:v>
                </c:pt>
                <c:pt idx="10" formatCode="yyyy&quot;E&quot;">
                  <c:v>45379</c:v>
                </c:pt>
                <c:pt idx="11" formatCode="yyyy&quot;E&quot;">
                  <c:v>45744</c:v>
                </c:pt>
                <c:pt idx="12" formatCode="yyyy&quot;E&quot;">
                  <c:v>46109</c:v>
                </c:pt>
                <c:pt idx="13" formatCode="yyyy&quot;E&quot;">
                  <c:v>46474</c:v>
                </c:pt>
                <c:pt idx="14" formatCode="yyyy&quot;E&quot;">
                  <c:v>46839</c:v>
                </c:pt>
              </c:numCache>
            </c:numRef>
          </c:cat>
          <c:val>
            <c:numRef>
              <c:f>Forecasting!$N$4:$N$18</c:f>
              <c:numCache>
                <c:formatCode>#,##0.0</c:formatCode>
                <c:ptCount val="15"/>
                <c:pt idx="0">
                  <c:v>577.22</c:v>
                </c:pt>
                <c:pt idx="1">
                  <c:v>953.6099999999999</c:v>
                </c:pt>
                <c:pt idx="2">
                  <c:v>1225.55</c:v>
                </c:pt>
                <c:pt idx="3">
                  <c:v>1309.5900000000001</c:v>
                </c:pt>
                <c:pt idx="4">
                  <c:v>1526.04</c:v>
                </c:pt>
                <c:pt idx="5">
                  <c:v>1780.6799999999998</c:v>
                </c:pt>
                <c:pt idx="6">
                  <c:v>1930.2300000000005</c:v>
                </c:pt>
                <c:pt idx="7">
                  <c:v>2637.82</c:v>
                </c:pt>
                <c:pt idx="8">
                  <c:v>2231.46</c:v>
                </c:pt>
                <c:pt idx="9">
                  <c:v>3207.32</c:v>
                </c:pt>
                <c:pt idx="10">
                  <c:v>3131.0773333333336</c:v>
                </c:pt>
                <c:pt idx="11">
                  <c:v>3384.3728484848489</c:v>
                </c:pt>
                <c:pt idx="12">
                  <c:v>3637.6683636363641</c:v>
                </c:pt>
                <c:pt idx="13">
                  <c:v>3890.9638787878785</c:v>
                </c:pt>
                <c:pt idx="14">
                  <c:v>4144.2593939393937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2-461D-8750-D17F44A7E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914928"/>
        <c:axId val="260920208"/>
      </c:lineChart>
      <c:dateAx>
        <c:axId val="260914928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20208"/>
        <c:crosses val="autoZero"/>
        <c:auto val="1"/>
        <c:lblOffset val="100"/>
        <c:baseTimeUnit val="years"/>
        <c:majorUnit val="1"/>
        <c:majorTimeUnit val="years"/>
      </c:dateAx>
      <c:valAx>
        <c:axId val="260920208"/>
        <c:scaling>
          <c:orientation val="minMax"/>
        </c:scaling>
        <c:delete val="0"/>
        <c:axPos val="l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EPS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Forecasting!$S$3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Forecasting!$R$4:$R$18</c:f>
              <c:numCache>
                <c:formatCode>yyyy"A"</c:formatCode>
                <c:ptCount val="15"/>
                <c:pt idx="0">
                  <c:v>41729</c:v>
                </c:pt>
                <c:pt idx="1">
                  <c:v>42094</c:v>
                </c:pt>
                <c:pt idx="2">
                  <c:v>42459</c:v>
                </c:pt>
                <c:pt idx="3">
                  <c:v>42824</c:v>
                </c:pt>
                <c:pt idx="4">
                  <c:v>43189</c:v>
                </c:pt>
                <c:pt idx="5">
                  <c:v>43554</c:v>
                </c:pt>
                <c:pt idx="6">
                  <c:v>43919</c:v>
                </c:pt>
                <c:pt idx="7">
                  <c:v>44284</c:v>
                </c:pt>
                <c:pt idx="8">
                  <c:v>44649</c:v>
                </c:pt>
                <c:pt idx="9">
                  <c:v>45014</c:v>
                </c:pt>
                <c:pt idx="10" formatCode="yyyy&quot;E&quot;">
                  <c:v>45379</c:v>
                </c:pt>
                <c:pt idx="11" formatCode="yyyy&quot;E&quot;">
                  <c:v>45744</c:v>
                </c:pt>
                <c:pt idx="12" formatCode="yyyy&quot;E&quot;">
                  <c:v>46109</c:v>
                </c:pt>
                <c:pt idx="13" formatCode="yyyy&quot;E&quot;">
                  <c:v>46474</c:v>
                </c:pt>
                <c:pt idx="14" formatCode="yyyy&quot;E&quot;">
                  <c:v>46839</c:v>
                </c:pt>
              </c:numCache>
            </c:numRef>
          </c:cat>
          <c:val>
            <c:numRef>
              <c:f>Forecasting!$S$4:$S$18</c:f>
              <c:numCache>
                <c:formatCode>#,##0.0</c:formatCode>
                <c:ptCount val="15"/>
                <c:pt idx="0">
                  <c:v>15.095873280533574</c:v>
                </c:pt>
                <c:pt idx="1">
                  <c:v>19.210921217173809</c:v>
                </c:pt>
                <c:pt idx="2">
                  <c:v>29.549583333333377</c:v>
                </c:pt>
                <c:pt idx="3">
                  <c:v>30.57458333333334</c:v>
                </c:pt>
                <c:pt idx="4">
                  <c:v>34.885047896709651</c:v>
                </c:pt>
                <c:pt idx="5">
                  <c:v>39.492717436537681</c:v>
                </c:pt>
                <c:pt idx="6">
                  <c:v>47.017463617463626</c:v>
                </c:pt>
                <c:pt idx="7">
                  <c:v>63.823993358239932</c:v>
                </c:pt>
                <c:pt idx="8">
                  <c:v>53.720630967206368</c:v>
                </c:pt>
                <c:pt idx="9">
                  <c:v>71.376089663760922</c:v>
                </c:pt>
                <c:pt idx="10">
                  <c:v>72.921299617630083</c:v>
                </c:pt>
                <c:pt idx="11">
                  <c:v>78.820683109848417</c:v>
                </c:pt>
                <c:pt idx="12">
                  <c:v>84.720066602066751</c:v>
                </c:pt>
                <c:pt idx="13">
                  <c:v>90.619450094285099</c:v>
                </c:pt>
                <c:pt idx="14">
                  <c:v>96.518833586503433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B-4ECA-9EA7-D79D042ED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10880"/>
        <c:axId val="207611360"/>
      </c:lineChart>
      <c:dateAx>
        <c:axId val="207610880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1360"/>
        <c:crosses val="autoZero"/>
        <c:auto val="1"/>
        <c:lblOffset val="100"/>
        <c:baseTimeUnit val="years"/>
        <c:majorUnit val="1"/>
        <c:majorTimeUnit val="years"/>
      </c:dateAx>
      <c:valAx>
        <c:axId val="207611360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44450</xdr:rowOff>
    </xdr:from>
    <xdr:to>
      <xdr:col>5</xdr:col>
      <xdr:colOff>6350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B57DA-FEDF-5D8E-C6A5-3A615F632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155575</xdr:colOff>
      <xdr:row>19</xdr:row>
      <xdr:rowOff>50800</xdr:rowOff>
    </xdr:from>
    <xdr:to>
      <xdr:col>10</xdr:col>
      <xdr:colOff>38100</xdr:colOff>
      <xdr:row>31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3E6D64-8BA6-C90B-3EEC-58C486ED1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180975</xdr:colOff>
      <xdr:row>19</xdr:row>
      <xdr:rowOff>44450</xdr:rowOff>
    </xdr:from>
    <xdr:to>
      <xdr:col>15</xdr:col>
      <xdr:colOff>19050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D31753-5C08-D063-6705-104C20FFD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3175</xdr:colOff>
      <xdr:row>19</xdr:row>
      <xdr:rowOff>50800</xdr:rowOff>
    </xdr:from>
    <xdr:to>
      <xdr:col>20</xdr:col>
      <xdr:colOff>0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41E81A-977B-4DC4-CC03-8991B3DBF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A1"/>
  <sheetViews>
    <sheetView topLeftCell="C1" workbookViewId="0">
      <selection activeCell="F22" sqref="F22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sheetPr>
    <pageSetUpPr fitToPage="1"/>
  </sheetPr>
  <dimension ref="A2:M76"/>
  <sheetViews>
    <sheetView showGridLines="0" zoomScale="86" zoomScaleNormal="86" workbookViewId="0">
      <pane ySplit="3" topLeftCell="A4" activePane="bottomLeft" state="frozen"/>
      <selection pane="bottomLeft" activeCell="F62" sqref="F62"/>
    </sheetView>
  </sheetViews>
  <sheetFormatPr defaultRowHeight="14.5" x14ac:dyDescent="0.35"/>
  <cols>
    <col min="1" max="1" width="1.81640625" customWidth="1"/>
    <col min="2" max="2" width="28.453125" bestFit="1" customWidth="1"/>
    <col min="3" max="13" width="13" customWidth="1"/>
  </cols>
  <sheetData>
    <row r="2" spans="1:13" x14ac:dyDescent="0.35">
      <c r="B2" s="143" t="str">
        <f>"Historical Financial Statement - "&amp;'Data Sheet'!B1</f>
        <v>Historical Financial Statement - BRITANNIA INDUSTRIES LTD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1:13" x14ac:dyDescent="0.35">
      <c r="B3" s="94" t="s">
        <v>56</v>
      </c>
      <c r="C3" s="103">
        <f>'Data Sheet'!B16</f>
        <v>41729</v>
      </c>
      <c r="D3" s="103">
        <f>'Data Sheet'!C16</f>
        <v>42094</v>
      </c>
      <c r="E3" s="103">
        <f>'Data Sheet'!D16</f>
        <v>42460</v>
      </c>
      <c r="F3" s="103">
        <f>'Data Sheet'!E16</f>
        <v>42825</v>
      </c>
      <c r="G3" s="103">
        <f>'Data Sheet'!F16</f>
        <v>43190</v>
      </c>
      <c r="H3" s="103">
        <f>'Data Sheet'!G16</f>
        <v>43555</v>
      </c>
      <c r="I3" s="103">
        <f>'Data Sheet'!H16</f>
        <v>43921</v>
      </c>
      <c r="J3" s="103">
        <f>'Data Sheet'!I16</f>
        <v>44286</v>
      </c>
      <c r="K3" s="103">
        <f>'Data Sheet'!J16</f>
        <v>44651</v>
      </c>
      <c r="L3" s="103">
        <f>'Data Sheet'!K16</f>
        <v>45016</v>
      </c>
      <c r="M3" s="154" t="s">
        <v>57</v>
      </c>
    </row>
    <row r="4" spans="1:13" x14ac:dyDescent="0.3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</row>
    <row r="5" spans="1:13" x14ac:dyDescent="0.35">
      <c r="A5" t="s">
        <v>59</v>
      </c>
      <c r="B5" s="24" t="s">
        <v>58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35">
      <c r="B6" t="s">
        <v>12</v>
      </c>
      <c r="C6" s="14">
        <f>IFERROR('Data Sheet'!B17,0)</f>
        <v>6912.71</v>
      </c>
      <c r="D6" s="14">
        <f>IFERROR('Data Sheet'!C17,0)</f>
        <v>7858.42</v>
      </c>
      <c r="E6" s="14">
        <f>IFERROR('Data Sheet'!D17,0)</f>
        <v>8397.23</v>
      </c>
      <c r="F6" s="14">
        <f>IFERROR('Data Sheet'!E17,0)</f>
        <v>9054.09</v>
      </c>
      <c r="G6" s="14">
        <f>IFERROR('Data Sheet'!F17,0)</f>
        <v>9913.99</v>
      </c>
      <c r="H6" s="14">
        <f>IFERROR('Data Sheet'!G17,0)</f>
        <v>11054.67</v>
      </c>
      <c r="I6" s="14">
        <f>IFERROR('Data Sheet'!H17,0)</f>
        <v>11599.55</v>
      </c>
      <c r="J6" s="14">
        <f>IFERROR('Data Sheet'!I17,0)</f>
        <v>13136.14</v>
      </c>
      <c r="K6" s="14">
        <f>IFERROR('Data Sheet'!J17,0)</f>
        <v>14136.26</v>
      </c>
      <c r="L6" s="14">
        <f>IFERROR('Data Sheet'!K17,0)</f>
        <v>16300.55</v>
      </c>
      <c r="M6" s="14">
        <f>IFERROR(SUM('Data Sheet'!H42:K42),0)</f>
        <v>16300.55</v>
      </c>
    </row>
    <row r="7" spans="1:13" x14ac:dyDescent="0.35">
      <c r="B7" s="17" t="s">
        <v>60</v>
      </c>
      <c r="C7" s="18" t="s">
        <v>61</v>
      </c>
      <c r="D7" s="19">
        <f>IFERROR(D6/C6-1,0)</f>
        <v>0.13680741706219424</v>
      </c>
      <c r="E7" s="19">
        <f t="shared" ref="E7:M7" si="0">IFERROR(E6/D6-1,0)</f>
        <v>6.8564673305829826E-2</v>
      </c>
      <c r="F7" s="19">
        <f t="shared" si="0"/>
        <v>7.8223414149666048E-2</v>
      </c>
      <c r="G7" s="19">
        <f t="shared" si="0"/>
        <v>9.4973652791169538E-2</v>
      </c>
      <c r="H7" s="19">
        <f t="shared" si="0"/>
        <v>0.11505761050797925</v>
      </c>
      <c r="I7" s="19">
        <f t="shared" si="0"/>
        <v>4.9289576260530543E-2</v>
      </c>
      <c r="J7" s="19">
        <f t="shared" si="0"/>
        <v>0.13246979408683957</v>
      </c>
      <c r="K7" s="19">
        <f t="shared" si="0"/>
        <v>7.613499856122119E-2</v>
      </c>
      <c r="L7" s="19">
        <f t="shared" si="0"/>
        <v>0.15310202274151719</v>
      </c>
      <c r="M7" s="19">
        <f t="shared" si="0"/>
        <v>0</v>
      </c>
    </row>
    <row r="9" spans="1:13" x14ac:dyDescent="0.35">
      <c r="B9" t="s">
        <v>62</v>
      </c>
      <c r="C9" s="14">
        <f>IFERROR(SUM('Data Sheet'!B18,'Data Sheet'!B20:B22)-1*'Data Sheet'!B19,0)</f>
        <v>5054.3499999999995</v>
      </c>
      <c r="D9" s="14">
        <f>IFERROR(SUM('Data Sheet'!C18,'Data Sheet'!C20:C22)-1*'Data Sheet'!C19,0)</f>
        <v>5652.89</v>
      </c>
      <c r="E9" s="14">
        <f>IFERROR(SUM('Data Sheet'!D18,'Data Sheet'!D20:D22)-1*'Data Sheet'!D19,0)</f>
        <v>5959.3899999999985</v>
      </c>
      <c r="F9" s="14">
        <f>IFERROR(SUM('Data Sheet'!E18,'Data Sheet'!E20:E22)-1*'Data Sheet'!E19,0)</f>
        <v>6555.5</v>
      </c>
      <c r="G9" s="14">
        <f>IFERROR(SUM('Data Sheet'!F18,'Data Sheet'!F20:F22)-1*'Data Sheet'!F19,0)</f>
        <v>7125.1200000000008</v>
      </c>
      <c r="H9" s="14">
        <f>IFERROR(SUM('Data Sheet'!G18,'Data Sheet'!G20:G22)-1*'Data Sheet'!G19,0)</f>
        <v>7799.7699999999995</v>
      </c>
      <c r="I9" s="14">
        <f>IFERROR(SUM('Data Sheet'!H18,'Data Sheet'!H20:H22)-1*'Data Sheet'!H19,0)</f>
        <v>8202.5399999999991</v>
      </c>
      <c r="J9" s="14">
        <f>IFERROR(SUM('Data Sheet'!I18,'Data Sheet'!I20:I22)-1*'Data Sheet'!I19,0)</f>
        <v>9007.98</v>
      </c>
      <c r="K9" s="14">
        <f>IFERROR(SUM('Data Sheet'!J18,'Data Sheet'!J20:J22)-1*'Data Sheet'!J19,0)</f>
        <v>10272.529999999999</v>
      </c>
      <c r="L9" s="14">
        <f>IFERROR(SUM('Data Sheet'!K18,'Data Sheet'!K20:K22)-1*'Data Sheet'!K19,0)</f>
        <v>10249.679999999998</v>
      </c>
      <c r="M9" s="14">
        <f>IFERROR(SUM('Data Sheet'!H43:K43),0)</f>
        <v>13469.79</v>
      </c>
    </row>
    <row r="10" spans="1:13" x14ac:dyDescent="0.35">
      <c r="B10" s="17" t="s">
        <v>63</v>
      </c>
      <c r="C10" s="19">
        <f>C9/C6</f>
        <v>0.73116766072929418</v>
      </c>
      <c r="D10" s="19">
        <f t="shared" ref="D10:M10" si="1">D9/D6</f>
        <v>0.71934180153262361</v>
      </c>
      <c r="E10" s="19">
        <f t="shared" si="1"/>
        <v>0.70968521762533587</v>
      </c>
      <c r="F10" s="19">
        <f t="shared" si="1"/>
        <v>0.72403742397082427</v>
      </c>
      <c r="G10" s="19">
        <f t="shared" si="1"/>
        <v>0.71869348264422306</v>
      </c>
      <c r="H10" s="19">
        <f t="shared" si="1"/>
        <v>0.70556335014975569</v>
      </c>
      <c r="I10" s="19">
        <f t="shared" si="1"/>
        <v>0.70714294951097234</v>
      </c>
      <c r="J10" s="19">
        <f t="shared" si="1"/>
        <v>0.6857402555088481</v>
      </c>
      <c r="K10" s="19">
        <f t="shared" si="1"/>
        <v>0.72667947533506028</v>
      </c>
      <c r="L10" s="19">
        <f t="shared" si="1"/>
        <v>0.6287935069675562</v>
      </c>
      <c r="M10" s="19">
        <f t="shared" si="1"/>
        <v>0.82633960203796808</v>
      </c>
    </row>
    <row r="12" spans="1:13" x14ac:dyDescent="0.35">
      <c r="B12" s="27" t="s">
        <v>64</v>
      </c>
      <c r="C12" s="28">
        <f>C6-C9</f>
        <v>1858.3600000000006</v>
      </c>
      <c r="D12" s="28">
        <f t="shared" ref="D12:M12" si="2">D6-D9</f>
        <v>2205.5299999999997</v>
      </c>
      <c r="E12" s="28">
        <f t="shared" si="2"/>
        <v>2437.8400000000011</v>
      </c>
      <c r="F12" s="28">
        <f t="shared" si="2"/>
        <v>2498.59</v>
      </c>
      <c r="G12" s="28">
        <f t="shared" si="2"/>
        <v>2788.869999999999</v>
      </c>
      <c r="H12" s="28">
        <f t="shared" si="2"/>
        <v>3254.9000000000005</v>
      </c>
      <c r="I12" s="28">
        <f t="shared" si="2"/>
        <v>3397.01</v>
      </c>
      <c r="J12" s="28">
        <f t="shared" si="2"/>
        <v>4128.16</v>
      </c>
      <c r="K12" s="28">
        <f t="shared" si="2"/>
        <v>3863.7300000000014</v>
      </c>
      <c r="L12" s="28">
        <f t="shared" si="2"/>
        <v>6050.8700000000008</v>
      </c>
      <c r="M12" s="28">
        <f t="shared" si="2"/>
        <v>2830.7599999999984</v>
      </c>
    </row>
    <row r="13" spans="1:13" x14ac:dyDescent="0.35">
      <c r="B13" s="17" t="s">
        <v>70</v>
      </c>
      <c r="C13" s="19">
        <f>C12/C6</f>
        <v>0.26883233927070577</v>
      </c>
      <c r="D13" s="19">
        <f t="shared" ref="D13:M13" si="3">D12/D6</f>
        <v>0.28065819846737639</v>
      </c>
      <c r="E13" s="19">
        <f t="shared" si="3"/>
        <v>0.29031478237466418</v>
      </c>
      <c r="F13" s="19">
        <f t="shared" si="3"/>
        <v>0.27596257602917579</v>
      </c>
      <c r="G13" s="19">
        <f t="shared" si="3"/>
        <v>0.28130651735577694</v>
      </c>
      <c r="H13" s="19">
        <f t="shared" si="3"/>
        <v>0.29443664985024431</v>
      </c>
      <c r="I13" s="19">
        <f t="shared" si="3"/>
        <v>0.2928570504890276</v>
      </c>
      <c r="J13" s="19">
        <f t="shared" si="3"/>
        <v>0.3142597444911519</v>
      </c>
      <c r="K13" s="19">
        <f t="shared" si="3"/>
        <v>0.27332052466493978</v>
      </c>
      <c r="L13" s="19">
        <f t="shared" si="3"/>
        <v>0.37120649303244374</v>
      </c>
      <c r="M13" s="19">
        <f t="shared" si="3"/>
        <v>0.17366039796203186</v>
      </c>
    </row>
    <row r="15" spans="1:13" x14ac:dyDescent="0.35">
      <c r="B15" t="s">
        <v>65</v>
      </c>
      <c r="C15" s="20">
        <f>IFERROR(SUM('Data Sheet'!B23:B24),0)</f>
        <v>1231.1600000000001</v>
      </c>
      <c r="D15" s="20">
        <f>IFERROR(SUM('Data Sheet'!C23:C24),0)</f>
        <v>1335.21</v>
      </c>
      <c r="E15" s="20">
        <f>IFERROR(SUM('Data Sheet'!D23:D24),0)</f>
        <v>1214.27</v>
      </c>
      <c r="F15" s="20">
        <f>IFERROR(SUM('Data Sheet'!E23:E24),0)</f>
        <v>1220.4099999999999</v>
      </c>
      <c r="G15" s="20">
        <f>IFERROR(SUM('Data Sheet'!F23:F24),0)</f>
        <v>1287.4000000000001</v>
      </c>
      <c r="H15" s="20">
        <f>IFERROR(SUM('Data Sheet'!G23:G24),0)</f>
        <v>1522.45</v>
      </c>
      <c r="I15" s="20">
        <f>IFERROR(SUM('Data Sheet'!H23:H24),0)</f>
        <v>1553.83</v>
      </c>
      <c r="J15" s="20">
        <f>IFERROR(SUM('Data Sheet'!I23:I24),0)</f>
        <v>1618.87</v>
      </c>
      <c r="K15" s="20">
        <f>IFERROR(SUM('Data Sheet'!J23:J24),0)</f>
        <v>1662.42</v>
      </c>
      <c r="L15" s="20">
        <f>IFERROR(SUM('Data Sheet'!K23:K24),0)</f>
        <v>3219.96</v>
      </c>
      <c r="M15" s="20"/>
    </row>
    <row r="16" spans="1:13" x14ac:dyDescent="0.35">
      <c r="B16" s="17" t="s">
        <v>66</v>
      </c>
      <c r="C16" s="19">
        <f>C15/C6</f>
        <v>0.1781009184531103</v>
      </c>
      <c r="D16" s="19">
        <f t="shared" ref="D16:M16" si="4">D15/D6</f>
        <v>0.16990820037615703</v>
      </c>
      <c r="E16" s="19">
        <f t="shared" si="4"/>
        <v>0.14460363715177504</v>
      </c>
      <c r="F16" s="19">
        <f t="shared" si="4"/>
        <v>0.13479101709835001</v>
      </c>
      <c r="G16" s="19">
        <f t="shared" si="4"/>
        <v>0.12985689918993262</v>
      </c>
      <c r="H16" s="19">
        <f t="shared" si="4"/>
        <v>0.13772007667347827</v>
      </c>
      <c r="I16" s="19">
        <f t="shared" si="4"/>
        <v>0.13395605864020588</v>
      </c>
      <c r="J16" s="19">
        <f t="shared" si="4"/>
        <v>0.12323787657561505</v>
      </c>
      <c r="K16" s="19">
        <f t="shared" si="4"/>
        <v>0.11759970458947416</v>
      </c>
      <c r="L16" s="19">
        <f t="shared" si="4"/>
        <v>0.19753689292692578</v>
      </c>
      <c r="M16" s="19">
        <f t="shared" si="4"/>
        <v>0</v>
      </c>
    </row>
    <row r="18" spans="2:13" x14ac:dyDescent="0.35">
      <c r="B18" s="27" t="s">
        <v>28</v>
      </c>
      <c r="C18" s="28">
        <f t="shared" ref="C18:L18" si="5">C12-C15</f>
        <v>627.2000000000005</v>
      </c>
      <c r="D18" s="28">
        <f t="shared" si="5"/>
        <v>870.31999999999971</v>
      </c>
      <c r="E18" s="28">
        <f t="shared" si="5"/>
        <v>1223.5700000000011</v>
      </c>
      <c r="F18" s="28">
        <f t="shared" si="5"/>
        <v>1278.1800000000003</v>
      </c>
      <c r="G18" s="28">
        <f t="shared" si="5"/>
        <v>1501.4699999999989</v>
      </c>
      <c r="H18" s="28">
        <f t="shared" si="5"/>
        <v>1732.4500000000005</v>
      </c>
      <c r="I18" s="28">
        <f t="shared" si="5"/>
        <v>1843.1800000000003</v>
      </c>
      <c r="J18" s="28">
        <f t="shared" si="5"/>
        <v>2509.29</v>
      </c>
      <c r="K18" s="28">
        <f t="shared" si="5"/>
        <v>2201.3100000000013</v>
      </c>
      <c r="L18" s="28">
        <f t="shared" si="5"/>
        <v>2830.9100000000008</v>
      </c>
      <c r="M18" s="28">
        <f>IFERROR(SUM('Data Sheet'!H51:K51),0)</f>
        <v>3433.23</v>
      </c>
    </row>
    <row r="19" spans="2:13" x14ac:dyDescent="0.35">
      <c r="B19" s="17" t="s">
        <v>67</v>
      </c>
      <c r="C19" s="19">
        <f>C18/C6</f>
        <v>9.0731420817595484E-2</v>
      </c>
      <c r="D19" s="19">
        <f t="shared" ref="D19:M19" si="6">D18/D6</f>
        <v>0.11074999809121931</v>
      </c>
      <c r="E19" s="19">
        <f t="shared" si="6"/>
        <v>0.14571114522288911</v>
      </c>
      <c r="F19" s="19">
        <f t="shared" si="6"/>
        <v>0.14117155893082578</v>
      </c>
      <c r="G19" s="19">
        <f t="shared" si="6"/>
        <v>0.15144961816584432</v>
      </c>
      <c r="H19" s="19">
        <f t="shared" si="6"/>
        <v>0.15671657317676607</v>
      </c>
      <c r="I19" s="19">
        <f t="shared" si="6"/>
        <v>0.15890099184882175</v>
      </c>
      <c r="J19" s="19">
        <f t="shared" si="6"/>
        <v>0.19102186791553682</v>
      </c>
      <c r="K19" s="19">
        <f t="shared" si="6"/>
        <v>0.15572082007546559</v>
      </c>
      <c r="L19" s="19">
        <f t="shared" si="6"/>
        <v>0.17366960010551796</v>
      </c>
      <c r="M19" s="19">
        <f t="shared" si="6"/>
        <v>0.21062050053525802</v>
      </c>
    </row>
    <row r="21" spans="2:13" x14ac:dyDescent="0.35">
      <c r="B21" t="s">
        <v>22</v>
      </c>
      <c r="C21" s="20">
        <f>IFERROR('Data Sheet'!B27,0)</f>
        <v>8.2899999999999991</v>
      </c>
      <c r="D21" s="20">
        <f>IFERROR('Data Sheet'!C27,0)</f>
        <v>3.86</v>
      </c>
      <c r="E21" s="20">
        <f>IFERROR('Data Sheet'!D27,0)</f>
        <v>4.87</v>
      </c>
      <c r="F21" s="20">
        <f>IFERROR('Data Sheet'!E27,0)</f>
        <v>5.45</v>
      </c>
      <c r="G21" s="20">
        <f>IFERROR('Data Sheet'!F27,0)</f>
        <v>7.59</v>
      </c>
      <c r="H21" s="20">
        <f>IFERROR('Data Sheet'!G27,0)</f>
        <v>9.09</v>
      </c>
      <c r="I21" s="20">
        <f>IFERROR('Data Sheet'!H27,0)</f>
        <v>76.900000000000006</v>
      </c>
      <c r="J21" s="20">
        <f>IFERROR('Data Sheet'!I27,0)</f>
        <v>110.9</v>
      </c>
      <c r="K21" s="20">
        <f>IFERROR('Data Sheet'!J27,0)</f>
        <v>144.29</v>
      </c>
      <c r="L21" s="20">
        <f>IFERROR('Data Sheet'!K27,0)</f>
        <v>169.1</v>
      </c>
      <c r="M21" s="20">
        <f>IFERROR(SUM('Data Sheet'!H46:K46),0)</f>
        <v>169.10000000000002</v>
      </c>
    </row>
    <row r="22" spans="2:13" x14ac:dyDescent="0.35">
      <c r="B22" s="17" t="s">
        <v>68</v>
      </c>
      <c r="C22" s="19">
        <f>C21/C6</f>
        <v>1.1992402400795056E-3</v>
      </c>
      <c r="D22" s="19">
        <f t="shared" ref="D22:M22" si="7">D21/D6</f>
        <v>4.9119288610178634E-4</v>
      </c>
      <c r="E22" s="19">
        <f t="shared" si="7"/>
        <v>5.7995315121772304E-4</v>
      </c>
      <c r="F22" s="19">
        <f t="shared" si="7"/>
        <v>6.019379087241236E-4</v>
      </c>
      <c r="G22" s="19">
        <f t="shared" si="7"/>
        <v>7.6558479482024893E-4</v>
      </c>
      <c r="H22" s="19">
        <f t="shared" si="7"/>
        <v>8.222769200708841E-4</v>
      </c>
      <c r="I22" s="19">
        <f t="shared" si="7"/>
        <v>6.6295675263264532E-3</v>
      </c>
      <c r="J22" s="19">
        <f t="shared" si="7"/>
        <v>8.4423582574485352E-3</v>
      </c>
      <c r="K22" s="19">
        <f t="shared" si="7"/>
        <v>1.0207084476374939E-2</v>
      </c>
      <c r="L22" s="19">
        <f t="shared" si="7"/>
        <v>1.0373883089834392E-2</v>
      </c>
      <c r="M22" s="19">
        <f t="shared" si="7"/>
        <v>1.0373883089834394E-2</v>
      </c>
    </row>
    <row r="24" spans="2:13" x14ac:dyDescent="0.35">
      <c r="B24" t="s">
        <v>21</v>
      </c>
      <c r="C24" s="20">
        <f>IFERROR('Data Sheet'!B26,0)</f>
        <v>83.18</v>
      </c>
      <c r="D24" s="20">
        <f>IFERROR('Data Sheet'!C26,0)</f>
        <v>144.47999999999999</v>
      </c>
      <c r="E24" s="20">
        <f>IFERROR('Data Sheet'!D26,0)</f>
        <v>113.41</v>
      </c>
      <c r="F24" s="20">
        <f>IFERROR('Data Sheet'!E26,0)</f>
        <v>119.27</v>
      </c>
      <c r="G24" s="20">
        <f>IFERROR('Data Sheet'!F26,0)</f>
        <v>142.07</v>
      </c>
      <c r="H24" s="20">
        <f>IFERROR('Data Sheet'!G26,0)</f>
        <v>161.88</v>
      </c>
      <c r="I24" s="20">
        <f>IFERROR('Data Sheet'!H26,0)</f>
        <v>184.81</v>
      </c>
      <c r="J24" s="20">
        <f>IFERROR('Data Sheet'!I26,0)</f>
        <v>197.85</v>
      </c>
      <c r="K24" s="20">
        <f>IFERROR('Data Sheet'!J26,0)</f>
        <v>200.54</v>
      </c>
      <c r="L24" s="20">
        <f>IFERROR('Data Sheet'!K26,0)</f>
        <v>225.91</v>
      </c>
      <c r="M24" s="20">
        <f>IFERROR(SUM('Data Sheet'!H45:K45),0)</f>
        <v>225.91000000000003</v>
      </c>
    </row>
    <row r="25" spans="2:13" x14ac:dyDescent="0.35">
      <c r="B25" s="17" t="s">
        <v>69</v>
      </c>
      <c r="C25" s="19">
        <f>C24/C6</f>
        <v>1.2032907499374341E-2</v>
      </c>
      <c r="D25" s="19">
        <f t="shared" ref="D25:M25" si="8">D24/D6</f>
        <v>1.838537517719847E-2</v>
      </c>
      <c r="E25" s="19">
        <f t="shared" si="8"/>
        <v>1.3505644123121554E-2</v>
      </c>
      <c r="F25" s="19">
        <f t="shared" si="8"/>
        <v>1.3173052178628663E-2</v>
      </c>
      <c r="G25" s="19">
        <f t="shared" si="8"/>
        <v>1.4330254519118941E-2</v>
      </c>
      <c r="H25" s="19">
        <f t="shared" si="8"/>
        <v>1.4643585018820101E-2</v>
      </c>
      <c r="I25" s="19">
        <f t="shared" si="8"/>
        <v>1.5932514623412115E-2</v>
      </c>
      <c r="J25" s="19">
        <f t="shared" si="8"/>
        <v>1.50615020850874E-2</v>
      </c>
      <c r="K25" s="19">
        <f t="shared" si="8"/>
        <v>1.4186213326580014E-2</v>
      </c>
      <c r="L25" s="19">
        <f t="shared" si="8"/>
        <v>1.3859041566082126E-2</v>
      </c>
      <c r="M25" s="19">
        <f t="shared" si="8"/>
        <v>1.3859041566082128E-2</v>
      </c>
    </row>
    <row r="27" spans="2:13" x14ac:dyDescent="0.35">
      <c r="B27" s="27" t="s">
        <v>71</v>
      </c>
      <c r="C27" s="28">
        <f>IFERROR(C18-SUM(C24,C21),0)</f>
        <v>535.73000000000047</v>
      </c>
      <c r="D27" s="28">
        <f t="shared" ref="D27:M27" si="9">IFERROR(D18-SUM(D24,D21),0)</f>
        <v>721.97999999999968</v>
      </c>
      <c r="E27" s="28">
        <f t="shared" si="9"/>
        <v>1105.2900000000011</v>
      </c>
      <c r="F27" s="28">
        <f t="shared" si="9"/>
        <v>1153.4600000000003</v>
      </c>
      <c r="G27" s="28">
        <f t="shared" si="9"/>
        <v>1351.8099999999988</v>
      </c>
      <c r="H27" s="28">
        <f t="shared" si="9"/>
        <v>1561.4800000000005</v>
      </c>
      <c r="I27" s="29">
        <f t="shared" si="9"/>
        <v>1581.4700000000003</v>
      </c>
      <c r="J27" s="29">
        <f t="shared" si="9"/>
        <v>2200.54</v>
      </c>
      <c r="K27" s="29">
        <f t="shared" si="9"/>
        <v>1856.4800000000014</v>
      </c>
      <c r="L27" s="29">
        <f t="shared" si="9"/>
        <v>2435.9000000000005</v>
      </c>
      <c r="M27" s="29">
        <f t="shared" si="9"/>
        <v>3038.22</v>
      </c>
    </row>
    <row r="28" spans="2:13" x14ac:dyDescent="0.35">
      <c r="B28" s="17" t="s">
        <v>72</v>
      </c>
      <c r="C28" s="19">
        <f>C27/C6</f>
        <v>7.7499273078141639E-2</v>
      </c>
      <c r="D28" s="19">
        <f t="shared" ref="D28:M28" si="10">D27/D6</f>
        <v>9.1873430027919062E-2</v>
      </c>
      <c r="E28" s="19">
        <f t="shared" si="10"/>
        <v>0.13162554794854983</v>
      </c>
      <c r="F28" s="19">
        <f t="shared" si="10"/>
        <v>0.12739656884347297</v>
      </c>
      <c r="G28" s="19">
        <f t="shared" si="10"/>
        <v>0.13635377885190511</v>
      </c>
      <c r="H28" s="19">
        <f t="shared" si="10"/>
        <v>0.14125071123787508</v>
      </c>
      <c r="I28" s="19">
        <f t="shared" si="10"/>
        <v>0.13633890969908319</v>
      </c>
      <c r="J28" s="19">
        <f t="shared" si="10"/>
        <v>0.16751800757300089</v>
      </c>
      <c r="K28" s="19">
        <f t="shared" si="10"/>
        <v>0.13132752227251066</v>
      </c>
      <c r="L28" s="19">
        <f t="shared" si="10"/>
        <v>0.14943667544960143</v>
      </c>
      <c r="M28" s="19">
        <f t="shared" si="10"/>
        <v>0.18638757587934149</v>
      </c>
    </row>
    <row r="30" spans="2:13" x14ac:dyDescent="0.35">
      <c r="B30" t="s">
        <v>24</v>
      </c>
      <c r="C30" s="14">
        <f>IFERROR('Data Sheet'!B29,0)</f>
        <v>173.58</v>
      </c>
      <c r="D30" s="14">
        <f>IFERROR('Data Sheet'!C29,0)</f>
        <v>261.11</v>
      </c>
      <c r="E30" s="14">
        <f>IFERROR('Data Sheet'!D29,0)</f>
        <v>396.1</v>
      </c>
      <c r="F30" s="14">
        <f>IFERROR('Data Sheet'!E29,0)</f>
        <v>419.67</v>
      </c>
      <c r="G30" s="14">
        <f>IFERROR('Data Sheet'!F29,0)</f>
        <v>514.22</v>
      </c>
      <c r="H30" s="14">
        <f>IFERROR('Data Sheet'!G29,0)</f>
        <v>612.47</v>
      </c>
      <c r="I30" s="14">
        <f>IFERROR('Data Sheet'!H29,0)</f>
        <v>450.7</v>
      </c>
      <c r="J30" s="14">
        <f>IFERROR('Data Sheet'!I29,0)</f>
        <v>663.02</v>
      </c>
      <c r="K30" s="14">
        <f>IFERROR('Data Sheet'!J29,0)</f>
        <v>562.35</v>
      </c>
      <c r="L30" s="14">
        <f>IFERROR('Data Sheet'!K29,0)</f>
        <v>716.45</v>
      </c>
      <c r="M30" s="14">
        <f>IFERROR(SUM('Data Sheet'!H48:K48),0)</f>
        <v>716.45</v>
      </c>
    </row>
    <row r="31" spans="2:13" x14ac:dyDescent="0.35">
      <c r="B31" s="17" t="s">
        <v>27</v>
      </c>
      <c r="C31" s="19">
        <f>C30/C27</f>
        <v>0.32400649580945601</v>
      </c>
      <c r="D31" s="19">
        <f t="shared" ref="D31:M31" si="11">D30/D27</f>
        <v>0.36165821767916029</v>
      </c>
      <c r="E31" s="19">
        <f t="shared" si="11"/>
        <v>0.3583674872657851</v>
      </c>
      <c r="F31" s="19">
        <f t="shared" si="11"/>
        <v>0.36383576370225229</v>
      </c>
      <c r="G31" s="19">
        <f t="shared" si="11"/>
        <v>0.38039369438012777</v>
      </c>
      <c r="H31" s="19">
        <f t="shared" si="11"/>
        <v>0.39223685221712723</v>
      </c>
      <c r="I31" s="19">
        <f t="shared" si="11"/>
        <v>0.2849880174774102</v>
      </c>
      <c r="J31" s="19">
        <f t="shared" si="11"/>
        <v>0.30129877211957062</v>
      </c>
      <c r="K31" s="19">
        <f t="shared" si="11"/>
        <v>0.30291196242351093</v>
      </c>
      <c r="L31" s="19">
        <f t="shared" si="11"/>
        <v>0.29412126934603222</v>
      </c>
      <c r="M31" s="19">
        <f t="shared" si="11"/>
        <v>0.23581241648070256</v>
      </c>
    </row>
    <row r="33" spans="1:13" x14ac:dyDescent="0.35">
      <c r="B33" s="27" t="s">
        <v>73</v>
      </c>
      <c r="C33" s="29">
        <f>IFERROR(C27-C30,0)</f>
        <v>362.15000000000043</v>
      </c>
      <c r="D33" s="29">
        <f t="shared" ref="D33:M33" si="12">IFERROR(D27-D30,0)</f>
        <v>460.86999999999966</v>
      </c>
      <c r="E33" s="29">
        <f t="shared" si="12"/>
        <v>709.19000000000108</v>
      </c>
      <c r="F33" s="29">
        <f t="shared" si="12"/>
        <v>733.79000000000019</v>
      </c>
      <c r="G33" s="29">
        <f t="shared" si="12"/>
        <v>837.58999999999878</v>
      </c>
      <c r="H33" s="29">
        <f t="shared" si="12"/>
        <v>949.01000000000045</v>
      </c>
      <c r="I33" s="29">
        <f t="shared" si="12"/>
        <v>1130.7700000000002</v>
      </c>
      <c r="J33" s="29">
        <f t="shared" si="12"/>
        <v>1537.52</v>
      </c>
      <c r="K33" s="29">
        <f t="shared" si="12"/>
        <v>1294.1300000000015</v>
      </c>
      <c r="L33" s="29">
        <f t="shared" si="12"/>
        <v>1719.4500000000005</v>
      </c>
      <c r="M33" s="29">
        <f t="shared" si="12"/>
        <v>2321.7699999999995</v>
      </c>
    </row>
    <row r="34" spans="1:13" x14ac:dyDescent="0.35">
      <c r="B34" s="17" t="s">
        <v>74</v>
      </c>
      <c r="C34" s="19">
        <f>C33/C6</f>
        <v>5.238900518031285E-2</v>
      </c>
      <c r="D34" s="19">
        <f t="shared" ref="D34:M34" si="13">D33/D6</f>
        <v>5.8646649071950809E-2</v>
      </c>
      <c r="E34" s="19">
        <f t="shared" si="13"/>
        <v>8.4455231070245912E-2</v>
      </c>
      <c r="F34" s="19">
        <f t="shared" si="13"/>
        <v>8.1045140925261425E-2</v>
      </c>
      <c r="G34" s="19">
        <f t="shared" si="13"/>
        <v>8.4485661171738002E-2</v>
      </c>
      <c r="H34" s="19">
        <f t="shared" si="13"/>
        <v>8.5846976888500556E-2</v>
      </c>
      <c r="I34" s="19">
        <f t="shared" si="13"/>
        <v>9.748395411890981E-2</v>
      </c>
      <c r="J34" s="19">
        <f t="shared" si="13"/>
        <v>0.1170450375833388</v>
      </c>
      <c r="K34" s="19">
        <f t="shared" si="13"/>
        <v>9.154684478072711E-2</v>
      </c>
      <c r="L34" s="19">
        <f t="shared" si="13"/>
        <v>0.10548417077951361</v>
      </c>
      <c r="M34" s="19">
        <f t="shared" si="13"/>
        <v>0.14243507120925367</v>
      </c>
    </row>
    <row r="36" spans="1:13" x14ac:dyDescent="0.35">
      <c r="B36" t="s">
        <v>75</v>
      </c>
      <c r="C36">
        <f>IFERROR('Data Sheet'!B93,0)</f>
        <v>23.99</v>
      </c>
      <c r="D36">
        <f>IFERROR('Data Sheet'!C93,0)</f>
        <v>23.99</v>
      </c>
      <c r="E36">
        <f>IFERROR('Data Sheet'!D93,0)</f>
        <v>24</v>
      </c>
      <c r="F36">
        <f>IFERROR('Data Sheet'!E93,0)</f>
        <v>24</v>
      </c>
      <c r="G36">
        <f>IFERROR('Data Sheet'!F93,0)</f>
        <v>24.01</v>
      </c>
      <c r="H36">
        <f>IFERROR('Data Sheet'!G93,0)</f>
        <v>24.03</v>
      </c>
      <c r="I36">
        <f>IFERROR('Data Sheet'!H93,0)</f>
        <v>24.05</v>
      </c>
      <c r="J36">
        <f>IFERROR('Data Sheet'!I93,0)</f>
        <v>24.09</v>
      </c>
      <c r="K36">
        <f>IFERROR('Data Sheet'!J93,0)</f>
        <v>24.09</v>
      </c>
      <c r="L36">
        <f>IFERROR('Data Sheet'!K93,0)</f>
        <v>24.09</v>
      </c>
      <c r="M36">
        <f>L36</f>
        <v>24.09</v>
      </c>
    </row>
    <row r="37" spans="1:13" x14ac:dyDescent="0.35"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35">
      <c r="B38" t="s">
        <v>77</v>
      </c>
      <c r="C38" s="20">
        <f>IFERROR(C33/C36,0)</f>
        <v>15.095873280533574</v>
      </c>
      <c r="D38" s="20">
        <f t="shared" ref="D38:M38" si="14">IFERROR(D33/D36,0)</f>
        <v>19.210921217173809</v>
      </c>
      <c r="E38" s="20">
        <f t="shared" si="14"/>
        <v>29.549583333333377</v>
      </c>
      <c r="F38" s="20">
        <f t="shared" si="14"/>
        <v>30.57458333333334</v>
      </c>
      <c r="G38" s="20">
        <f t="shared" si="14"/>
        <v>34.885047896709651</v>
      </c>
      <c r="H38" s="20">
        <f t="shared" si="14"/>
        <v>39.492717436537681</v>
      </c>
      <c r="I38" s="20">
        <f t="shared" si="14"/>
        <v>47.017463617463626</v>
      </c>
      <c r="J38" s="20">
        <f t="shared" si="14"/>
        <v>63.823993358239932</v>
      </c>
      <c r="K38" s="20">
        <f t="shared" si="14"/>
        <v>53.720630967206368</v>
      </c>
      <c r="L38" s="20">
        <f t="shared" si="14"/>
        <v>71.376089663760922</v>
      </c>
      <c r="M38" s="20">
        <f t="shared" si="14"/>
        <v>96.378995433789939</v>
      </c>
    </row>
    <row r="39" spans="1:13" x14ac:dyDescent="0.35">
      <c r="B39" s="17" t="s">
        <v>78</v>
      </c>
      <c r="C39" s="19"/>
      <c r="D39" s="19">
        <f>IFERROR(D38/C38-1,0)</f>
        <v>0.27259422891066998</v>
      </c>
      <c r="E39" s="19">
        <f t="shared" ref="E39:M39" si="15">IFERROR(E38/D38-1,0)</f>
        <v>0.53816586926176191</v>
      </c>
      <c r="F39" s="19">
        <f t="shared" si="15"/>
        <v>3.4687460342079035E-2</v>
      </c>
      <c r="G39" s="19">
        <f t="shared" si="15"/>
        <v>0.14098195603787378</v>
      </c>
      <c r="H39" s="19">
        <f t="shared" si="15"/>
        <v>0.13208150246692441</v>
      </c>
      <c r="I39" s="19">
        <f t="shared" si="15"/>
        <v>0.19053503200983157</v>
      </c>
      <c r="J39" s="19">
        <f t="shared" si="15"/>
        <v>0.35745292169554377</v>
      </c>
      <c r="K39" s="19">
        <f t="shared" si="15"/>
        <v>-0.15830037983245648</v>
      </c>
      <c r="L39" s="19">
        <f t="shared" si="15"/>
        <v>0.32865322649192796</v>
      </c>
      <c r="M39" s="19">
        <f t="shared" si="15"/>
        <v>0.35029806042629841</v>
      </c>
    </row>
    <row r="41" spans="1:13" x14ac:dyDescent="0.35">
      <c r="B41" t="s">
        <v>76</v>
      </c>
      <c r="C41" s="14">
        <f>IFERROR('Data Sheet'!B31/HistoricalFS!C36,0)</f>
        <v>6</v>
      </c>
      <c r="D41" s="14">
        <f>IFERROR('Data Sheet'!C31/HistoricalFS!D36,0)</f>
        <v>8</v>
      </c>
      <c r="E41" s="14">
        <f>IFERROR('Data Sheet'!D31/HistoricalFS!E36,0)</f>
        <v>10</v>
      </c>
      <c r="F41" s="14">
        <f>IFERROR('Data Sheet'!E31/HistoricalFS!F36,0)</f>
        <v>11</v>
      </c>
      <c r="G41" s="14">
        <f>IFERROR('Data Sheet'!F31/HistoricalFS!G36,0)</f>
        <v>12.499791753436067</v>
      </c>
      <c r="H41" s="14">
        <f>IFERROR('Data Sheet'!G31/HistoricalFS!H36,0)</f>
        <v>14.999999999999998</v>
      </c>
      <c r="I41" s="14">
        <f>IFERROR('Data Sheet'!H31/HistoricalFS!I36,0)</f>
        <v>35</v>
      </c>
      <c r="J41" s="14">
        <f>IFERROR('Data Sheet'!I31/HistoricalFS!J36,0)</f>
        <v>157.50020755500208</v>
      </c>
      <c r="K41" s="14">
        <f>IFERROR('Data Sheet'!J31/HistoricalFS!K36,0)</f>
        <v>56.499792444997922</v>
      </c>
      <c r="L41" s="14">
        <f>IFERROR('Data Sheet'!K31/HistoricalFS!L36,0)</f>
        <v>72</v>
      </c>
      <c r="M41" s="14">
        <f>IFERROR('Data Sheet'!L31/HistoricalFS!M36,0)</f>
        <v>0</v>
      </c>
    </row>
    <row r="42" spans="1:13" x14ac:dyDescent="0.35">
      <c r="B42" s="17" t="s">
        <v>79</v>
      </c>
      <c r="C42" s="19">
        <f>IFERROR(C41/C38,0)</f>
        <v>0.3974596161811399</v>
      </c>
      <c r="D42" s="19">
        <f t="shared" ref="D42:M42" si="16">IFERROR(D41/D38,0)</f>
        <v>0.41642979582094763</v>
      </c>
      <c r="E42" s="19">
        <f t="shared" si="16"/>
        <v>0.33841424723980829</v>
      </c>
      <c r="F42" s="19">
        <f t="shared" si="16"/>
        <v>0.35977595769906912</v>
      </c>
      <c r="G42" s="19">
        <f t="shared" si="16"/>
        <v>0.35831373344954026</v>
      </c>
      <c r="H42" s="19">
        <f t="shared" si="16"/>
        <v>0.37981686178227814</v>
      </c>
      <c r="I42" s="19">
        <f t="shared" si="16"/>
        <v>0.74440425550730904</v>
      </c>
      <c r="J42" s="19">
        <f t="shared" si="16"/>
        <v>2.467727249076435</v>
      </c>
      <c r="K42" s="19">
        <f t="shared" si="16"/>
        <v>1.0517335970883903</v>
      </c>
      <c r="L42" s="19">
        <f t="shared" si="16"/>
        <v>1.0087411672337081</v>
      </c>
      <c r="M42" s="19">
        <f t="shared" si="16"/>
        <v>0</v>
      </c>
    </row>
    <row r="44" spans="1:13" x14ac:dyDescent="0.35">
      <c r="B44" t="s">
        <v>80</v>
      </c>
      <c r="C44" s="15">
        <f>IFERROR(IF(C38&gt;C41,1-C42,0),0)</f>
        <v>0.6025403838188601</v>
      </c>
      <c r="D44" s="15">
        <f t="shared" ref="D44:M44" si="17">IFERROR(IF(D38&gt;D41,1-D42,0),0)</f>
        <v>0.58357020417905237</v>
      </c>
      <c r="E44" s="15">
        <f t="shared" si="17"/>
        <v>0.66158575276019171</v>
      </c>
      <c r="F44" s="15">
        <f t="shared" si="17"/>
        <v>0.64022404230093088</v>
      </c>
      <c r="G44" s="15">
        <f t="shared" si="17"/>
        <v>0.64168626655045968</v>
      </c>
      <c r="H44" s="15">
        <f t="shared" si="17"/>
        <v>0.62018313821772186</v>
      </c>
      <c r="I44" s="15">
        <f t="shared" si="17"/>
        <v>0.25559574449269096</v>
      </c>
      <c r="J44" s="15">
        <f t="shared" si="17"/>
        <v>0</v>
      </c>
      <c r="K44" s="15">
        <f t="shared" si="17"/>
        <v>0</v>
      </c>
      <c r="L44" s="15">
        <f t="shared" si="17"/>
        <v>0</v>
      </c>
      <c r="M44" s="15">
        <f t="shared" si="17"/>
        <v>1</v>
      </c>
    </row>
    <row r="46" spans="1:13" x14ac:dyDescent="0.35">
      <c r="A46" t="s">
        <v>59</v>
      </c>
      <c r="B46" s="24" t="s">
        <v>81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x14ac:dyDescent="0.35">
      <c r="B47" t="s">
        <v>33</v>
      </c>
      <c r="C47" s="14">
        <f>IFERROR('Data Sheet'!B57,0)</f>
        <v>23.99</v>
      </c>
      <c r="D47" s="14">
        <f>IFERROR('Data Sheet'!C57,0)</f>
        <v>23.99</v>
      </c>
      <c r="E47" s="14">
        <f>IFERROR('Data Sheet'!D57,0)</f>
        <v>24</v>
      </c>
      <c r="F47" s="14">
        <f>IFERROR('Data Sheet'!E57,0)</f>
        <v>24</v>
      </c>
      <c r="G47" s="14">
        <f>IFERROR('Data Sheet'!F57,0)</f>
        <v>24.01</v>
      </c>
      <c r="H47" s="14">
        <f>IFERROR('Data Sheet'!G57,0)</f>
        <v>24.03</v>
      </c>
      <c r="I47" s="14">
        <f>IFERROR('Data Sheet'!H57,0)</f>
        <v>24.05</v>
      </c>
      <c r="J47" s="14">
        <f>IFERROR('Data Sheet'!I57,0)</f>
        <v>24.09</v>
      </c>
      <c r="K47" s="14">
        <f>IFERROR('Data Sheet'!J57,0)</f>
        <v>24.09</v>
      </c>
      <c r="L47" s="14">
        <f>IFERROR('Data Sheet'!K57,0)</f>
        <v>24.09</v>
      </c>
    </row>
    <row r="48" spans="1:13" x14ac:dyDescent="0.35">
      <c r="B48" t="s">
        <v>34</v>
      </c>
      <c r="C48" s="14">
        <f>IFERROR('Data Sheet'!B58,0)</f>
        <v>774.12</v>
      </c>
      <c r="D48" s="14">
        <f>IFERROR('Data Sheet'!C58,0)</f>
        <v>1221.1199999999999</v>
      </c>
      <c r="E48" s="14">
        <f>IFERROR('Data Sheet'!D58,0)</f>
        <v>2067.6799999999998</v>
      </c>
      <c r="F48" s="14">
        <f>IFERROR('Data Sheet'!E58,0)</f>
        <v>2672.42</v>
      </c>
      <c r="G48" s="14">
        <f>IFERROR('Data Sheet'!F58,0)</f>
        <v>3382.22</v>
      </c>
      <c r="H48" s="14">
        <f>IFERROR('Data Sheet'!G58,0)</f>
        <v>4229.22</v>
      </c>
      <c r="I48" s="14">
        <f>IFERROR('Data Sheet'!H58,0)</f>
        <v>4378.78</v>
      </c>
      <c r="J48" s="14">
        <f>IFERROR('Data Sheet'!I58,0)</f>
        <v>3523.57</v>
      </c>
      <c r="K48" s="14">
        <f>IFERROR('Data Sheet'!J58,0)</f>
        <v>2534.0100000000002</v>
      </c>
      <c r="L48" s="14">
        <f>IFERROR('Data Sheet'!K58,0)</f>
        <v>3510.18</v>
      </c>
    </row>
    <row r="49" spans="2:13" x14ac:dyDescent="0.35">
      <c r="B49" t="s">
        <v>35</v>
      </c>
      <c r="C49" s="14">
        <f>IFERROR('Data Sheet'!B59,0)</f>
        <v>149.76</v>
      </c>
      <c r="D49" s="14">
        <f>IFERROR('Data Sheet'!C59,0)</f>
        <v>145.07</v>
      </c>
      <c r="E49" s="14">
        <f>IFERROR('Data Sheet'!D59,0)</f>
        <v>131.05000000000001</v>
      </c>
      <c r="F49" s="14">
        <f>IFERROR('Data Sheet'!E59,0)</f>
        <v>124.56</v>
      </c>
      <c r="G49" s="14">
        <f>IFERROR('Data Sheet'!F59,0)</f>
        <v>200.7</v>
      </c>
      <c r="H49" s="14">
        <f>IFERROR('Data Sheet'!G59,0)</f>
        <v>156.02000000000001</v>
      </c>
      <c r="I49" s="14">
        <f>IFERROR('Data Sheet'!H59,0)</f>
        <v>1537.59</v>
      </c>
      <c r="J49" s="14">
        <f>IFERROR('Data Sheet'!I59,0)</f>
        <v>2121.5100000000002</v>
      </c>
      <c r="K49" s="14">
        <f>IFERROR('Data Sheet'!J59,0)</f>
        <v>2481.1999999999998</v>
      </c>
      <c r="L49" s="14">
        <f>IFERROR('Data Sheet'!K59,0)</f>
        <v>2997.37</v>
      </c>
    </row>
    <row r="50" spans="2:13" x14ac:dyDescent="0.35">
      <c r="B50" t="s">
        <v>36</v>
      </c>
      <c r="C50" s="14">
        <f>IFERROR('Data Sheet'!B60,0)</f>
        <v>1159</v>
      </c>
      <c r="D50" s="14">
        <f>IFERROR('Data Sheet'!C60,0)</f>
        <v>1403.17</v>
      </c>
      <c r="E50" s="14">
        <f>IFERROR('Data Sheet'!D60,0)</f>
        <v>1271.18</v>
      </c>
      <c r="F50" s="14">
        <f>IFERROR('Data Sheet'!E60,0)</f>
        <v>1287.82</v>
      </c>
      <c r="G50" s="14">
        <f>IFERROR('Data Sheet'!F60,0)</f>
        <v>1580.99</v>
      </c>
      <c r="H50" s="14">
        <f>IFERROR('Data Sheet'!G60,0)</f>
        <v>1828.68</v>
      </c>
      <c r="I50" s="14">
        <f>IFERROR('Data Sheet'!H60,0)</f>
        <v>1889.12</v>
      </c>
      <c r="J50" s="14">
        <f>IFERROR('Data Sheet'!I60,0)</f>
        <v>2330.92</v>
      </c>
      <c r="K50" s="14">
        <f>IFERROR('Data Sheet'!J60,0)</f>
        <v>2475.42</v>
      </c>
      <c r="L50" s="14">
        <f>IFERROR('Data Sheet'!K60,0)</f>
        <v>2821.08</v>
      </c>
    </row>
    <row r="51" spans="2:13" x14ac:dyDescent="0.35">
      <c r="B51" s="27" t="s">
        <v>82</v>
      </c>
      <c r="C51" s="29">
        <f>IFERROR('Data Sheet'!B61,0)</f>
        <v>2106.87</v>
      </c>
      <c r="D51" s="29">
        <f>IFERROR('Data Sheet'!C61,0)</f>
        <v>2793.35</v>
      </c>
      <c r="E51" s="29">
        <f>IFERROR('Data Sheet'!D61,0)</f>
        <v>3493.91</v>
      </c>
      <c r="F51" s="29">
        <f>IFERROR('Data Sheet'!E61,0)</f>
        <v>4108.8</v>
      </c>
      <c r="G51" s="29">
        <f>IFERROR('Data Sheet'!F61,0)</f>
        <v>5187.92</v>
      </c>
      <c r="H51" s="29">
        <f>IFERROR('Data Sheet'!G61,0)</f>
        <v>6237.95</v>
      </c>
      <c r="I51" s="29">
        <f>IFERROR('Data Sheet'!H61,0)</f>
        <v>7829.54</v>
      </c>
      <c r="J51" s="29">
        <f>IFERROR('Data Sheet'!I61,0)</f>
        <v>8000.09</v>
      </c>
      <c r="K51" s="29">
        <f>IFERROR('Data Sheet'!J61,0)</f>
        <v>7514.72</v>
      </c>
      <c r="L51" s="29">
        <f>IFERROR('Data Sheet'!K61,0)</f>
        <v>9352.7199999999993</v>
      </c>
      <c r="M51" s="13"/>
    </row>
    <row r="53" spans="2:13" x14ac:dyDescent="0.35">
      <c r="B53" t="s">
        <v>83</v>
      </c>
      <c r="C53" s="14">
        <f>IFERROR('Data Sheet'!B62,0)</f>
        <v>847.59</v>
      </c>
      <c r="D53" s="14">
        <f>IFERROR('Data Sheet'!C62,0)</f>
        <v>844.07</v>
      </c>
      <c r="E53" s="14">
        <f>IFERROR('Data Sheet'!D62,0)</f>
        <v>950.24</v>
      </c>
      <c r="F53" s="14">
        <f>IFERROR('Data Sheet'!E62,0)</f>
        <v>1159.99</v>
      </c>
      <c r="G53" s="14">
        <f>IFERROR('Data Sheet'!F62,0)</f>
        <v>1345.6</v>
      </c>
      <c r="H53" s="14">
        <f>IFERROR('Data Sheet'!G62,0)</f>
        <v>1688.3</v>
      </c>
      <c r="I53" s="14">
        <f>IFERROR('Data Sheet'!H62,0)</f>
        <v>1878.18</v>
      </c>
      <c r="J53" s="14">
        <f>IFERROR('Data Sheet'!I62,0)</f>
        <v>1792.95</v>
      </c>
      <c r="K53" s="14">
        <f>IFERROR('Data Sheet'!J62,0)</f>
        <v>1753.21</v>
      </c>
      <c r="L53" s="14">
        <f>IFERROR('Data Sheet'!K62,0)</f>
        <v>2655.22</v>
      </c>
    </row>
    <row r="54" spans="2:13" x14ac:dyDescent="0.35">
      <c r="B54" t="s">
        <v>39</v>
      </c>
      <c r="C54" s="14">
        <f>IFERROR('Data Sheet'!B63,0)</f>
        <v>107.09</v>
      </c>
      <c r="D54" s="14">
        <f>IFERROR('Data Sheet'!C63,0)</f>
        <v>48.37</v>
      </c>
      <c r="E54" s="14">
        <f>IFERROR('Data Sheet'!D63,0)</f>
        <v>90.07</v>
      </c>
      <c r="F54" s="14">
        <f>IFERROR('Data Sheet'!E63,0)</f>
        <v>30.07</v>
      </c>
      <c r="G54" s="14">
        <f>IFERROR('Data Sheet'!F63,0)</f>
        <v>202.82</v>
      </c>
      <c r="H54" s="14">
        <f>IFERROR('Data Sheet'!G63,0)</f>
        <v>101.24</v>
      </c>
      <c r="I54" s="14">
        <f>IFERROR('Data Sheet'!H63,0)</f>
        <v>39.549999999999997</v>
      </c>
      <c r="J54" s="14">
        <f>IFERROR('Data Sheet'!I63,0)</f>
        <v>116.52</v>
      </c>
      <c r="K54" s="14">
        <f>IFERROR('Data Sheet'!J63,0)</f>
        <v>535.67999999999995</v>
      </c>
      <c r="L54" s="14">
        <f>IFERROR('Data Sheet'!K63,0)</f>
        <v>105</v>
      </c>
    </row>
    <row r="55" spans="2:13" x14ac:dyDescent="0.35">
      <c r="B55" t="s">
        <v>40</v>
      </c>
      <c r="C55" s="14">
        <f>IFERROR('Data Sheet'!B64,0)</f>
        <v>197.87</v>
      </c>
      <c r="D55" s="14">
        <f>IFERROR('Data Sheet'!C64,0)</f>
        <v>517.94000000000005</v>
      </c>
      <c r="E55" s="14">
        <f>IFERROR('Data Sheet'!D64,0)</f>
        <v>788.38</v>
      </c>
      <c r="F55" s="14">
        <f>IFERROR('Data Sheet'!E64,0)</f>
        <v>486.85</v>
      </c>
      <c r="G55" s="14">
        <f>IFERROR('Data Sheet'!F64,0)</f>
        <v>1079.28</v>
      </c>
      <c r="H55" s="14">
        <f>IFERROR('Data Sheet'!G64,0)</f>
        <v>1476.28</v>
      </c>
      <c r="I55" s="14">
        <f>IFERROR('Data Sheet'!H64,0)</f>
        <v>2893.23</v>
      </c>
      <c r="J55" s="14">
        <f>IFERROR('Data Sheet'!I64,0)</f>
        <v>2780.91</v>
      </c>
      <c r="K55" s="14">
        <f>IFERROR('Data Sheet'!J64,0)</f>
        <v>1762.37</v>
      </c>
      <c r="L55" s="14">
        <f>IFERROR('Data Sheet'!K64,0)</f>
        <v>3324.24</v>
      </c>
    </row>
    <row r="56" spans="2:13" x14ac:dyDescent="0.35">
      <c r="B56" t="s">
        <v>41</v>
      </c>
      <c r="C56" s="14">
        <f>IFERROR('Data Sheet'!B65-SUM('Data Sheet'!B67:B69),0)</f>
        <v>316.28000000000009</v>
      </c>
      <c r="D56" s="14">
        <f>IFERROR('Data Sheet'!C65-SUM('Data Sheet'!C67:C69),0)</f>
        <v>616.79</v>
      </c>
      <c r="E56" s="14">
        <f>IFERROR('Data Sheet'!D65-SUM('Data Sheet'!D67:D69),0)</f>
        <v>966.31000000000006</v>
      </c>
      <c r="F56" s="14">
        <f>IFERROR('Data Sheet'!E65-SUM('Data Sheet'!E67:E69),0)</f>
        <v>1470.52</v>
      </c>
      <c r="G56" s="14">
        <f>IFERROR('Data Sheet'!F65-SUM('Data Sheet'!F67:F69),0)</f>
        <v>1416.4099999999999</v>
      </c>
      <c r="H56" s="14">
        <f>IFERROR('Data Sheet'!G65-SUM('Data Sheet'!G67:G69),0)</f>
        <v>1686.6900000000003</v>
      </c>
      <c r="I56" s="14">
        <f>IFERROR('Data Sheet'!H65-SUM('Data Sheet'!H67:H69),0)</f>
        <v>1834.4099999999999</v>
      </c>
      <c r="J56" s="14">
        <f>IFERROR('Data Sheet'!I65-SUM('Data Sheet'!I67:I69),0)</f>
        <v>1749.6100000000001</v>
      </c>
      <c r="K56" s="14">
        <f>IFERROR('Data Sheet'!J65-SUM('Data Sheet'!J67:J69),0)</f>
        <v>1579.1399999999999</v>
      </c>
      <c r="L56" s="14">
        <f>IFERROR('Data Sheet'!K65-SUM('Data Sheet'!K67:K69),0)</f>
        <v>1548.0800000000002</v>
      </c>
    </row>
    <row r="57" spans="2:13" x14ac:dyDescent="0.35">
      <c r="B57" s="27" t="s">
        <v>84</v>
      </c>
      <c r="C57" s="29">
        <f>SUM(C53:C56)</f>
        <v>1468.8300000000004</v>
      </c>
      <c r="D57" s="29">
        <f t="shared" ref="D57:L57" si="18">SUM(D53:D56)</f>
        <v>2027.17</v>
      </c>
      <c r="E57" s="29">
        <f t="shared" si="18"/>
        <v>2795</v>
      </c>
      <c r="F57" s="29">
        <f t="shared" si="18"/>
        <v>3147.43</v>
      </c>
      <c r="G57" s="29">
        <f t="shared" si="18"/>
        <v>4044.1099999999997</v>
      </c>
      <c r="H57" s="29">
        <f t="shared" si="18"/>
        <v>4952.51</v>
      </c>
      <c r="I57" s="29">
        <f t="shared" si="18"/>
        <v>6645.37</v>
      </c>
      <c r="J57" s="29">
        <f t="shared" si="18"/>
        <v>6439.99</v>
      </c>
      <c r="K57" s="29">
        <f t="shared" si="18"/>
        <v>5630.4</v>
      </c>
      <c r="L57" s="29">
        <f t="shared" si="18"/>
        <v>7632.5399999999991</v>
      </c>
    </row>
    <row r="58" spans="2:13" x14ac:dyDescent="0.35">
      <c r="B58" s="13"/>
    </row>
    <row r="59" spans="2:13" x14ac:dyDescent="0.35">
      <c r="B59" t="s">
        <v>42</v>
      </c>
      <c r="C59" s="14">
        <f>IFERROR('Data Sheet'!B67,0)</f>
        <v>108.7</v>
      </c>
      <c r="D59" s="14">
        <f>IFERROR('Data Sheet'!C67,0)</f>
        <v>135.81</v>
      </c>
      <c r="E59" s="14">
        <f>IFERROR('Data Sheet'!D67,0)</f>
        <v>170.61</v>
      </c>
      <c r="F59" s="14">
        <f>IFERROR('Data Sheet'!E67,0)</f>
        <v>179.16</v>
      </c>
      <c r="G59" s="14">
        <f>IFERROR('Data Sheet'!F67,0)</f>
        <v>304.60000000000002</v>
      </c>
      <c r="H59" s="14">
        <f>IFERROR('Data Sheet'!G67,0)</f>
        <v>394.24</v>
      </c>
      <c r="I59" s="14">
        <f>IFERROR('Data Sheet'!H67,0)</f>
        <v>320.36</v>
      </c>
      <c r="J59" s="14">
        <f>IFERROR('Data Sheet'!I67,0)</f>
        <v>257.27</v>
      </c>
      <c r="K59" s="14">
        <f>IFERROR('Data Sheet'!J67,0)</f>
        <v>331.93</v>
      </c>
      <c r="L59" s="14">
        <f>IFERROR('Data Sheet'!K67,0)</f>
        <v>328.94</v>
      </c>
    </row>
    <row r="60" spans="2:13" x14ac:dyDescent="0.35">
      <c r="B60" t="s">
        <v>43</v>
      </c>
      <c r="C60" s="14">
        <f>IFERROR('Data Sheet'!B68,0)</f>
        <v>420.27</v>
      </c>
      <c r="D60" s="14">
        <f>IFERROR('Data Sheet'!C68,0)</f>
        <v>404.04</v>
      </c>
      <c r="E60" s="14">
        <f>IFERROR('Data Sheet'!D68,0)</f>
        <v>440.65</v>
      </c>
      <c r="F60" s="14">
        <f>IFERROR('Data Sheet'!E68,0)</f>
        <v>661.45</v>
      </c>
      <c r="G60" s="14">
        <f>IFERROR('Data Sheet'!F68,0)</f>
        <v>652.79</v>
      </c>
      <c r="H60" s="14">
        <f>IFERROR('Data Sheet'!G68,0)</f>
        <v>781.38</v>
      </c>
      <c r="I60" s="14">
        <f>IFERROR('Data Sheet'!H68,0)</f>
        <v>740.96</v>
      </c>
      <c r="J60" s="14">
        <f>IFERROR('Data Sheet'!I68,0)</f>
        <v>1091.49</v>
      </c>
      <c r="K60" s="14">
        <f>IFERROR('Data Sheet'!J68,0)</f>
        <v>1367.49</v>
      </c>
      <c r="L60" s="14">
        <f>IFERROR('Data Sheet'!K68,0)</f>
        <v>1193.26</v>
      </c>
    </row>
    <row r="61" spans="2:13" x14ac:dyDescent="0.35">
      <c r="B61" t="s">
        <v>44</v>
      </c>
      <c r="C61" s="14">
        <f>IFERROR('Data Sheet'!B69,0)</f>
        <v>109.07</v>
      </c>
      <c r="D61" s="14">
        <f>IFERROR('Data Sheet'!C69,0)</f>
        <v>226.33</v>
      </c>
      <c r="E61" s="14">
        <f>IFERROR('Data Sheet'!D69,0)</f>
        <v>87.65</v>
      </c>
      <c r="F61" s="14">
        <f>IFERROR('Data Sheet'!E69,0)</f>
        <v>120.76</v>
      </c>
      <c r="G61" s="14">
        <f>IFERROR('Data Sheet'!F69,0)</f>
        <v>186.42</v>
      </c>
      <c r="H61" s="14">
        <f>IFERROR('Data Sheet'!G69,0)</f>
        <v>109.82</v>
      </c>
      <c r="I61" s="14">
        <f>IFERROR('Data Sheet'!H69,0)</f>
        <v>122.85</v>
      </c>
      <c r="J61" s="14">
        <f>IFERROR('Data Sheet'!I69,0)</f>
        <v>211.34</v>
      </c>
      <c r="K61" s="14">
        <f>IFERROR('Data Sheet'!J69,0)</f>
        <v>184.9</v>
      </c>
      <c r="L61" s="14">
        <f>IFERROR('Data Sheet'!K69,0)</f>
        <v>197.98</v>
      </c>
    </row>
    <row r="62" spans="2:13" x14ac:dyDescent="0.35">
      <c r="B62" s="27" t="s">
        <v>85</v>
      </c>
      <c r="C62" s="29">
        <f>IFERROR(SUM(C59:C61),0)</f>
        <v>638.04</v>
      </c>
      <c r="D62" s="29">
        <f t="shared" ref="D62:L62" si="19">IFERROR(SUM(D59:D61),0)</f>
        <v>766.18000000000006</v>
      </c>
      <c r="E62" s="29">
        <f t="shared" si="19"/>
        <v>698.91</v>
      </c>
      <c r="F62" s="29">
        <f t="shared" si="19"/>
        <v>961.37</v>
      </c>
      <c r="G62" s="29">
        <f t="shared" si="19"/>
        <v>1143.81</v>
      </c>
      <c r="H62" s="29">
        <f t="shared" si="19"/>
        <v>1285.4399999999998</v>
      </c>
      <c r="I62" s="29">
        <f t="shared" si="19"/>
        <v>1184.17</v>
      </c>
      <c r="J62" s="29">
        <f t="shared" si="19"/>
        <v>1560.1</v>
      </c>
      <c r="K62" s="29">
        <f t="shared" si="19"/>
        <v>1884.3200000000002</v>
      </c>
      <c r="L62" s="29">
        <f t="shared" si="19"/>
        <v>1720.18</v>
      </c>
    </row>
    <row r="64" spans="2:13" x14ac:dyDescent="0.35">
      <c r="B64" s="27" t="s">
        <v>86</v>
      </c>
      <c r="C64" s="29">
        <f>IFERROR(C62+C57,0)</f>
        <v>2106.8700000000003</v>
      </c>
      <c r="D64" s="29">
        <f t="shared" ref="D64:L64" si="20">IFERROR(D62+D57,0)</f>
        <v>2793.3500000000004</v>
      </c>
      <c r="E64" s="29">
        <f t="shared" si="20"/>
        <v>3493.91</v>
      </c>
      <c r="F64" s="29">
        <f t="shared" si="20"/>
        <v>4108.8</v>
      </c>
      <c r="G64" s="29">
        <f t="shared" si="20"/>
        <v>5187.92</v>
      </c>
      <c r="H64" s="29">
        <f t="shared" si="20"/>
        <v>6237.95</v>
      </c>
      <c r="I64" s="29">
        <f t="shared" si="20"/>
        <v>7829.54</v>
      </c>
      <c r="J64" s="29">
        <f t="shared" si="20"/>
        <v>8000.09</v>
      </c>
      <c r="K64" s="29">
        <f t="shared" si="20"/>
        <v>7514.7199999999993</v>
      </c>
      <c r="L64" s="29">
        <f t="shared" si="20"/>
        <v>9352.7199999999993</v>
      </c>
    </row>
    <row r="66" spans="1:13" x14ac:dyDescent="0.35">
      <c r="B66" s="16" t="s">
        <v>87</v>
      </c>
      <c r="C66" s="16" t="b">
        <f>C64=C51</f>
        <v>1</v>
      </c>
      <c r="D66" s="16" t="b">
        <f t="shared" ref="D66:L66" si="21">D64=D51</f>
        <v>1</v>
      </c>
      <c r="E66" s="16" t="b">
        <f t="shared" si="21"/>
        <v>1</v>
      </c>
      <c r="F66" s="16" t="b">
        <f t="shared" si="21"/>
        <v>1</v>
      </c>
      <c r="G66" s="16" t="b">
        <f t="shared" si="21"/>
        <v>1</v>
      </c>
      <c r="H66" s="16" t="b">
        <f t="shared" si="21"/>
        <v>1</v>
      </c>
      <c r="I66" s="16" t="b">
        <f t="shared" si="21"/>
        <v>1</v>
      </c>
      <c r="J66" s="16" t="b">
        <f t="shared" si="21"/>
        <v>1</v>
      </c>
      <c r="K66" s="16" t="b">
        <f t="shared" si="21"/>
        <v>1</v>
      </c>
      <c r="L66" s="16" t="b">
        <f t="shared" si="21"/>
        <v>1</v>
      </c>
    </row>
    <row r="68" spans="1:13" x14ac:dyDescent="0.35">
      <c r="A68" t="s">
        <v>59</v>
      </c>
      <c r="B68" s="24" t="s">
        <v>112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x14ac:dyDescent="0.35">
      <c r="B69" s="13"/>
    </row>
    <row r="70" spans="1:13" x14ac:dyDescent="0.35">
      <c r="B70" t="s">
        <v>113</v>
      </c>
      <c r="C70" s="14">
        <f>IFERROR('Data Sheet'!B82,0)</f>
        <v>671.48</v>
      </c>
      <c r="D70" s="14">
        <f>IFERROR('Data Sheet'!C82,0)</f>
        <v>584.46</v>
      </c>
      <c r="E70" s="14">
        <f>IFERROR('Data Sheet'!D82,0)</f>
        <v>959.23</v>
      </c>
      <c r="F70" s="14">
        <f>IFERROR('Data Sheet'!E82,0)</f>
        <v>441.28</v>
      </c>
      <c r="G70" s="14">
        <f>IFERROR('Data Sheet'!F82,0)</f>
        <v>1248.77</v>
      </c>
      <c r="H70" s="14">
        <f>IFERROR('Data Sheet'!G82,0)</f>
        <v>1155.78</v>
      </c>
      <c r="I70" s="14">
        <f>IFERROR('Data Sheet'!H82,0)</f>
        <v>1484.53</v>
      </c>
      <c r="J70" s="14">
        <f>IFERROR('Data Sheet'!I82,0)</f>
        <v>1875.52</v>
      </c>
      <c r="K70" s="14">
        <f>IFERROR('Data Sheet'!J82,0)</f>
        <v>1299.52</v>
      </c>
      <c r="L70" s="14">
        <f>IFERROR('Data Sheet'!K82,0)</f>
        <v>2526.21</v>
      </c>
    </row>
    <row r="72" spans="1:13" x14ac:dyDescent="0.35">
      <c r="B72" t="s">
        <v>114</v>
      </c>
      <c r="C72" s="14">
        <f>IFERROR('Data Sheet'!B83,0)</f>
        <v>-245.64</v>
      </c>
      <c r="D72" s="14">
        <f>IFERROR('Data Sheet'!C83,0)</f>
        <v>-450.3</v>
      </c>
      <c r="E72" s="14">
        <f>IFERROR('Data Sheet'!D83,0)</f>
        <v>-705.2</v>
      </c>
      <c r="F72" s="14">
        <f>IFERROR('Data Sheet'!E83,0)</f>
        <v>-149.85</v>
      </c>
      <c r="G72" s="14">
        <f>IFERROR('Data Sheet'!F83,0)</f>
        <v>-956.52</v>
      </c>
      <c r="H72" s="14">
        <f>IFERROR('Data Sheet'!G83,0)</f>
        <v>-852.22</v>
      </c>
      <c r="I72" s="14">
        <f>IFERROR('Data Sheet'!H83,0)</f>
        <v>-1525.93</v>
      </c>
      <c r="J72" s="14">
        <f>IFERROR('Data Sheet'!I83,0)</f>
        <v>433.17</v>
      </c>
      <c r="K72" s="14">
        <f>IFERROR('Data Sheet'!J83,0)</f>
        <v>914.19</v>
      </c>
      <c r="L72" s="14">
        <f>IFERROR('Data Sheet'!K83,0)</f>
        <v>-1517.06</v>
      </c>
    </row>
    <row r="74" spans="1:13" x14ac:dyDescent="0.35">
      <c r="B74" t="s">
        <v>115</v>
      </c>
      <c r="C74" s="14">
        <f>IFERROR('Data Sheet'!B84,0)</f>
        <v>-357.34</v>
      </c>
      <c r="D74" s="14">
        <f>IFERROR('Data Sheet'!C84,0)</f>
        <v>-181.37</v>
      </c>
      <c r="E74" s="14">
        <f>IFERROR('Data Sheet'!D84,0)</f>
        <v>-246.18</v>
      </c>
      <c r="F74" s="14">
        <f>IFERROR('Data Sheet'!E84,0)</f>
        <v>-295.08</v>
      </c>
      <c r="G74" s="14">
        <f>IFERROR('Data Sheet'!F84,0)</f>
        <v>-231.75</v>
      </c>
      <c r="H74" s="14">
        <f>IFERROR('Data Sheet'!G84,0)</f>
        <v>-352.68</v>
      </c>
      <c r="I74" s="14">
        <f>IFERROR('Data Sheet'!H84,0)</f>
        <v>57.94</v>
      </c>
      <c r="J74" s="14">
        <f>IFERROR('Data Sheet'!I84,0)</f>
        <v>-2242.5</v>
      </c>
      <c r="K74" s="14">
        <f>IFERROR('Data Sheet'!J84,0)</f>
        <v>-2245.84</v>
      </c>
      <c r="L74" s="14">
        <f>IFERROR('Data Sheet'!K84,0)</f>
        <v>-1028.3699999999999</v>
      </c>
    </row>
    <row r="76" spans="1:13" ht="15" thickBot="1" x14ac:dyDescent="0.4">
      <c r="A76" t="s">
        <v>59</v>
      </c>
      <c r="B76" s="118" t="s">
        <v>52</v>
      </c>
      <c r="C76" s="168">
        <f t="shared" ref="C76:L76" si="22">IFERROR(C70+C72+C74,0)</f>
        <v>68.500000000000057</v>
      </c>
      <c r="D76" s="168">
        <f t="shared" si="22"/>
        <v>-47.20999999999998</v>
      </c>
      <c r="E76" s="168">
        <f t="shared" si="22"/>
        <v>7.8499999999999659</v>
      </c>
      <c r="F76" s="168">
        <f t="shared" si="22"/>
        <v>-3.6500000000000341</v>
      </c>
      <c r="G76" s="168">
        <f t="shared" si="22"/>
        <v>60.5</v>
      </c>
      <c r="H76" s="168">
        <f t="shared" si="22"/>
        <v>-49.120000000000061</v>
      </c>
      <c r="I76" s="168">
        <f t="shared" si="22"/>
        <v>16.539999999999907</v>
      </c>
      <c r="J76" s="168">
        <f t="shared" si="22"/>
        <v>66.190000000000055</v>
      </c>
      <c r="K76" s="168">
        <f t="shared" si="22"/>
        <v>-32.130000000000109</v>
      </c>
      <c r="L76" s="168">
        <f t="shared" si="22"/>
        <v>-19.2199999999998</v>
      </c>
    </row>
  </sheetData>
  <mergeCells count="1">
    <mergeCell ref="B2:M2"/>
  </mergeCells>
  <pageMargins left="0.25" right="0.25" top="0.75" bottom="0.75" header="0.3" footer="0.3"/>
  <pageSetup scale="58"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88CF-B68B-4D0B-AF60-71227C4BC132}">
  <sheetPr>
    <pageSetUpPr fitToPage="1"/>
  </sheetPr>
  <dimension ref="B2:O40"/>
  <sheetViews>
    <sheetView showGridLines="0" zoomScaleNormal="100" workbookViewId="0">
      <pane ySplit="3" topLeftCell="A25" activePane="bottomLeft" state="frozen"/>
      <selection pane="bottomLeft" activeCell="B2" sqref="B2:O3"/>
    </sheetView>
  </sheetViews>
  <sheetFormatPr defaultRowHeight="14.5" x14ac:dyDescent="0.35"/>
  <cols>
    <col min="1" max="1" width="2.1796875" customWidth="1"/>
    <col min="2" max="2" width="29.1796875" customWidth="1"/>
    <col min="3" max="3" width="9.453125" bestFit="1" customWidth="1"/>
    <col min="11" max="12" width="9.7265625" customWidth="1"/>
    <col min="13" max="13" width="11.453125" customWidth="1"/>
    <col min="14" max="14" width="9.453125" customWidth="1"/>
    <col min="15" max="15" width="10.453125" customWidth="1"/>
  </cols>
  <sheetData>
    <row r="2" spans="2:15" x14ac:dyDescent="0.35">
      <c r="B2" s="143" t="str">
        <f>"Ratio Analysis - "&amp;'Data Sheet'!B1</f>
        <v>Ratio Analysis - BRITANNIA INDUSTRIES LTD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</row>
    <row r="3" spans="2:15" x14ac:dyDescent="0.35">
      <c r="B3" s="94" t="s">
        <v>56</v>
      </c>
      <c r="C3" s="103">
        <f>'Data Sheet'!B16</f>
        <v>41729</v>
      </c>
      <c r="D3" s="103">
        <f>'Data Sheet'!C16</f>
        <v>42094</v>
      </c>
      <c r="E3" s="103">
        <f>'Data Sheet'!D16</f>
        <v>42460</v>
      </c>
      <c r="F3" s="103">
        <f>'Data Sheet'!E16</f>
        <v>42825</v>
      </c>
      <c r="G3" s="103">
        <f>'Data Sheet'!F16</f>
        <v>43190</v>
      </c>
      <c r="H3" s="103">
        <f>'Data Sheet'!G16</f>
        <v>43555</v>
      </c>
      <c r="I3" s="103">
        <f>'Data Sheet'!H16</f>
        <v>43921</v>
      </c>
      <c r="J3" s="103">
        <f>'Data Sheet'!I16</f>
        <v>44286</v>
      </c>
      <c r="K3" s="103">
        <f>'Data Sheet'!J16</f>
        <v>44651</v>
      </c>
      <c r="L3" s="103">
        <f>'Data Sheet'!K16</f>
        <v>45016</v>
      </c>
      <c r="M3" s="155" t="s">
        <v>147</v>
      </c>
      <c r="N3" s="154" t="s">
        <v>145</v>
      </c>
      <c r="O3" s="154" t="s">
        <v>146</v>
      </c>
    </row>
    <row r="5" spans="2:15" x14ac:dyDescent="0.35">
      <c r="B5" s="31" t="s">
        <v>116</v>
      </c>
      <c r="C5" s="32"/>
      <c r="D5" s="33">
        <f>IFERROR(HistoricalFS!D6/HistoricalFS!C6-1,0)</f>
        <v>0.13680741706219424</v>
      </c>
      <c r="E5" s="33">
        <f>IFERROR(HistoricalFS!E6/HistoricalFS!D6-1,0)</f>
        <v>6.8564673305829826E-2</v>
      </c>
      <c r="F5" s="33">
        <f>IFERROR(HistoricalFS!F6/HistoricalFS!E6-1,0)</f>
        <v>7.8223414149666048E-2</v>
      </c>
      <c r="G5" s="33">
        <f>IFERROR(HistoricalFS!G6/HistoricalFS!F6-1,0)</f>
        <v>9.4973652791169538E-2</v>
      </c>
      <c r="H5" s="33">
        <f>IFERROR(HistoricalFS!H6/HistoricalFS!G6-1,0)</f>
        <v>0.11505761050797925</v>
      </c>
      <c r="I5" s="33">
        <f>IFERROR(HistoricalFS!I6/HistoricalFS!H6-1,0)</f>
        <v>4.9289576260530543E-2</v>
      </c>
      <c r="J5" s="33">
        <f>IFERROR(HistoricalFS!J6/HistoricalFS!I6-1,0)</f>
        <v>0.13246979408683957</v>
      </c>
      <c r="K5" s="33">
        <f>IFERROR(HistoricalFS!K6/HistoricalFS!J6-1,0)</f>
        <v>7.613499856122119E-2</v>
      </c>
      <c r="L5" s="33">
        <f>IFERROR(HistoricalFS!L6/HistoricalFS!K6-1,0)</f>
        <v>0.15310202274151719</v>
      </c>
      <c r="M5" s="32"/>
      <c r="N5" s="33">
        <f>IFERROR(AVERAGE(D5:L5),0)</f>
        <v>0.10051368438521638</v>
      </c>
      <c r="O5" s="33">
        <f>IFERROR(MEDIAN(C5:L5),0)</f>
        <v>9.4973652791169538E-2</v>
      </c>
    </row>
    <row r="6" spans="2:15" x14ac:dyDescent="0.35">
      <c r="B6" s="34" t="s">
        <v>117</v>
      </c>
      <c r="D6" s="35">
        <f>IFERROR(HistoricalFS!D18/HistoricalFS!C18-1,0)</f>
        <v>0.38762755102040658</v>
      </c>
      <c r="E6" s="35">
        <f>IFERROR(HistoricalFS!E18/HistoricalFS!D18-1,0)</f>
        <v>0.40588519165364634</v>
      </c>
      <c r="F6" s="35">
        <f>IFERROR(HistoricalFS!F18/HistoricalFS!E18-1,0)</f>
        <v>4.4631692506353682E-2</v>
      </c>
      <c r="G6" s="35">
        <f>IFERROR(HistoricalFS!G18/HistoricalFS!F18-1,0)</f>
        <v>0.17469370511195503</v>
      </c>
      <c r="H6" s="35">
        <f>IFERROR(HistoricalFS!H18/HistoricalFS!G18-1,0)</f>
        <v>0.15383590747734011</v>
      </c>
      <c r="I6" s="35">
        <f>IFERROR(HistoricalFS!I18/HistoricalFS!H18-1,0)</f>
        <v>6.3915264509798231E-2</v>
      </c>
      <c r="J6" s="35">
        <f>IFERROR(HistoricalFS!J18/HistoricalFS!I18-1,0)</f>
        <v>0.3613917251706289</v>
      </c>
      <c r="K6" s="35">
        <f>IFERROR(HistoricalFS!K18/HistoricalFS!J18-1,0)</f>
        <v>-0.12273591334600575</v>
      </c>
      <c r="L6" s="35">
        <f>IFERROR(HistoricalFS!L18/HistoricalFS!K18-1,0)</f>
        <v>0.28601151132734559</v>
      </c>
      <c r="N6" s="35">
        <f t="shared" ref="N6:N9" si="0">IFERROR(AVERAGE(D6:L6),0)</f>
        <v>0.19502851504794097</v>
      </c>
      <c r="O6" s="35">
        <f t="shared" ref="O6:O25" si="1">IFERROR(MEDIAN(C6:L6),0)</f>
        <v>0.17469370511195503</v>
      </c>
    </row>
    <row r="7" spans="2:15" x14ac:dyDescent="0.35">
      <c r="B7" s="34" t="s">
        <v>118</v>
      </c>
      <c r="D7" s="35">
        <f>IFERROR(HistoricalFS!D27/HistoricalFS!C27-1,0)</f>
        <v>0.34765646874358169</v>
      </c>
      <c r="E7" s="35">
        <f>IFERROR(HistoricalFS!E27/HistoricalFS!D27-1,0)</f>
        <v>0.53091498379456725</v>
      </c>
      <c r="F7" s="35">
        <f>IFERROR(HistoricalFS!F27/HistoricalFS!E27-1,0)</f>
        <v>4.3581322548832624E-2</v>
      </c>
      <c r="G7" s="35">
        <f>IFERROR(HistoricalFS!G27/HistoricalFS!F27-1,0)</f>
        <v>0.17196088290881217</v>
      </c>
      <c r="H7" s="35">
        <f>IFERROR(HistoricalFS!H27/HistoricalFS!G27-1,0)</f>
        <v>0.15510315798818008</v>
      </c>
      <c r="I7" s="35">
        <f>IFERROR(HistoricalFS!I27/HistoricalFS!H27-1,0)</f>
        <v>1.2801957117606122E-2</v>
      </c>
      <c r="J7" s="35">
        <f>IFERROR(HistoricalFS!J27/HistoricalFS!I27-1,0)</f>
        <v>0.39145225644495296</v>
      </c>
      <c r="K7" s="35">
        <f>IFERROR(HistoricalFS!K27/HistoricalFS!J27-1,0)</f>
        <v>-0.15635253165132135</v>
      </c>
      <c r="L7" s="35">
        <f>IFERROR(HistoricalFS!L27/HistoricalFS!K27-1,0)</f>
        <v>0.31210678272860393</v>
      </c>
      <c r="N7" s="35">
        <f t="shared" si="0"/>
        <v>0.20102503118042395</v>
      </c>
      <c r="O7" s="35">
        <f t="shared" si="1"/>
        <v>0.17196088290881217</v>
      </c>
    </row>
    <row r="8" spans="2:15" x14ac:dyDescent="0.35">
      <c r="B8" s="34" t="s">
        <v>119</v>
      </c>
      <c r="D8" s="35">
        <f>IFERROR(HistoricalFS!D33/HistoricalFS!C33-1,0)</f>
        <v>0.27259422891066998</v>
      </c>
      <c r="E8" s="35">
        <f>IFERROR(HistoricalFS!E33/HistoricalFS!D33-1,0)</f>
        <v>0.53880703886128756</v>
      </c>
      <c r="F8" s="35">
        <f>IFERROR(HistoricalFS!F33/HistoricalFS!E33-1,0)</f>
        <v>3.4687460342079035E-2</v>
      </c>
      <c r="G8" s="35">
        <f>IFERROR(HistoricalFS!G33/HistoricalFS!F33-1,0)</f>
        <v>0.14145736518622298</v>
      </c>
      <c r="H8" s="35">
        <f>IFERROR(HistoricalFS!H33/HistoricalFS!G33-1,0)</f>
        <v>0.1330245107988417</v>
      </c>
      <c r="I8" s="35">
        <f>IFERROR(HistoricalFS!I33/HistoricalFS!H33-1,0)</f>
        <v>0.1915259059440888</v>
      </c>
      <c r="J8" s="35">
        <f>IFERROR(HistoricalFS!J33/HistoricalFS!I33-1,0)</f>
        <v>0.35971063965262573</v>
      </c>
      <c r="K8" s="35">
        <f>IFERROR(HistoricalFS!K33/HistoricalFS!J33-1,0)</f>
        <v>-0.15830037983245648</v>
      </c>
      <c r="L8" s="35">
        <f>IFERROR(HistoricalFS!L33/HistoricalFS!K33-1,0)</f>
        <v>0.32865322649192774</v>
      </c>
      <c r="N8" s="35">
        <f t="shared" si="0"/>
        <v>0.20468444403947633</v>
      </c>
      <c r="O8" s="35">
        <f t="shared" si="1"/>
        <v>0.1915259059440888</v>
      </c>
    </row>
    <row r="9" spans="2:15" x14ac:dyDescent="0.35">
      <c r="B9" s="36" t="s">
        <v>120</v>
      </c>
      <c r="C9" s="37"/>
      <c r="D9" s="38">
        <f>IFERROR(HistoricalFS!D41/HistoricalFS!C41-1,0)</f>
        <v>0.33333333333333326</v>
      </c>
      <c r="E9" s="38">
        <f>IFERROR(HistoricalFS!E41/HistoricalFS!D41-1,0)</f>
        <v>0.25</v>
      </c>
      <c r="F9" s="38">
        <f>IFERROR(HistoricalFS!F41/HistoricalFS!E41-1,0)</f>
        <v>0.10000000000000009</v>
      </c>
      <c r="G9" s="38">
        <f>IFERROR(HistoricalFS!G41/HistoricalFS!F41-1,0)</f>
        <v>0.13634470485782435</v>
      </c>
      <c r="H9" s="38">
        <f>IFERROR(HistoricalFS!H41/HistoricalFS!G41-1,0)</f>
        <v>0.20001999200319864</v>
      </c>
      <c r="I9" s="38">
        <f>IFERROR(HistoricalFS!I41/HistoricalFS!H41-1,0)</f>
        <v>1.3333333333333335</v>
      </c>
      <c r="J9" s="38">
        <f>IFERROR(HistoricalFS!J41/HistoricalFS!I41-1,0)</f>
        <v>3.5000059301429163</v>
      </c>
      <c r="K9" s="38">
        <f>IFERROR(HistoricalFS!K41/HistoricalFS!J41-1,0)</f>
        <v>-0.6412716318150431</v>
      </c>
      <c r="L9" s="38">
        <f>IFERROR(HistoricalFS!L41/HistoricalFS!K41-1,0)</f>
        <v>0.27434096452816892</v>
      </c>
      <c r="M9" s="37"/>
      <c r="N9" s="38">
        <f t="shared" si="0"/>
        <v>0.60956740293152589</v>
      </c>
      <c r="O9" s="38">
        <f t="shared" si="1"/>
        <v>0.25</v>
      </c>
    </row>
    <row r="10" spans="2:15" x14ac:dyDescent="0.35">
      <c r="B10" s="30"/>
    </row>
    <row r="11" spans="2:15" x14ac:dyDescent="0.35">
      <c r="B11" s="31" t="s">
        <v>121</v>
      </c>
      <c r="C11" s="33">
        <f>IFERROR(HistoricalFS!C13,0)</f>
        <v>0.26883233927070577</v>
      </c>
      <c r="D11" s="33">
        <f>IFERROR(HistoricalFS!D13,0)</f>
        <v>0.28065819846737639</v>
      </c>
      <c r="E11" s="33">
        <f>IFERROR(HistoricalFS!E13,0)</f>
        <v>0.29031478237466418</v>
      </c>
      <c r="F11" s="33">
        <f>IFERROR(HistoricalFS!F13,0)</f>
        <v>0.27596257602917579</v>
      </c>
      <c r="G11" s="33">
        <f>IFERROR(HistoricalFS!G13,0)</f>
        <v>0.28130651735577694</v>
      </c>
      <c r="H11" s="33">
        <f>IFERROR(HistoricalFS!H13,0)</f>
        <v>0.29443664985024431</v>
      </c>
      <c r="I11" s="33">
        <f>IFERROR(HistoricalFS!I13,0)</f>
        <v>0.2928570504890276</v>
      </c>
      <c r="J11" s="33">
        <f>IFERROR(HistoricalFS!J13,0)</f>
        <v>0.3142597444911519</v>
      </c>
      <c r="K11" s="33">
        <f>IFERROR(HistoricalFS!K13,0)</f>
        <v>0.27332052466493978</v>
      </c>
      <c r="L11" s="33">
        <f>IFERROR(HistoricalFS!L13,0)</f>
        <v>0.37120649303244374</v>
      </c>
      <c r="M11" s="32"/>
      <c r="N11" s="33">
        <f>IFERROR(AVERAGE(C11:L11),0)</f>
        <v>0.29431548760255061</v>
      </c>
      <c r="O11" s="33">
        <f t="shared" si="1"/>
        <v>0.28581064986522053</v>
      </c>
    </row>
    <row r="12" spans="2:15" x14ac:dyDescent="0.35">
      <c r="B12" s="34" t="s">
        <v>122</v>
      </c>
      <c r="C12" s="35">
        <f>IFERROR(HistoricalFS!C19,0)</f>
        <v>9.0731420817595484E-2</v>
      </c>
      <c r="D12" s="35">
        <f>IFERROR(HistoricalFS!D19,0)</f>
        <v>0.11074999809121931</v>
      </c>
      <c r="E12" s="35">
        <f>IFERROR(HistoricalFS!E19,0)</f>
        <v>0.14571114522288911</v>
      </c>
      <c r="F12" s="35">
        <f>IFERROR(HistoricalFS!F19,0)</f>
        <v>0.14117155893082578</v>
      </c>
      <c r="G12" s="35">
        <f>IFERROR(HistoricalFS!G19,0)</f>
        <v>0.15144961816584432</v>
      </c>
      <c r="H12" s="35">
        <f>IFERROR(HistoricalFS!H19,0)</f>
        <v>0.15671657317676607</v>
      </c>
      <c r="I12" s="35">
        <f>IFERROR(HistoricalFS!I19,0)</f>
        <v>0.15890099184882175</v>
      </c>
      <c r="J12" s="35">
        <f>IFERROR(HistoricalFS!J19,0)</f>
        <v>0.19102186791553682</v>
      </c>
      <c r="K12" s="35">
        <f>IFERROR(HistoricalFS!K19,0)</f>
        <v>0.15572082007546559</v>
      </c>
      <c r="L12" s="35">
        <f>IFERROR(HistoricalFS!L19,0)</f>
        <v>0.17366960010551796</v>
      </c>
      <c r="N12" s="35">
        <f t="shared" ref="N12:N40" si="2">IFERROR(AVERAGE(C12:L12),0)</f>
        <v>0.14758435943504825</v>
      </c>
      <c r="O12" s="35">
        <f t="shared" si="1"/>
        <v>0.15358521912065495</v>
      </c>
    </row>
    <row r="13" spans="2:15" x14ac:dyDescent="0.35">
      <c r="B13" s="34" t="s">
        <v>123</v>
      </c>
      <c r="C13" s="35">
        <f>IFERROR((HistoricalFS!C18-HistoricalFS!C24)/HistoricalFS!C6,0)</f>
        <v>7.8698513318221142E-2</v>
      </c>
      <c r="D13" s="35">
        <f>IFERROR((HistoricalFS!D18-HistoricalFS!D24)/HistoricalFS!D6,0)</f>
        <v>9.2364622914020839E-2</v>
      </c>
      <c r="E13" s="35">
        <f>IFERROR((HistoricalFS!E18-HistoricalFS!E24)/HistoricalFS!E6,0)</f>
        <v>0.13220550109976756</v>
      </c>
      <c r="F13" s="35">
        <f>IFERROR((HistoricalFS!F18-HistoricalFS!F24)/HistoricalFS!F6,0)</f>
        <v>0.12799850675219709</v>
      </c>
      <c r="G13" s="35">
        <f>IFERROR((HistoricalFS!G18-HistoricalFS!G24)/HistoricalFS!G6,0)</f>
        <v>0.13711936364672539</v>
      </c>
      <c r="H13" s="35">
        <f>IFERROR((HistoricalFS!H18-HistoricalFS!H24)/HistoricalFS!H6,0)</f>
        <v>0.14207298815794597</v>
      </c>
      <c r="I13" s="35">
        <f>IFERROR((HistoricalFS!I18-HistoricalFS!I24)/HistoricalFS!I6,0)</f>
        <v>0.14296847722540965</v>
      </c>
      <c r="J13" s="35">
        <f>IFERROR((HistoricalFS!J18-HistoricalFS!J24)/HistoricalFS!J6,0)</f>
        <v>0.17596036583044944</v>
      </c>
      <c r="K13" s="35">
        <f>IFERROR((HistoricalFS!K18-HistoricalFS!K24)/HistoricalFS!K6,0)</f>
        <v>0.14153460674888557</v>
      </c>
      <c r="L13" s="35">
        <f>IFERROR((HistoricalFS!L18-HistoricalFS!L24)/HistoricalFS!L6,0)</f>
        <v>0.15981055853943585</v>
      </c>
      <c r="N13" s="35">
        <f t="shared" si="2"/>
        <v>0.13307335042330587</v>
      </c>
      <c r="O13" s="35">
        <f t="shared" si="1"/>
        <v>0.13932698519780548</v>
      </c>
    </row>
    <row r="14" spans="2:15" x14ac:dyDescent="0.35">
      <c r="B14" s="34" t="s">
        <v>124</v>
      </c>
      <c r="C14" s="35">
        <f>IFERROR(HistoricalFS!C28,0)</f>
        <v>7.7499273078141639E-2</v>
      </c>
      <c r="D14" s="35">
        <f>IFERROR(HistoricalFS!D28,0)</f>
        <v>9.1873430027919062E-2</v>
      </c>
      <c r="E14" s="35">
        <f>IFERROR(HistoricalFS!E28,0)</f>
        <v>0.13162554794854983</v>
      </c>
      <c r="F14" s="35">
        <f>IFERROR(HistoricalFS!F28,0)</f>
        <v>0.12739656884347297</v>
      </c>
      <c r="G14" s="35">
        <f>IFERROR(HistoricalFS!G28,0)</f>
        <v>0.13635377885190511</v>
      </c>
      <c r="H14" s="35">
        <f>IFERROR(HistoricalFS!H28,0)</f>
        <v>0.14125071123787508</v>
      </c>
      <c r="I14" s="35">
        <f>IFERROR(HistoricalFS!I28,0)</f>
        <v>0.13633890969908319</v>
      </c>
      <c r="J14" s="35">
        <f>IFERROR(HistoricalFS!J28,0)</f>
        <v>0.16751800757300089</v>
      </c>
      <c r="K14" s="35">
        <f>IFERROR(HistoricalFS!K28,0)</f>
        <v>0.13132752227251066</v>
      </c>
      <c r="L14" s="35">
        <f>IFERROR(HistoricalFS!L28,0)</f>
        <v>0.14943667544960143</v>
      </c>
      <c r="N14" s="35">
        <f t="shared" si="2"/>
        <v>0.12906204249820602</v>
      </c>
      <c r="O14" s="35">
        <f t="shared" si="1"/>
        <v>0.1339822288238165</v>
      </c>
    </row>
    <row r="15" spans="2:15" x14ac:dyDescent="0.35">
      <c r="B15" s="36" t="s">
        <v>125</v>
      </c>
      <c r="C15" s="38">
        <f>IFERROR(HistoricalFS!C34,0)</f>
        <v>5.238900518031285E-2</v>
      </c>
      <c r="D15" s="38">
        <f>IFERROR(HistoricalFS!D34,0)</f>
        <v>5.8646649071950809E-2</v>
      </c>
      <c r="E15" s="38">
        <f>IFERROR(HistoricalFS!E34,0)</f>
        <v>8.4455231070245912E-2</v>
      </c>
      <c r="F15" s="38">
        <f>IFERROR(HistoricalFS!F34,0)</f>
        <v>8.1045140925261425E-2</v>
      </c>
      <c r="G15" s="38">
        <f>IFERROR(HistoricalFS!G34,0)</f>
        <v>8.4485661171738002E-2</v>
      </c>
      <c r="H15" s="38">
        <f>IFERROR(HistoricalFS!H34,0)</f>
        <v>8.5846976888500556E-2</v>
      </c>
      <c r="I15" s="38">
        <f>IFERROR(HistoricalFS!I34,0)</f>
        <v>9.748395411890981E-2</v>
      </c>
      <c r="J15" s="38">
        <f>IFERROR(HistoricalFS!J34,0)</f>
        <v>0.1170450375833388</v>
      </c>
      <c r="K15" s="38">
        <f>IFERROR(HistoricalFS!K34,0)</f>
        <v>9.154684478072711E-2</v>
      </c>
      <c r="L15" s="38">
        <f>IFERROR(HistoricalFS!L34,0)</f>
        <v>0.10548417077951361</v>
      </c>
      <c r="M15" s="37"/>
      <c r="N15" s="38">
        <f t="shared" si="2"/>
        <v>8.584286715704989E-2</v>
      </c>
      <c r="O15" s="38">
        <f t="shared" si="1"/>
        <v>8.5166319030119286E-2</v>
      </c>
    </row>
    <row r="16" spans="2:15" x14ac:dyDescent="0.35">
      <c r="B16" s="30"/>
    </row>
    <row r="17" spans="2:15" x14ac:dyDescent="0.35">
      <c r="B17" s="31" t="s">
        <v>126</v>
      </c>
      <c r="C17" s="33">
        <f>IFERROR(HistoricalFS!C16,0)</f>
        <v>0.1781009184531103</v>
      </c>
      <c r="D17" s="33">
        <f>IFERROR(HistoricalFS!D16,0)</f>
        <v>0.16990820037615703</v>
      </c>
      <c r="E17" s="33">
        <f>IFERROR(HistoricalFS!E16,0)</f>
        <v>0.14460363715177504</v>
      </c>
      <c r="F17" s="33">
        <f>IFERROR(HistoricalFS!F16,0)</f>
        <v>0.13479101709835001</v>
      </c>
      <c r="G17" s="33">
        <f>IFERROR(HistoricalFS!G16,0)</f>
        <v>0.12985689918993262</v>
      </c>
      <c r="H17" s="33">
        <f>IFERROR(HistoricalFS!H16,0)</f>
        <v>0.13772007667347827</v>
      </c>
      <c r="I17" s="33">
        <f>IFERROR(HistoricalFS!I16,0)</f>
        <v>0.13395605864020588</v>
      </c>
      <c r="J17" s="33">
        <f>IFERROR(HistoricalFS!J16,0)</f>
        <v>0.12323787657561505</v>
      </c>
      <c r="K17" s="33">
        <f>IFERROR(HistoricalFS!K16,0)</f>
        <v>0.11759970458947416</v>
      </c>
      <c r="L17" s="33">
        <f>IFERROR(HistoricalFS!L16,0)</f>
        <v>0.19753689292692578</v>
      </c>
      <c r="M17" s="32"/>
      <c r="N17" s="33">
        <f t="shared" si="2"/>
        <v>0.14673112816750242</v>
      </c>
      <c r="O17" s="33">
        <f t="shared" si="1"/>
        <v>0.13625554688591412</v>
      </c>
    </row>
    <row r="18" spans="2:15" x14ac:dyDescent="0.35">
      <c r="B18" s="34" t="s">
        <v>69</v>
      </c>
      <c r="C18" s="35">
        <f>IFERROR(HistoricalFS!C25,0)</f>
        <v>1.2032907499374341E-2</v>
      </c>
      <c r="D18" s="35">
        <f>IFERROR(HistoricalFS!D25,0)</f>
        <v>1.838537517719847E-2</v>
      </c>
      <c r="E18" s="35">
        <f>IFERROR(HistoricalFS!E25,0)</f>
        <v>1.3505644123121554E-2</v>
      </c>
      <c r="F18" s="35">
        <f>IFERROR(HistoricalFS!F25,0)</f>
        <v>1.3173052178628663E-2</v>
      </c>
      <c r="G18" s="35">
        <f>IFERROR(HistoricalFS!G25,0)</f>
        <v>1.4330254519118941E-2</v>
      </c>
      <c r="H18" s="35">
        <f>IFERROR(HistoricalFS!H25,0)</f>
        <v>1.4643585018820101E-2</v>
      </c>
      <c r="I18" s="35">
        <f>IFERROR(HistoricalFS!I25,0)</f>
        <v>1.5932514623412115E-2</v>
      </c>
      <c r="J18" s="35">
        <f>IFERROR(HistoricalFS!J25,0)</f>
        <v>1.50615020850874E-2</v>
      </c>
      <c r="K18" s="35">
        <f>IFERROR(HistoricalFS!K25,0)</f>
        <v>1.4186213326580014E-2</v>
      </c>
      <c r="L18" s="35">
        <f>IFERROR(HistoricalFS!L25,0)</f>
        <v>1.3859041566082126E-2</v>
      </c>
      <c r="N18" s="35">
        <f t="shared" si="2"/>
        <v>1.4511009011742371E-2</v>
      </c>
      <c r="O18" s="35">
        <f t="shared" si="1"/>
        <v>1.4258233922849478E-2</v>
      </c>
    </row>
    <row r="19" spans="2:15" x14ac:dyDescent="0.35">
      <c r="B19" s="36" t="s">
        <v>127</v>
      </c>
      <c r="C19" s="38">
        <f>C13</f>
        <v>7.8698513318221142E-2</v>
      </c>
      <c r="D19" s="38">
        <f t="shared" ref="D19:L19" si="3">D13</f>
        <v>9.2364622914020839E-2</v>
      </c>
      <c r="E19" s="38">
        <f t="shared" si="3"/>
        <v>0.13220550109976756</v>
      </c>
      <c r="F19" s="38">
        <f t="shared" si="3"/>
        <v>0.12799850675219709</v>
      </c>
      <c r="G19" s="38">
        <f t="shared" si="3"/>
        <v>0.13711936364672539</v>
      </c>
      <c r="H19" s="38">
        <f t="shared" si="3"/>
        <v>0.14207298815794597</v>
      </c>
      <c r="I19" s="38">
        <f t="shared" si="3"/>
        <v>0.14296847722540965</v>
      </c>
      <c r="J19" s="38">
        <f t="shared" si="3"/>
        <v>0.17596036583044944</v>
      </c>
      <c r="K19" s="38">
        <f t="shared" si="3"/>
        <v>0.14153460674888557</v>
      </c>
      <c r="L19" s="38">
        <f t="shared" si="3"/>
        <v>0.15981055853943585</v>
      </c>
      <c r="M19" s="37"/>
      <c r="N19" s="38">
        <f t="shared" si="2"/>
        <v>0.13307335042330587</v>
      </c>
      <c r="O19" s="38">
        <f t="shared" si="1"/>
        <v>0.13932698519780548</v>
      </c>
    </row>
    <row r="20" spans="2:15" x14ac:dyDescent="0.35">
      <c r="B20" s="30"/>
    </row>
    <row r="21" spans="2:15" x14ac:dyDescent="0.35">
      <c r="B21" s="31" t="s">
        <v>128</v>
      </c>
      <c r="C21" s="33">
        <f>IFERROR(((HistoricalFS!C18-HistoricalFS!C24)/SUM(HistoricalFS!C47:C49)),0)</f>
        <v>0.57393946427252729</v>
      </c>
      <c r="D21" s="33">
        <f>IFERROR(((HistoricalFS!D18-HistoricalFS!D24)/SUM(HistoricalFS!D47:D49)),0)</f>
        <v>0.52211943777064829</v>
      </c>
      <c r="E21" s="33">
        <f>IFERROR(((HistoricalFS!E18-HistoricalFS!E24)/SUM(HistoricalFS!E47:E49)),0)</f>
        <v>0.4994578738758198</v>
      </c>
      <c r="F21" s="33">
        <f>IFERROR(((HistoricalFS!F18-HistoricalFS!F24)/SUM(HistoricalFS!F47:F49)),0)</f>
        <v>0.41081822629015458</v>
      </c>
      <c r="G21" s="33">
        <f>IFERROR(((HistoricalFS!G18-HistoricalFS!G24)/SUM(HistoricalFS!G47:G49)),0)</f>
        <v>0.37688560631894685</v>
      </c>
      <c r="H21" s="33">
        <f>IFERROR(((HistoricalFS!H18-HistoricalFS!H24)/SUM(HistoricalFS!H47:H49)),0)</f>
        <v>0.35619728435772824</v>
      </c>
      <c r="I21" s="33">
        <f>IFERROR(((HistoricalFS!I18-HistoricalFS!I24)/SUM(HistoricalFS!I47:I49)),0)</f>
        <v>0.27916712959689727</v>
      </c>
      <c r="J21" s="33">
        <f>IFERROR(((HistoricalFS!J18-HistoricalFS!J24)/SUM(HistoricalFS!J47:J49)),0)</f>
        <v>0.40772105969656935</v>
      </c>
      <c r="K21" s="33">
        <f>IFERROR(((HistoricalFS!K18-HistoricalFS!K24)/SUM(HistoricalFS!K47:K49)),0)</f>
        <v>0.39703331811958037</v>
      </c>
      <c r="L21" s="33">
        <f>IFERROR(((HistoricalFS!L18-HistoricalFS!L24)/SUM(HistoricalFS!L47:L49)),0)</f>
        <v>0.39882785946561677</v>
      </c>
      <c r="M21" s="32"/>
      <c r="N21" s="33">
        <f t="shared" si="2"/>
        <v>0.42221672597644888</v>
      </c>
      <c r="O21" s="33">
        <f t="shared" si="1"/>
        <v>0.40327445958109309</v>
      </c>
    </row>
    <row r="22" spans="2:15" x14ac:dyDescent="0.35">
      <c r="B22" s="34" t="s">
        <v>129</v>
      </c>
      <c r="C22" s="35">
        <f>IFERROR(HistoricalFS!C44,0)</f>
        <v>0.6025403838188601</v>
      </c>
      <c r="D22" s="35">
        <f>IFERROR(HistoricalFS!D44,0)</f>
        <v>0.58357020417905237</v>
      </c>
      <c r="E22" s="35">
        <f>IFERROR(HistoricalFS!E44,0)</f>
        <v>0.66158575276019171</v>
      </c>
      <c r="F22" s="35">
        <f>IFERROR(HistoricalFS!F44,0)</f>
        <v>0.64022404230093088</v>
      </c>
      <c r="G22" s="35">
        <f>IFERROR(HistoricalFS!G44,0)</f>
        <v>0.64168626655045968</v>
      </c>
      <c r="H22" s="35">
        <f>IFERROR(HistoricalFS!H44,0)</f>
        <v>0.62018313821772186</v>
      </c>
      <c r="I22" s="35">
        <f>IFERROR(HistoricalFS!I44,0)</f>
        <v>0.25559574449269096</v>
      </c>
      <c r="J22" s="35">
        <f>IFERROR(HistoricalFS!J44,0)</f>
        <v>0</v>
      </c>
      <c r="K22" s="35">
        <f>IFERROR(HistoricalFS!K44,0)</f>
        <v>0</v>
      </c>
      <c r="L22" s="35">
        <f>IFERROR(HistoricalFS!L44,0)</f>
        <v>0</v>
      </c>
      <c r="N22" s="35">
        <f t="shared" si="2"/>
        <v>0.40053855323199078</v>
      </c>
      <c r="O22" s="35">
        <f t="shared" si="1"/>
        <v>0.59305529399895618</v>
      </c>
    </row>
    <row r="23" spans="2:15" x14ac:dyDescent="0.35">
      <c r="B23" s="34" t="s">
        <v>130</v>
      </c>
      <c r="C23" s="35">
        <f>IFERROR((HistoricalFS!C33/SUM(HistoricalFS!C47:C48)),0)</f>
        <v>0.45375950683489796</v>
      </c>
      <c r="D23" s="35">
        <f>IFERROR((HistoricalFS!D33/SUM(HistoricalFS!D47:D48)),0)</f>
        <v>0.37014400334107</v>
      </c>
      <c r="E23" s="35">
        <f>IFERROR((HistoricalFS!E33/SUM(HistoricalFS!E47:E48)),0)</f>
        <v>0.33905281878681304</v>
      </c>
      <c r="F23" s="35">
        <f>IFERROR((HistoricalFS!F33/SUM(HistoricalFS!F47:F48)),0)</f>
        <v>0.27213490479969743</v>
      </c>
      <c r="G23" s="35">
        <f>IFERROR((HistoricalFS!G33/SUM(HistoricalFS!G47:G48)),0)</f>
        <v>0.24589942546451612</v>
      </c>
      <c r="H23" s="35">
        <f>IFERROR((HistoricalFS!H33/SUM(HistoricalFS!H47:H48)),0)</f>
        <v>0.22312584494210319</v>
      </c>
      <c r="I23" s="35">
        <f>IFERROR((HistoricalFS!I33/SUM(HistoricalFS!I47:I48)),0)</f>
        <v>0.25682799472157686</v>
      </c>
      <c r="J23" s="35">
        <f>IFERROR((HistoricalFS!J33/SUM(HistoricalFS!J47:J48)),0)</f>
        <v>0.43338989643877934</v>
      </c>
      <c r="K23" s="35">
        <f>IFERROR((HistoricalFS!K33/SUM(HistoricalFS!K47:K48)),0)</f>
        <v>0.50589500019545808</v>
      </c>
      <c r="L23" s="35">
        <f>IFERROR((HistoricalFS!L33/SUM(HistoricalFS!L47:L48)),0)</f>
        <v>0.48650782198304049</v>
      </c>
      <c r="N23" s="35">
        <f t="shared" si="2"/>
        <v>0.35867372175079526</v>
      </c>
      <c r="O23" s="35">
        <f t="shared" si="1"/>
        <v>0.35459841106394152</v>
      </c>
    </row>
    <row r="24" spans="2:15" x14ac:dyDescent="0.35">
      <c r="B24" s="34" t="s">
        <v>131</v>
      </c>
      <c r="C24" s="35">
        <f>IFERROR(C22*C23,0)</f>
        <v>0.27340842740975607</v>
      </c>
      <c r="D24" s="35">
        <f t="shared" ref="D24:L24" si="4">IFERROR(D22*D23,0)</f>
        <v>0.21600501160540006</v>
      </c>
      <c r="E24" s="35">
        <f t="shared" si="4"/>
        <v>0.22431251434253857</v>
      </c>
      <c r="F24" s="35">
        <f t="shared" si="4"/>
        <v>0.17422730880204129</v>
      </c>
      <c r="G24" s="35">
        <f t="shared" si="4"/>
        <v>0.15779028427322839</v>
      </c>
      <c r="H24" s="35">
        <f t="shared" si="4"/>
        <v>0.13837888673367435</v>
      </c>
      <c r="I24" s="35">
        <f t="shared" si="4"/>
        <v>6.564414251742634E-2</v>
      </c>
      <c r="J24" s="35">
        <f t="shared" si="4"/>
        <v>0</v>
      </c>
      <c r="K24" s="35">
        <f t="shared" si="4"/>
        <v>0</v>
      </c>
      <c r="L24" s="35">
        <f t="shared" si="4"/>
        <v>0</v>
      </c>
      <c r="N24" s="35">
        <f t="shared" si="2"/>
        <v>0.12497665756840652</v>
      </c>
      <c r="O24" s="35">
        <f t="shared" si="1"/>
        <v>0.14808458550345138</v>
      </c>
    </row>
    <row r="25" spans="2:15" x14ac:dyDescent="0.35">
      <c r="B25" s="36" t="s">
        <v>132</v>
      </c>
      <c r="C25" s="39">
        <f>IFERROR((HistoricalFS!C18-HistoricalFS!C24)/HistoricalFS!C21,0)</f>
        <v>65.623642943305242</v>
      </c>
      <c r="D25" s="39">
        <f>IFERROR((HistoricalFS!D18-HistoricalFS!D24)/HistoricalFS!D21,0)</f>
        <v>188.04145077720199</v>
      </c>
      <c r="E25" s="39">
        <f>IFERROR((HistoricalFS!E18-HistoricalFS!E24)/HistoricalFS!E21,0)</f>
        <v>227.95893223819323</v>
      </c>
      <c r="F25" s="39">
        <f>IFERROR((HistoricalFS!F18-HistoricalFS!F24)/HistoricalFS!F21,0)</f>
        <v>212.64403669724774</v>
      </c>
      <c r="G25" s="39">
        <f>IFERROR((HistoricalFS!G18-HistoricalFS!G24)/HistoricalFS!G21,0)</f>
        <v>179.10408432147548</v>
      </c>
      <c r="H25" s="39">
        <f>IFERROR((HistoricalFS!H18-HistoricalFS!H24)/HistoricalFS!H21,0)</f>
        <v>172.77997799779985</v>
      </c>
      <c r="I25" s="39">
        <f>IFERROR((HistoricalFS!I18-HistoricalFS!I24)/HistoricalFS!I21,0)</f>
        <v>21.565279583875167</v>
      </c>
      <c r="J25" s="39">
        <f>IFERROR((HistoricalFS!J18-HistoricalFS!J24)/HistoricalFS!J21,0)</f>
        <v>20.842560865644725</v>
      </c>
      <c r="K25" s="39">
        <f>IFERROR((HistoricalFS!K18-HistoricalFS!K24)/HistoricalFS!K21,0)</f>
        <v>13.866310901656396</v>
      </c>
      <c r="L25" s="39">
        <f>IFERROR((HistoricalFS!L18-HistoricalFS!L24)/HistoricalFS!L21,0)</f>
        <v>15.405085748078067</v>
      </c>
      <c r="M25" s="37"/>
      <c r="N25" s="39">
        <f t="shared" si="2"/>
        <v>111.7831362074478</v>
      </c>
      <c r="O25" s="39">
        <f t="shared" si="1"/>
        <v>119.20181047055254</v>
      </c>
    </row>
    <row r="26" spans="2:15" x14ac:dyDescent="0.35">
      <c r="B26" s="30"/>
    </row>
    <row r="27" spans="2:15" x14ac:dyDescent="0.35">
      <c r="B27" s="31" t="s">
        <v>133</v>
      </c>
      <c r="C27" s="40">
        <f>IFERROR(HistoricalFS!C6/HistoricalFS!C59,0)</f>
        <v>63.594388224471018</v>
      </c>
      <c r="D27" s="40">
        <f>IFERROR(HistoricalFS!D6/HistoricalFS!D59,0)</f>
        <v>57.863338487592962</v>
      </c>
      <c r="E27" s="40">
        <f>IFERROR(HistoricalFS!E6/HistoricalFS!E59,0)</f>
        <v>49.218861731434259</v>
      </c>
      <c r="F27" s="40">
        <f>IFERROR(HistoricalFS!F6/HistoricalFS!F59,0)</f>
        <v>50.536336235766917</v>
      </c>
      <c r="G27" s="40">
        <f>IFERROR(HistoricalFS!G6/HistoricalFS!G59,0)</f>
        <v>32.547570584372941</v>
      </c>
      <c r="H27" s="40">
        <f>IFERROR(HistoricalFS!H6/HistoricalFS!H59,0)</f>
        <v>28.040457589285715</v>
      </c>
      <c r="I27" s="40">
        <f>IFERROR(HistoricalFS!I6/HistoricalFS!I59,0)</f>
        <v>36.20785990760394</v>
      </c>
      <c r="J27" s="40">
        <f>IFERROR(HistoricalFS!J6/HistoricalFS!J59,0)</f>
        <v>51.059742682784623</v>
      </c>
      <c r="K27" s="40">
        <f>IFERROR(HistoricalFS!K6/HistoricalFS!K59,0)</f>
        <v>42.588075799114272</v>
      </c>
      <c r="L27" s="40">
        <f>IFERROR(HistoricalFS!L6/HistoricalFS!L59,0)</f>
        <v>49.554782027117405</v>
      </c>
      <c r="M27" s="32"/>
      <c r="N27" s="40">
        <f t="shared" si="2"/>
        <v>46.121141326954415</v>
      </c>
      <c r="O27" s="40">
        <f t="shared" ref="O27:O31" si="5">IFERROR(MEDIAN(C27:L27),0)</f>
        <v>49.386821879275828</v>
      </c>
    </row>
    <row r="28" spans="2:15" x14ac:dyDescent="0.35">
      <c r="B28" s="34" t="s">
        <v>134</v>
      </c>
      <c r="C28" s="41">
        <f>IFERROR(HistoricalFS!C6/HistoricalFS!C50,0)</f>
        <v>5.964374460742019</v>
      </c>
      <c r="D28" s="41">
        <f>IFERROR(HistoricalFS!D6/HistoricalFS!D50,0)</f>
        <v>5.6004760649101675</v>
      </c>
      <c r="E28" s="41">
        <f>IFERROR(HistoricalFS!E6/HistoricalFS!E50,0)</f>
        <v>6.6058544029956412</v>
      </c>
      <c r="F28" s="41">
        <f>IFERROR(HistoricalFS!F6/HistoricalFS!F50,0)</f>
        <v>7.0305555124163321</v>
      </c>
      <c r="G28" s="41">
        <f>IFERROR(HistoricalFS!G6/HistoricalFS!G50,0)</f>
        <v>6.2707480755729001</v>
      </c>
      <c r="H28" s="41">
        <f>IFERROR(HistoricalFS!H6/HistoricalFS!H50,0)</f>
        <v>6.0451637246538485</v>
      </c>
      <c r="I28" s="41">
        <f>IFERROR(HistoricalFS!I6/HistoricalFS!I50,0)</f>
        <v>6.1401869653595327</v>
      </c>
      <c r="J28" s="41">
        <f>IFERROR(HistoricalFS!J6/HistoricalFS!J50,0)</f>
        <v>5.6356031095018269</v>
      </c>
      <c r="K28" s="41">
        <f>IFERROR(HistoricalFS!K6/HistoricalFS!K50,0)</f>
        <v>5.710651121829831</v>
      </c>
      <c r="L28" s="41">
        <f>IFERROR(HistoricalFS!L6/HistoricalFS!L50,0)</f>
        <v>5.7781239808867522</v>
      </c>
      <c r="N28" s="41">
        <f t="shared" si="2"/>
        <v>6.0781737418868858</v>
      </c>
      <c r="O28" s="41">
        <f t="shared" si="5"/>
        <v>6.0047690926979342</v>
      </c>
    </row>
    <row r="29" spans="2:15" x14ac:dyDescent="0.35">
      <c r="B29" s="34" t="s">
        <v>135</v>
      </c>
      <c r="C29" s="41">
        <f>IFERROR(HistoricalFS!C6/HistoricalFS!C60,0)</f>
        <v>16.448259452256885</v>
      </c>
      <c r="D29" s="41">
        <f>IFERROR(HistoricalFS!D6/HistoricalFS!D60,0)</f>
        <v>19.449608949608947</v>
      </c>
      <c r="E29" s="41">
        <f>IFERROR(HistoricalFS!E6/HistoricalFS!E60,0)</f>
        <v>19.056462044706684</v>
      </c>
      <c r="F29" s="41">
        <f>IFERROR(HistoricalFS!F6/HistoricalFS!F60,0)</f>
        <v>13.688245521203417</v>
      </c>
      <c r="G29" s="41">
        <f>IFERROR(HistoricalFS!G6/HistoricalFS!G60,0)</f>
        <v>15.18710458187166</v>
      </c>
      <c r="H29" s="41">
        <f>IFERROR(HistoricalFS!H6/HistoricalFS!H60,0)</f>
        <v>14.147623435460339</v>
      </c>
      <c r="I29" s="41">
        <f>IFERROR(HistoricalFS!I6/HistoricalFS!I60,0)</f>
        <v>15.654758691427336</v>
      </c>
      <c r="J29" s="41">
        <f>IFERROR(HistoricalFS!J6/HistoricalFS!J60,0)</f>
        <v>12.035053000943664</v>
      </c>
      <c r="K29" s="41">
        <f>IFERROR(HistoricalFS!K6/HistoricalFS!K60,0)</f>
        <v>10.33737723859041</v>
      </c>
      <c r="L29" s="41">
        <f>IFERROR(HistoricalFS!L6/HistoricalFS!L60,0)</f>
        <v>13.660518244137908</v>
      </c>
      <c r="N29" s="41">
        <f t="shared" si="2"/>
        <v>14.966501116020726</v>
      </c>
      <c r="O29" s="41">
        <f t="shared" si="5"/>
        <v>14.667364008665999</v>
      </c>
    </row>
    <row r="30" spans="2:15" x14ac:dyDescent="0.35">
      <c r="B30" s="34" t="s">
        <v>136</v>
      </c>
      <c r="C30" s="41">
        <f>IFERROR(HistoricalFS!C6/HistoricalFS!D53,0)</f>
        <v>8.1897354484817608</v>
      </c>
      <c r="D30" s="41">
        <f>IFERROR(HistoricalFS!D6/HistoricalFS!E53,0)</f>
        <v>8.2699318067014644</v>
      </c>
      <c r="E30" s="41">
        <f>IFERROR(HistoricalFS!E6/HistoricalFS!F53,0)</f>
        <v>7.2390537849464218</v>
      </c>
      <c r="F30" s="41">
        <f>IFERROR(HistoricalFS!F6/HistoricalFS!G53,0)</f>
        <v>6.7286637931034488</v>
      </c>
      <c r="G30" s="41">
        <f>IFERROR(HistoricalFS!G6/HistoricalFS!H53,0)</f>
        <v>5.872173191968252</v>
      </c>
      <c r="H30" s="41">
        <f>IFERROR(HistoricalFS!H6/HistoricalFS!I53,0)</f>
        <v>5.8858416126249882</v>
      </c>
      <c r="I30" s="41">
        <f>IFERROR(HistoricalFS!I6/HistoricalFS!J53,0)</f>
        <v>6.4695334504587407</v>
      </c>
      <c r="J30" s="41">
        <f>IFERROR(HistoricalFS!J6/HistoricalFS!K53,0)</f>
        <v>7.4926221045967107</v>
      </c>
      <c r="K30" s="41">
        <f>IFERROR(HistoricalFS!K6/HistoricalFS!L53,0)</f>
        <v>5.3239505577692245</v>
      </c>
      <c r="L30" s="41">
        <f>IFERROR(HistoricalFS!L6/HistoricalFS!M53,0)</f>
        <v>0</v>
      </c>
      <c r="N30" s="41">
        <f t="shared" si="2"/>
        <v>6.1471505750651012</v>
      </c>
      <c r="O30" s="41">
        <f t="shared" si="5"/>
        <v>6.5990986217810947</v>
      </c>
    </row>
    <row r="31" spans="2:15" x14ac:dyDescent="0.35">
      <c r="B31" s="36" t="s">
        <v>137</v>
      </c>
      <c r="C31" s="39">
        <f>IFERROR((HistoricalFS!C6/SUM(HistoricalFS!C47:C48)),0)</f>
        <v>8.6613499392314335</v>
      </c>
      <c r="D31" s="39">
        <f>IFERROR((HistoricalFS!D6/SUM(HistoricalFS!D47:D48)),0)</f>
        <v>6.3114262996843662</v>
      </c>
      <c r="E31" s="39">
        <f>IFERROR((HistoricalFS!E6/SUM(HistoricalFS!E47:E48)),0)</f>
        <v>4.0145863612024781</v>
      </c>
      <c r="F31" s="39">
        <f>IFERROR((HistoricalFS!F6/SUM(HistoricalFS!F47:F48)),0)</f>
        <v>3.3578188857818887</v>
      </c>
      <c r="G31" s="39">
        <f>IFERROR((HistoricalFS!G6/SUM(HistoricalFS!G47:G48)),0)</f>
        <v>2.9105462637578787</v>
      </c>
      <c r="H31" s="39">
        <f>IFERROR((HistoricalFS!H6/SUM(HistoricalFS!H47:H48)),0)</f>
        <v>2.5991112678539938</v>
      </c>
      <c r="I31" s="39">
        <f>IFERROR((HistoricalFS!I6/SUM(HistoricalFS!I47:I48)),0)</f>
        <v>2.634566858134427</v>
      </c>
      <c r="J31" s="39">
        <f>IFERROR((HistoricalFS!J6/SUM(HistoricalFS!J47:J48)),0)</f>
        <v>3.7027618204675754</v>
      </c>
      <c r="K31" s="39">
        <f>IFERROR((HistoricalFS!K6/SUM(HistoricalFS!K47:K48)),0)</f>
        <v>5.5260779484773845</v>
      </c>
      <c r="L31" s="39">
        <f>IFERROR((HistoricalFS!L6/SUM(HistoricalFS!L47:L48)),0)</f>
        <v>4.6121405551924441</v>
      </c>
      <c r="M31" s="37"/>
      <c r="N31" s="39">
        <f t="shared" si="2"/>
        <v>4.4330386199783876</v>
      </c>
      <c r="O31" s="39">
        <f t="shared" si="5"/>
        <v>3.8586740908350268</v>
      </c>
    </row>
    <row r="32" spans="2:15" x14ac:dyDescent="0.35">
      <c r="B32" s="30"/>
    </row>
    <row r="33" spans="2:15" x14ac:dyDescent="0.35">
      <c r="B33" s="31" t="s">
        <v>138</v>
      </c>
      <c r="C33" s="42">
        <f>IFERROR(365/C27,0)</f>
        <v>5.7395001381513184</v>
      </c>
      <c r="D33" s="42">
        <f t="shared" ref="D33:L33" si="6">IFERROR(365/D27,0)</f>
        <v>6.3079664869019467</v>
      </c>
      <c r="E33" s="42">
        <f t="shared" si="6"/>
        <v>7.4158561811454504</v>
      </c>
      <c r="F33" s="42">
        <f t="shared" si="6"/>
        <v>7.2225259523596508</v>
      </c>
      <c r="G33" s="42">
        <f t="shared" si="6"/>
        <v>11.2143546644691</v>
      </c>
      <c r="H33" s="42">
        <f t="shared" si="6"/>
        <v>13.016905977292854</v>
      </c>
      <c r="I33" s="42">
        <f t="shared" si="6"/>
        <v>10.080684164471899</v>
      </c>
      <c r="J33" s="42">
        <f t="shared" si="6"/>
        <v>7.1484888254845034</v>
      </c>
      <c r="K33" s="42">
        <f t="shared" si="6"/>
        <v>8.5704740857907247</v>
      </c>
      <c r="L33" s="42">
        <f t="shared" si="6"/>
        <v>7.3655858237912222</v>
      </c>
      <c r="M33" s="32"/>
      <c r="N33" s="42">
        <f t="shared" si="2"/>
        <v>8.4082342299858652</v>
      </c>
      <c r="O33" s="42">
        <f t="shared" ref="O33:O36" si="7">IFERROR(MEDIAN(C33:L33),0)</f>
        <v>7.3907210024683359</v>
      </c>
    </row>
    <row r="34" spans="2:15" x14ac:dyDescent="0.35">
      <c r="B34" s="34" t="s">
        <v>139</v>
      </c>
      <c r="C34" s="43">
        <f>IFERROR(365/C28,0)</f>
        <v>61.196694205311665</v>
      </c>
      <c r="D34" s="43">
        <f t="shared" ref="D34:L34" si="8">IFERROR(365/D28,0)</f>
        <v>65.173030965512154</v>
      </c>
      <c r="E34" s="43">
        <f t="shared" si="8"/>
        <v>55.254018289364474</v>
      </c>
      <c r="F34" s="43">
        <f t="shared" si="8"/>
        <v>51.916238959409498</v>
      </c>
      <c r="G34" s="43">
        <f t="shared" si="8"/>
        <v>58.206771441165465</v>
      </c>
      <c r="H34" s="43">
        <f t="shared" si="8"/>
        <v>60.378844415979856</v>
      </c>
      <c r="I34" s="43">
        <f t="shared" si="8"/>
        <v>59.444443965498657</v>
      </c>
      <c r="J34" s="43">
        <f t="shared" si="8"/>
        <v>64.766803642470322</v>
      </c>
      <c r="K34" s="43">
        <f t="shared" si="8"/>
        <v>63.915653786786599</v>
      </c>
      <c r="L34" s="43">
        <f t="shared" si="8"/>
        <v>63.169291833711135</v>
      </c>
      <c r="N34" s="43">
        <f t="shared" si="2"/>
        <v>60.342179150520977</v>
      </c>
      <c r="O34" s="43">
        <f t="shared" si="7"/>
        <v>60.787769310645757</v>
      </c>
    </row>
    <row r="35" spans="2:15" x14ac:dyDescent="0.35">
      <c r="B35" s="34" t="s">
        <v>140</v>
      </c>
      <c r="C35" s="43">
        <f>IFERROR(365/C29,0)</f>
        <v>22.190797820247049</v>
      </c>
      <c r="D35" s="43">
        <f t="shared" ref="D35:L35" si="9">IFERROR(365/D29,0)</f>
        <v>18.766444145260753</v>
      </c>
      <c r="E35" s="43">
        <f t="shared" si="9"/>
        <v>19.153607796856818</v>
      </c>
      <c r="F35" s="43">
        <f t="shared" si="9"/>
        <v>26.665214284373139</v>
      </c>
      <c r="G35" s="43">
        <f t="shared" si="9"/>
        <v>24.033547542412286</v>
      </c>
      <c r="H35" s="43">
        <f t="shared" si="9"/>
        <v>25.799386141784424</v>
      </c>
      <c r="I35" s="43">
        <f t="shared" si="9"/>
        <v>23.315594139427827</v>
      </c>
      <c r="J35" s="43">
        <f t="shared" si="9"/>
        <v>30.328075827450071</v>
      </c>
      <c r="K35" s="43">
        <f t="shared" si="9"/>
        <v>35.308762713758803</v>
      </c>
      <c r="L35" s="43">
        <f t="shared" si="9"/>
        <v>26.719337691059504</v>
      </c>
      <c r="N35" s="43">
        <f t="shared" si="2"/>
        <v>25.228076810263069</v>
      </c>
      <c r="O35" s="43">
        <f t="shared" si="7"/>
        <v>24.916466842098355</v>
      </c>
    </row>
    <row r="36" spans="2:15" x14ac:dyDescent="0.35">
      <c r="B36" s="36" t="s">
        <v>144</v>
      </c>
      <c r="C36" s="44">
        <f>SUM(C33,C35)-C34</f>
        <v>-33.266396246913303</v>
      </c>
      <c r="D36" s="44">
        <f t="shared" ref="D36:L36" si="10">SUM(D33,D35)-D34</f>
        <v>-40.098620333349459</v>
      </c>
      <c r="E36" s="44">
        <f t="shared" si="10"/>
        <v>-28.684554311362206</v>
      </c>
      <c r="F36" s="44">
        <f t="shared" si="10"/>
        <v>-18.028498722676709</v>
      </c>
      <c r="G36" s="44">
        <f t="shared" si="10"/>
        <v>-22.95886923428408</v>
      </c>
      <c r="H36" s="44">
        <f t="shared" si="10"/>
        <v>-21.562552296902581</v>
      </c>
      <c r="I36" s="44">
        <f t="shared" si="10"/>
        <v>-26.048165661598929</v>
      </c>
      <c r="J36" s="44">
        <f t="shared" si="10"/>
        <v>-27.290238989535744</v>
      </c>
      <c r="K36" s="44">
        <f t="shared" si="10"/>
        <v>-20.036416987237068</v>
      </c>
      <c r="L36" s="44">
        <f t="shared" si="10"/>
        <v>-29.084368318860406</v>
      </c>
      <c r="M36" s="37"/>
      <c r="N36" s="44">
        <f t="shared" si="2"/>
        <v>-26.705868110272046</v>
      </c>
      <c r="O36" s="44">
        <f t="shared" si="7"/>
        <v>-26.669202325567337</v>
      </c>
    </row>
    <row r="37" spans="2:15" x14ac:dyDescent="0.35">
      <c r="B37" s="30"/>
    </row>
    <row r="38" spans="2:15" x14ac:dyDescent="0.35">
      <c r="B38" s="31" t="s">
        <v>141</v>
      </c>
      <c r="C38" s="33">
        <f>IFERROR(HistoricalFS!C70/HistoricalFS!C6,0)</f>
        <v>9.7137012835776415E-2</v>
      </c>
      <c r="D38" s="33">
        <f>IFERROR(HistoricalFS!D70/HistoricalFS!D6,0)</f>
        <v>7.4373729070220232E-2</v>
      </c>
      <c r="E38" s="33">
        <f>IFERROR(HistoricalFS!E70/HistoricalFS!E6,0)</f>
        <v>0.1142317168875927</v>
      </c>
      <c r="F38" s="33">
        <f>IFERROR(HistoricalFS!F70/HistoricalFS!F6,0)</f>
        <v>4.873819456179472E-2</v>
      </c>
      <c r="G38" s="33">
        <f>IFERROR(HistoricalFS!G70/HistoricalFS!G6,0)</f>
        <v>0.12596038527373943</v>
      </c>
      <c r="H38" s="33">
        <f>IFERROR(HistoricalFS!H70/HistoricalFS!H6,0)</f>
        <v>0.10455128918366627</v>
      </c>
      <c r="I38" s="33">
        <f>IFERROR(HistoricalFS!I70/HistoricalFS!I6,0)</f>
        <v>0.12798168894482975</v>
      </c>
      <c r="J38" s="33">
        <f>IFERROR(HistoricalFS!J70/HistoricalFS!J6,0)</f>
        <v>0.14277557943200972</v>
      </c>
      <c r="K38" s="33">
        <f>IFERROR(HistoricalFS!K70/HistoricalFS!K6,0)</f>
        <v>9.1928133749662216E-2</v>
      </c>
      <c r="L38" s="33">
        <f>IFERROR(HistoricalFS!L70/HistoricalFS!L6,0)</f>
        <v>0.15497697930437931</v>
      </c>
      <c r="N38" s="15">
        <f t="shared" si="2"/>
        <v>0.10826547092436707</v>
      </c>
      <c r="O38" s="15">
        <f t="shared" ref="O38:O40" si="11">IFERROR(MEDIAN(C38:L38),0)</f>
        <v>0.10939150303562949</v>
      </c>
    </row>
    <row r="39" spans="2:15" x14ac:dyDescent="0.35">
      <c r="B39" s="34" t="s">
        <v>142</v>
      </c>
      <c r="C39" s="35">
        <f>IFERROR(HistoricalFS!C70/HistoricalFS!C64,0)</f>
        <v>0.31870974478729108</v>
      </c>
      <c r="D39" s="35">
        <f>IFERROR(HistoricalFS!D70/HistoricalFS!D64,0)</f>
        <v>0.20923264181001305</v>
      </c>
      <c r="E39" s="35">
        <f>IFERROR(HistoricalFS!E70/HistoricalFS!E64,0)</f>
        <v>0.27454341983622932</v>
      </c>
      <c r="F39" s="35">
        <f>IFERROR(HistoricalFS!F70/HistoricalFS!F64,0)</f>
        <v>0.10739875389408099</v>
      </c>
      <c r="G39" s="35">
        <f>IFERROR(HistoricalFS!G70/HistoricalFS!G64,0)</f>
        <v>0.24070725840028373</v>
      </c>
      <c r="H39" s="35">
        <f>IFERROR(HistoricalFS!H70/HistoricalFS!H64,0)</f>
        <v>0.18528202374177413</v>
      </c>
      <c r="I39" s="35">
        <f>IFERROR(HistoricalFS!I70/HistoricalFS!I64,0)</f>
        <v>0.18960628593761575</v>
      </c>
      <c r="J39" s="35">
        <f>IFERROR(HistoricalFS!J70/HistoricalFS!J64,0)</f>
        <v>0.23443736257967096</v>
      </c>
      <c r="K39" s="35">
        <f>IFERROR(HistoricalFS!K70/HistoricalFS!K64,0)</f>
        <v>0.17292992952498565</v>
      </c>
      <c r="L39" s="35">
        <f>IFERROR(HistoricalFS!L70/HistoricalFS!L64,0)</f>
        <v>0.2701043119007091</v>
      </c>
      <c r="N39" s="15">
        <f t="shared" si="2"/>
        <v>0.22029517324126538</v>
      </c>
      <c r="O39" s="15">
        <f t="shared" si="11"/>
        <v>0.22183500219484201</v>
      </c>
    </row>
    <row r="40" spans="2:15" x14ac:dyDescent="0.35">
      <c r="B40" s="36" t="s">
        <v>143</v>
      </c>
      <c r="C40" s="38">
        <f>IFERROR(HistoricalFS!C70/HistoricalFS!C49,0)</f>
        <v>4.4837072649572658</v>
      </c>
      <c r="D40" s="38">
        <f>IFERROR(HistoricalFS!D70/HistoricalFS!D49,0)</f>
        <v>4.0288136761563385</v>
      </c>
      <c r="E40" s="38">
        <f>IFERROR(HistoricalFS!E70/HistoricalFS!E49,0)</f>
        <v>7.3195726821823728</v>
      </c>
      <c r="F40" s="38">
        <f>IFERROR(HistoricalFS!F70/HistoricalFS!F49,0)</f>
        <v>3.5427103403982012</v>
      </c>
      <c r="G40" s="38">
        <f>IFERROR(HistoricalFS!G70/HistoricalFS!G49,0)</f>
        <v>6.2220727453911309</v>
      </c>
      <c r="H40" s="38">
        <f>IFERROR(HistoricalFS!H70/HistoricalFS!H49,0)</f>
        <v>7.4078964235354432</v>
      </c>
      <c r="I40" s="38">
        <f>IFERROR(HistoricalFS!I70/HistoricalFS!I49,0)</f>
        <v>0.96549145090693878</v>
      </c>
      <c r="J40" s="38">
        <f>IFERROR(HistoricalFS!J70/HistoricalFS!J49,0)</f>
        <v>0.88404956846774219</v>
      </c>
      <c r="K40" s="38">
        <f>IFERROR(HistoricalFS!K70/HistoricalFS!K49,0)</f>
        <v>0.52374657423827187</v>
      </c>
      <c r="L40" s="38">
        <f>IFERROR(HistoricalFS!L70/HistoricalFS!L49,0)</f>
        <v>0.84280886243606901</v>
      </c>
      <c r="N40" s="15">
        <f t="shared" si="2"/>
        <v>3.6220869588669773</v>
      </c>
      <c r="O40" s="15">
        <f t="shared" si="11"/>
        <v>3.7857620082772696</v>
      </c>
    </row>
  </sheetData>
  <mergeCells count="1">
    <mergeCell ref="B2:O2"/>
  </mergeCells>
  <pageMargins left="0.25" right="0.25" top="0.75" bottom="0.75" header="0.3" footer="0.3"/>
  <pageSetup paperSize="9" scale="64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F9BF343E-EBA4-463B-AA39-5F0AC4FAA220}">
          <x14:colorSeries theme="4" tint="0.59999389629810485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5526FDA0-9CA7-42B5-A690-5F8FCF519D9A}">
          <x14:colorSeries theme="4" tint="0.59999389629810485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82EA-2F15-4F84-9574-00F602FE0E17}">
  <sheetPr>
    <pageSetUpPr fitToPage="1"/>
  </sheetPr>
  <dimension ref="B2:T20"/>
  <sheetViews>
    <sheetView showGridLines="0" topLeftCell="A13" workbookViewId="0">
      <selection activeCell="G36" sqref="G36"/>
    </sheetView>
  </sheetViews>
  <sheetFormatPr defaultRowHeight="14.5" x14ac:dyDescent="0.35"/>
  <cols>
    <col min="1" max="1" width="2.26953125" customWidth="1"/>
    <col min="2" max="2" width="12" bestFit="1" customWidth="1"/>
    <col min="3" max="3" width="6.26953125" bestFit="1" customWidth="1"/>
    <col min="4" max="4" width="9.7265625" bestFit="1" customWidth="1"/>
    <col min="5" max="5" width="12.7265625" bestFit="1" customWidth="1"/>
    <col min="6" max="6" width="2.7265625" customWidth="1"/>
    <col min="7" max="7" width="12" bestFit="1" customWidth="1"/>
    <col min="8" max="8" width="6.26953125" bestFit="1" customWidth="1"/>
    <col min="9" max="9" width="9.7265625" bestFit="1" customWidth="1"/>
    <col min="10" max="10" width="14.54296875" customWidth="1"/>
    <col min="11" max="11" width="2.7265625" customWidth="1"/>
    <col min="12" max="12" width="12.26953125" customWidth="1"/>
    <col min="13" max="13" width="8.6328125" customWidth="1"/>
    <col min="14" max="14" width="9.81640625" customWidth="1"/>
    <col min="15" max="15" width="11.26953125" bestFit="1" customWidth="1"/>
    <col min="16" max="16" width="2.7265625" customWidth="1"/>
    <col min="17" max="17" width="12" bestFit="1" customWidth="1"/>
    <col min="18" max="18" width="6.26953125" bestFit="1" customWidth="1"/>
    <col min="19" max="19" width="8.26953125" bestFit="1" customWidth="1"/>
    <col min="20" max="20" width="17.453125" customWidth="1"/>
  </cols>
  <sheetData>
    <row r="2" spans="2:20" x14ac:dyDescent="0.35">
      <c r="B2" s="140" t="str">
        <f>'Data Sheet'!$B$1&amp;" - "&amp;'Data Sheet'!A42&amp;" Forecasting"</f>
        <v>BRITANNIA INDUSTRIES LTD - Sales Forecasting</v>
      </c>
      <c r="C2" s="140"/>
      <c r="D2" s="140"/>
      <c r="E2" s="140"/>
      <c r="G2" s="140" t="str">
        <f>'Data Sheet'!$B$1&amp;" - "&amp;'Data Sheet'!A34&amp;" Forecasting"</f>
        <v>BRITANNIA INDUSTRIES LTD - EBITDA Forecasting</v>
      </c>
      <c r="H2" s="140"/>
      <c r="I2" s="140"/>
      <c r="J2" s="140"/>
      <c r="L2" s="140" t="str">
        <f>'Data Sheet'!$B$1&amp;" - "&amp;'Intrinsic Growth'!B34&amp;" Forecasting"</f>
        <v>BRITANNIA INDUSTRIES LTD - EBIT Forecasting</v>
      </c>
      <c r="M2" s="140"/>
      <c r="N2" s="140"/>
      <c r="O2" s="140"/>
      <c r="Q2" s="140" t="str">
        <f>'Data Sheet'!$B$1&amp;" - "&amp;"EPS Forecasting"</f>
        <v>BRITANNIA INDUSTRIES LTD - EPS Forecasting</v>
      </c>
      <c r="R2" s="140"/>
      <c r="S2" s="140"/>
      <c r="T2" s="140"/>
    </row>
    <row r="3" spans="2:20" x14ac:dyDescent="0.35">
      <c r="B3" s="144" t="s">
        <v>148</v>
      </c>
      <c r="C3" s="145" t="s">
        <v>149</v>
      </c>
      <c r="D3" s="145" t="s">
        <v>12</v>
      </c>
      <c r="E3" s="145" t="s">
        <v>60</v>
      </c>
      <c r="G3" s="144" t="s">
        <v>148</v>
      </c>
      <c r="H3" s="145" t="s">
        <v>149</v>
      </c>
      <c r="I3" s="145" t="s">
        <v>28</v>
      </c>
      <c r="J3" s="145" t="s">
        <v>117</v>
      </c>
      <c r="L3" s="144" t="s">
        <v>148</v>
      </c>
      <c r="M3" s="145" t="s">
        <v>149</v>
      </c>
      <c r="N3" s="145" t="s">
        <v>289</v>
      </c>
      <c r="O3" s="145" t="s">
        <v>118</v>
      </c>
      <c r="Q3" s="144" t="s">
        <v>148</v>
      </c>
      <c r="R3" s="145" t="s">
        <v>149</v>
      </c>
      <c r="S3" s="145" t="s">
        <v>150</v>
      </c>
      <c r="T3" s="145" t="s">
        <v>151</v>
      </c>
    </row>
    <row r="4" spans="2:20" x14ac:dyDescent="0.35">
      <c r="B4" s="45">
        <v>1</v>
      </c>
      <c r="C4" s="47">
        <f>'Data Sheet'!$B$16</f>
        <v>41729</v>
      </c>
      <c r="D4" s="48">
        <f t="array" ref="D4:D13">TRANSPOSE('Data Sheet'!B17:K17)</f>
        <v>6912.71</v>
      </c>
      <c r="G4" s="45">
        <v>1</v>
      </c>
      <c r="H4" s="47">
        <f>'Data Sheet'!$B$16</f>
        <v>41729</v>
      </c>
      <c r="I4" s="48">
        <f t="array" ref="I4:I13">TRANSPOSE('Data Sheet'!B34:K34)</f>
        <v>660.40000000000009</v>
      </c>
      <c r="L4" s="45">
        <v>1</v>
      </c>
      <c r="M4" s="47">
        <f>'Data Sheet'!$B$16</f>
        <v>41729</v>
      </c>
      <c r="N4" s="48">
        <f t="array" ref="N4:N13">TRANSPOSE('Data Sheet'!B36:K36)</f>
        <v>577.22</v>
      </c>
      <c r="Q4" s="45">
        <v>1</v>
      </c>
      <c r="R4" s="47">
        <f>'Data Sheet'!$B$16</f>
        <v>41729</v>
      </c>
      <c r="S4" s="48">
        <f t="array" ref="S4:S13">TRANSPOSE(HistoricalFS!C38:M38)</f>
        <v>15.095873280533574</v>
      </c>
    </row>
    <row r="5" spans="2:20" x14ac:dyDescent="0.35">
      <c r="B5" s="45">
        <f>B4+1</f>
        <v>2</v>
      </c>
      <c r="C5" s="47">
        <f>C4+365</f>
        <v>42094</v>
      </c>
      <c r="D5" s="48">
        <v>7858.42</v>
      </c>
      <c r="E5" s="15">
        <f>D5/D4-1</f>
        <v>0.13680741706219424</v>
      </c>
      <c r="G5" s="45">
        <f>G4+1</f>
        <v>2</v>
      </c>
      <c r="H5" s="47">
        <f>H4+365</f>
        <v>42094</v>
      </c>
      <c r="I5" s="48">
        <v>1098.0899999999999</v>
      </c>
      <c r="J5" s="15">
        <f>I5/I4-1</f>
        <v>0.66276499091459695</v>
      </c>
      <c r="L5" s="45">
        <f>L4+1</f>
        <v>2</v>
      </c>
      <c r="M5" s="47">
        <f>M4+365</f>
        <v>42094</v>
      </c>
      <c r="N5" s="48">
        <v>953.6099999999999</v>
      </c>
      <c r="O5" s="15">
        <f>N5/N4-1</f>
        <v>0.65207373271889368</v>
      </c>
      <c r="Q5" s="45">
        <f>Q4+1</f>
        <v>2</v>
      </c>
      <c r="R5" s="47">
        <f>R4+365</f>
        <v>42094</v>
      </c>
      <c r="S5" s="48">
        <v>19.210921217173809</v>
      </c>
      <c r="T5" s="15">
        <f>S5/S4-1</f>
        <v>0.27259422891066998</v>
      </c>
    </row>
    <row r="6" spans="2:20" x14ac:dyDescent="0.35">
      <c r="B6" s="45">
        <f t="shared" ref="B6:B18" si="0">B5+1</f>
        <v>3</v>
      </c>
      <c r="C6" s="47">
        <f t="shared" ref="C6:C18" si="1">C5+365</f>
        <v>42459</v>
      </c>
      <c r="D6" s="48">
        <v>8397.23</v>
      </c>
      <c r="E6" s="15">
        <f t="shared" ref="E6:E18" si="2">D6/D5-1</f>
        <v>6.8564673305829826E-2</v>
      </c>
      <c r="G6" s="45">
        <f t="shared" ref="G6:G13" si="3">G5+1</f>
        <v>3</v>
      </c>
      <c r="H6" s="47">
        <f t="shared" ref="H6:H15" si="4">H5+365</f>
        <v>42459</v>
      </c>
      <c r="I6" s="48">
        <v>1338.96</v>
      </c>
      <c r="J6" s="15">
        <f t="shared" ref="J6:J18" si="5">I6/I5-1</f>
        <v>0.2193536048957736</v>
      </c>
      <c r="L6" s="45">
        <f t="shared" ref="L6:L13" si="6">L5+1</f>
        <v>3</v>
      </c>
      <c r="M6" s="47">
        <f t="shared" ref="M6:M15" si="7">M5+365</f>
        <v>42459</v>
      </c>
      <c r="N6" s="48">
        <v>1225.55</v>
      </c>
      <c r="O6" s="15">
        <f t="shared" ref="O6:O18" si="8">N6/N5-1</f>
        <v>0.28516898941915469</v>
      </c>
      <c r="Q6" s="45">
        <f t="shared" ref="Q6:Q13" si="9">Q5+1</f>
        <v>3</v>
      </c>
      <c r="R6" s="47">
        <f t="shared" ref="R6:R15" si="10">R5+365</f>
        <v>42459</v>
      </c>
      <c r="S6" s="48">
        <v>29.549583333333377</v>
      </c>
      <c r="T6" s="15">
        <f t="shared" ref="T6:T18" si="11">S6/S5-1</f>
        <v>0.53816586926176191</v>
      </c>
    </row>
    <row r="7" spans="2:20" x14ac:dyDescent="0.35">
      <c r="B7" s="45">
        <f t="shared" si="0"/>
        <v>4</v>
      </c>
      <c r="C7" s="47">
        <f t="shared" si="1"/>
        <v>42824</v>
      </c>
      <c r="D7" s="48">
        <v>9054.09</v>
      </c>
      <c r="E7" s="15">
        <f t="shared" si="2"/>
        <v>7.8223414149666048E-2</v>
      </c>
      <c r="G7" s="45">
        <f t="shared" si="3"/>
        <v>4</v>
      </c>
      <c r="H7" s="47">
        <f t="shared" si="4"/>
        <v>42824</v>
      </c>
      <c r="I7" s="48">
        <v>1428.8600000000001</v>
      </c>
      <c r="J7" s="15">
        <f t="shared" si="5"/>
        <v>6.7141662185576934E-2</v>
      </c>
      <c r="L7" s="45">
        <f t="shared" si="6"/>
        <v>4</v>
      </c>
      <c r="M7" s="47">
        <f t="shared" si="7"/>
        <v>42824</v>
      </c>
      <c r="N7" s="48">
        <v>1309.5900000000001</v>
      </c>
      <c r="O7" s="15">
        <f t="shared" si="8"/>
        <v>6.8573293623271248E-2</v>
      </c>
      <c r="Q7" s="45">
        <f t="shared" si="9"/>
        <v>4</v>
      </c>
      <c r="R7" s="47">
        <f t="shared" si="10"/>
        <v>42824</v>
      </c>
      <c r="S7" s="48">
        <v>30.57458333333334</v>
      </c>
      <c r="T7" s="15">
        <f t="shared" si="11"/>
        <v>3.4687460342079035E-2</v>
      </c>
    </row>
    <row r="8" spans="2:20" x14ac:dyDescent="0.35">
      <c r="B8" s="45">
        <f t="shared" si="0"/>
        <v>5</v>
      </c>
      <c r="C8" s="47">
        <f t="shared" si="1"/>
        <v>43189</v>
      </c>
      <c r="D8" s="48">
        <v>9913.99</v>
      </c>
      <c r="E8" s="15">
        <f t="shared" si="2"/>
        <v>9.4973652791169538E-2</v>
      </c>
      <c r="G8" s="45">
        <f t="shared" si="3"/>
        <v>5</v>
      </c>
      <c r="H8" s="47">
        <f t="shared" si="4"/>
        <v>43189</v>
      </c>
      <c r="I8" s="48">
        <v>1668.11</v>
      </c>
      <c r="J8" s="15">
        <f t="shared" si="5"/>
        <v>0.16744117688226967</v>
      </c>
      <c r="L8" s="45">
        <f t="shared" si="6"/>
        <v>5</v>
      </c>
      <c r="M8" s="47">
        <f t="shared" si="7"/>
        <v>43189</v>
      </c>
      <c r="N8" s="48">
        <v>1526.04</v>
      </c>
      <c r="O8" s="15">
        <f t="shared" si="8"/>
        <v>0.16528073671912558</v>
      </c>
      <c r="Q8" s="45">
        <f t="shared" si="9"/>
        <v>5</v>
      </c>
      <c r="R8" s="47">
        <f t="shared" si="10"/>
        <v>43189</v>
      </c>
      <c r="S8" s="48">
        <v>34.885047896709651</v>
      </c>
      <c r="T8" s="15">
        <f t="shared" si="11"/>
        <v>0.14098195603787378</v>
      </c>
    </row>
    <row r="9" spans="2:20" x14ac:dyDescent="0.35">
      <c r="B9" s="45">
        <f t="shared" si="0"/>
        <v>6</v>
      </c>
      <c r="C9" s="47">
        <f t="shared" si="1"/>
        <v>43554</v>
      </c>
      <c r="D9" s="48">
        <v>11054.67</v>
      </c>
      <c r="E9" s="15">
        <f t="shared" si="2"/>
        <v>0.11505761050797925</v>
      </c>
      <c r="G9" s="45">
        <f t="shared" si="3"/>
        <v>6</v>
      </c>
      <c r="H9" s="47">
        <f t="shared" si="4"/>
        <v>43554</v>
      </c>
      <c r="I9" s="48">
        <v>1942.56</v>
      </c>
      <c r="J9" s="15">
        <f t="shared" si="5"/>
        <v>0.16452751916840014</v>
      </c>
      <c r="L9" s="45">
        <f t="shared" si="6"/>
        <v>6</v>
      </c>
      <c r="M9" s="47">
        <f t="shared" si="7"/>
        <v>43554</v>
      </c>
      <c r="N9" s="48">
        <v>1780.6799999999998</v>
      </c>
      <c r="O9" s="15">
        <f t="shared" si="8"/>
        <v>0.16686325391208601</v>
      </c>
      <c r="Q9" s="45">
        <f t="shared" si="9"/>
        <v>6</v>
      </c>
      <c r="R9" s="47">
        <f t="shared" si="10"/>
        <v>43554</v>
      </c>
      <c r="S9" s="48">
        <v>39.492717436537681</v>
      </c>
      <c r="T9" s="15">
        <f t="shared" si="11"/>
        <v>0.13208150246692441</v>
      </c>
    </row>
    <row r="10" spans="2:20" x14ac:dyDescent="0.35">
      <c r="B10" s="45">
        <f t="shared" si="0"/>
        <v>7</v>
      </c>
      <c r="C10" s="47">
        <f t="shared" si="1"/>
        <v>43919</v>
      </c>
      <c r="D10" s="48">
        <v>11599.55</v>
      </c>
      <c r="E10" s="15">
        <f t="shared" si="2"/>
        <v>4.9289576260530543E-2</v>
      </c>
      <c r="G10" s="45">
        <f t="shared" si="3"/>
        <v>7</v>
      </c>
      <c r="H10" s="47">
        <f t="shared" si="4"/>
        <v>43919</v>
      </c>
      <c r="I10" s="48">
        <v>2115.0400000000004</v>
      </c>
      <c r="J10" s="15">
        <f t="shared" si="5"/>
        <v>8.8790050242978591E-2</v>
      </c>
      <c r="L10" s="45">
        <f t="shared" si="6"/>
        <v>7</v>
      </c>
      <c r="M10" s="47">
        <f t="shared" si="7"/>
        <v>43919</v>
      </c>
      <c r="N10" s="48">
        <v>1930.2300000000005</v>
      </c>
      <c r="O10" s="15">
        <f t="shared" si="8"/>
        <v>8.3984769863198805E-2</v>
      </c>
      <c r="Q10" s="45">
        <f t="shared" si="9"/>
        <v>7</v>
      </c>
      <c r="R10" s="47">
        <f t="shared" si="10"/>
        <v>43919</v>
      </c>
      <c r="S10" s="48">
        <v>47.017463617463626</v>
      </c>
      <c r="T10" s="15">
        <f t="shared" si="11"/>
        <v>0.19053503200983157</v>
      </c>
    </row>
    <row r="11" spans="2:20" x14ac:dyDescent="0.35">
      <c r="B11" s="45">
        <f t="shared" si="0"/>
        <v>8</v>
      </c>
      <c r="C11" s="47">
        <f t="shared" si="1"/>
        <v>44284</v>
      </c>
      <c r="D11" s="48">
        <v>13136.14</v>
      </c>
      <c r="E11" s="15">
        <f t="shared" si="2"/>
        <v>0.13246979408683957</v>
      </c>
      <c r="G11" s="45">
        <f t="shared" si="3"/>
        <v>8</v>
      </c>
      <c r="H11" s="47">
        <f t="shared" si="4"/>
        <v>44284</v>
      </c>
      <c r="I11" s="48">
        <v>2835.67</v>
      </c>
      <c r="J11" s="15">
        <f t="shared" si="5"/>
        <v>0.34071696043573629</v>
      </c>
      <c r="L11" s="45">
        <f t="shared" si="6"/>
        <v>8</v>
      </c>
      <c r="M11" s="47">
        <f t="shared" si="7"/>
        <v>44284</v>
      </c>
      <c r="N11" s="48">
        <v>2637.82</v>
      </c>
      <c r="O11" s="15">
        <f t="shared" si="8"/>
        <v>0.3665832569175691</v>
      </c>
      <c r="Q11" s="45">
        <f t="shared" si="9"/>
        <v>8</v>
      </c>
      <c r="R11" s="47">
        <f t="shared" si="10"/>
        <v>44284</v>
      </c>
      <c r="S11" s="48">
        <v>63.823993358239932</v>
      </c>
      <c r="T11" s="15">
        <f t="shared" si="11"/>
        <v>0.35745292169554377</v>
      </c>
    </row>
    <row r="12" spans="2:20" x14ac:dyDescent="0.35">
      <c r="B12" s="45">
        <f t="shared" si="0"/>
        <v>9</v>
      </c>
      <c r="C12" s="47">
        <f t="shared" si="1"/>
        <v>44649</v>
      </c>
      <c r="D12" s="48">
        <v>14136.26</v>
      </c>
      <c r="E12" s="15">
        <f t="shared" si="2"/>
        <v>7.613499856122119E-2</v>
      </c>
      <c r="G12" s="45">
        <f t="shared" si="3"/>
        <v>9</v>
      </c>
      <c r="H12" s="47">
        <f t="shared" si="4"/>
        <v>44649</v>
      </c>
      <c r="I12" s="48">
        <v>2432</v>
      </c>
      <c r="J12" s="15">
        <f t="shared" si="5"/>
        <v>-0.14235436422432801</v>
      </c>
      <c r="L12" s="45">
        <f t="shared" si="6"/>
        <v>9</v>
      </c>
      <c r="M12" s="47">
        <f t="shared" si="7"/>
        <v>44649</v>
      </c>
      <c r="N12" s="48">
        <v>2231.46</v>
      </c>
      <c r="O12" s="15">
        <f t="shared" si="8"/>
        <v>-0.15405145157743894</v>
      </c>
      <c r="Q12" s="45">
        <f t="shared" si="9"/>
        <v>9</v>
      </c>
      <c r="R12" s="47">
        <f t="shared" si="10"/>
        <v>44649</v>
      </c>
      <c r="S12" s="48">
        <v>53.720630967206368</v>
      </c>
      <c r="T12" s="15">
        <f t="shared" si="11"/>
        <v>-0.15830037983245648</v>
      </c>
    </row>
    <row r="13" spans="2:20" x14ac:dyDescent="0.35">
      <c r="B13" s="45">
        <f t="shared" si="0"/>
        <v>10</v>
      </c>
      <c r="C13" s="47">
        <f t="shared" si="1"/>
        <v>45014</v>
      </c>
      <c r="D13" s="48">
        <v>16300.55</v>
      </c>
      <c r="E13" s="15">
        <f t="shared" si="2"/>
        <v>0.15310202274151719</v>
      </c>
      <c r="G13" s="45">
        <f t="shared" si="3"/>
        <v>10</v>
      </c>
      <c r="H13" s="47">
        <f t="shared" si="4"/>
        <v>45014</v>
      </c>
      <c r="I13" s="48">
        <v>3433.23</v>
      </c>
      <c r="J13" s="15">
        <f t="shared" si="5"/>
        <v>0.41168996710526318</v>
      </c>
      <c r="L13" s="45">
        <f t="shared" si="6"/>
        <v>10</v>
      </c>
      <c r="M13" s="47">
        <f t="shared" si="7"/>
        <v>45014</v>
      </c>
      <c r="N13" s="48">
        <v>3207.32</v>
      </c>
      <c r="O13" s="15">
        <f t="shared" si="8"/>
        <v>0.43731906464825721</v>
      </c>
      <c r="Q13" s="45">
        <f t="shared" si="9"/>
        <v>10</v>
      </c>
      <c r="R13" s="47">
        <f t="shared" si="10"/>
        <v>45014</v>
      </c>
      <c r="S13" s="48">
        <v>71.376089663760922</v>
      </c>
      <c r="T13" s="15">
        <f t="shared" si="11"/>
        <v>0.32865322649192796</v>
      </c>
    </row>
    <row r="14" spans="2:20" x14ac:dyDescent="0.35">
      <c r="B14" s="49">
        <f>B13+1</f>
        <v>11</v>
      </c>
      <c r="C14" s="50">
        <f t="shared" si="1"/>
        <v>45379</v>
      </c>
      <c r="D14" s="51">
        <f>FORECAST(B14,$D$4:$D$13,$B$4:$B$13)</f>
        <v>16199.929333333333</v>
      </c>
      <c r="E14" s="52">
        <f t="shared" si="2"/>
        <v>-6.1728387487947067E-3</v>
      </c>
      <c r="G14" s="49">
        <f>G13+1</f>
        <v>11</v>
      </c>
      <c r="H14" s="50">
        <f t="shared" si="4"/>
        <v>45379</v>
      </c>
      <c r="I14" s="51">
        <f>FORECAST(G14,$I$4:$I$13,$G$4:$G$13)</f>
        <v>3365.6046666666671</v>
      </c>
      <c r="J14" s="52">
        <f t="shared" si="5"/>
        <v>-1.9697291860240385E-2</v>
      </c>
      <c r="L14" s="49">
        <f>L13+1</f>
        <v>11</v>
      </c>
      <c r="M14" s="50">
        <f t="shared" si="7"/>
        <v>45379</v>
      </c>
      <c r="N14" s="51">
        <f>FORECAST(L14,$N$4:$N$13,$L$4:$L$13)</f>
        <v>3131.0773333333336</v>
      </c>
      <c r="O14" s="52">
        <f t="shared" si="8"/>
        <v>-2.3771456127441803E-2</v>
      </c>
      <c r="Q14" s="49">
        <f>Q13+1</f>
        <v>11</v>
      </c>
      <c r="R14" s="50">
        <f t="shared" si="10"/>
        <v>45379</v>
      </c>
      <c r="S14" s="51">
        <f>FORECAST(Q14,$S$4:$S$13,$Q$4:$Q$13)</f>
        <v>72.921299617630083</v>
      </c>
      <c r="T14" s="52">
        <f t="shared" si="11"/>
        <v>2.1648845728987842E-2</v>
      </c>
    </row>
    <row r="15" spans="2:20" x14ac:dyDescent="0.35">
      <c r="B15" s="49">
        <f t="shared" si="0"/>
        <v>12</v>
      </c>
      <c r="C15" s="50">
        <f t="shared" si="1"/>
        <v>45744</v>
      </c>
      <c r="D15" s="51">
        <f t="shared" ref="D15:D18" si="12">FORECAST(B15,$D$4:$D$13,$B$4:$B$13)</f>
        <v>17175.123575757578</v>
      </c>
      <c r="E15" s="52">
        <f t="shared" si="2"/>
        <v>6.0197438047934204E-2</v>
      </c>
      <c r="G15" s="49">
        <f t="shared" ref="G15:G18" si="13">G14+1</f>
        <v>12</v>
      </c>
      <c r="H15" s="50">
        <f t="shared" si="4"/>
        <v>45744</v>
      </c>
      <c r="I15" s="51">
        <f t="shared" ref="I15:I18" si="14">FORECAST(G15,$I$4:$I$13,$G$4:$G$13)</f>
        <v>3632.9342424242427</v>
      </c>
      <c r="J15" s="52">
        <f t="shared" si="5"/>
        <v>7.9429880284288323E-2</v>
      </c>
      <c r="L15" s="49">
        <f t="shared" ref="L15:L18" si="15">L14+1</f>
        <v>12</v>
      </c>
      <c r="M15" s="50">
        <f t="shared" si="7"/>
        <v>45744</v>
      </c>
      <c r="N15" s="51">
        <f t="shared" ref="N15:N18" si="16">FORECAST(L15,$N$4:$N$13,$L$4:$L$13)</f>
        <v>3384.3728484848489</v>
      </c>
      <c r="O15" s="52">
        <f t="shared" si="8"/>
        <v>8.0897240210243471E-2</v>
      </c>
      <c r="Q15" s="49">
        <f t="shared" ref="Q15:Q18" si="17">Q14+1</f>
        <v>12</v>
      </c>
      <c r="R15" s="50">
        <f t="shared" si="10"/>
        <v>45744</v>
      </c>
      <c r="S15" s="51">
        <f t="shared" ref="S15:S18" si="18">FORECAST(Q15,$S$4:$S$13,$Q$4:$Q$13)</f>
        <v>78.820683109848417</v>
      </c>
      <c r="T15" s="52">
        <f t="shared" si="11"/>
        <v>8.0900690513640461E-2</v>
      </c>
    </row>
    <row r="16" spans="2:20" x14ac:dyDescent="0.35">
      <c r="B16" s="49">
        <f t="shared" si="0"/>
        <v>13</v>
      </c>
      <c r="C16" s="50">
        <f>C15+365</f>
        <v>46109</v>
      </c>
      <c r="D16" s="51">
        <f t="shared" si="12"/>
        <v>18150.317818181818</v>
      </c>
      <c r="E16" s="52">
        <f t="shared" si="2"/>
        <v>5.6779460020928818E-2</v>
      </c>
      <c r="G16" s="49">
        <f t="shared" si="13"/>
        <v>13</v>
      </c>
      <c r="H16" s="50">
        <f>H15+365</f>
        <v>46109</v>
      </c>
      <c r="I16" s="51">
        <f t="shared" si="14"/>
        <v>3900.2638181818188</v>
      </c>
      <c r="J16" s="52">
        <f t="shared" si="5"/>
        <v>7.3585030148849651E-2</v>
      </c>
      <c r="L16" s="49">
        <f t="shared" si="15"/>
        <v>13</v>
      </c>
      <c r="M16" s="50">
        <f>M15+365</f>
        <v>46109</v>
      </c>
      <c r="N16" s="51">
        <f t="shared" si="16"/>
        <v>3637.6683636363641</v>
      </c>
      <c r="O16" s="52">
        <f t="shared" si="8"/>
        <v>7.4842674401230047E-2</v>
      </c>
      <c r="Q16" s="49">
        <f t="shared" si="17"/>
        <v>13</v>
      </c>
      <c r="R16" s="50">
        <f>R15+365</f>
        <v>46109</v>
      </c>
      <c r="S16" s="51">
        <f t="shared" si="18"/>
        <v>84.720066602066751</v>
      </c>
      <c r="T16" s="52">
        <f t="shared" si="11"/>
        <v>7.4845627561951789E-2</v>
      </c>
    </row>
    <row r="17" spans="2:20" x14ac:dyDescent="0.35">
      <c r="B17" s="49">
        <f t="shared" si="0"/>
        <v>14</v>
      </c>
      <c r="C17" s="50">
        <f t="shared" si="1"/>
        <v>46474</v>
      </c>
      <c r="D17" s="51">
        <f t="shared" si="12"/>
        <v>19125.512060606059</v>
      </c>
      <c r="E17" s="52">
        <f t="shared" si="2"/>
        <v>5.3728769501069307E-2</v>
      </c>
      <c r="G17" s="49">
        <f t="shared" si="13"/>
        <v>14</v>
      </c>
      <c r="H17" s="50">
        <f t="shared" ref="H17:H18" si="19">H16+365</f>
        <v>46474</v>
      </c>
      <c r="I17" s="51">
        <f t="shared" si="14"/>
        <v>4167.5933939393944</v>
      </c>
      <c r="J17" s="52">
        <f t="shared" si="5"/>
        <v>6.8541408535332415E-2</v>
      </c>
      <c r="L17" s="49">
        <f t="shared" si="15"/>
        <v>14</v>
      </c>
      <c r="M17" s="50">
        <f t="shared" ref="M17:M18" si="20">M16+365</f>
        <v>46474</v>
      </c>
      <c r="N17" s="51">
        <f t="shared" si="16"/>
        <v>3890.9638787878785</v>
      </c>
      <c r="O17" s="52">
        <f t="shared" si="8"/>
        <v>6.9631282962339558E-2</v>
      </c>
      <c r="Q17" s="49">
        <f t="shared" si="17"/>
        <v>14</v>
      </c>
      <c r="R17" s="50">
        <f t="shared" ref="R17:R18" si="21">R16+365</f>
        <v>46474</v>
      </c>
      <c r="S17" s="51">
        <f t="shared" si="18"/>
        <v>90.619450094285099</v>
      </c>
      <c r="T17" s="52">
        <f t="shared" si="11"/>
        <v>6.9633839169744416E-2</v>
      </c>
    </row>
    <row r="18" spans="2:20" x14ac:dyDescent="0.35">
      <c r="B18" s="49">
        <f t="shared" si="0"/>
        <v>15</v>
      </c>
      <c r="C18" s="50">
        <f t="shared" si="1"/>
        <v>46839</v>
      </c>
      <c r="D18" s="51">
        <f t="shared" si="12"/>
        <v>20100.706303030303</v>
      </c>
      <c r="E18" s="52">
        <f t="shared" si="2"/>
        <v>5.0989183418147954E-2</v>
      </c>
      <c r="G18" s="49">
        <f t="shared" si="13"/>
        <v>15</v>
      </c>
      <c r="H18" s="50">
        <f t="shared" si="19"/>
        <v>46839</v>
      </c>
      <c r="I18" s="51">
        <f t="shared" si="14"/>
        <v>4434.9229696969705</v>
      </c>
      <c r="J18" s="52">
        <f t="shared" si="5"/>
        <v>6.4144831438290639E-2</v>
      </c>
      <c r="L18" s="49">
        <f t="shared" si="15"/>
        <v>15</v>
      </c>
      <c r="M18" s="50">
        <f t="shared" si="20"/>
        <v>46839</v>
      </c>
      <c r="N18" s="51">
        <f t="shared" si="16"/>
        <v>4144.2593939393937</v>
      </c>
      <c r="O18" s="52">
        <f t="shared" si="8"/>
        <v>6.5098397991405266E-2</v>
      </c>
      <c r="Q18" s="49">
        <f t="shared" si="17"/>
        <v>15</v>
      </c>
      <c r="R18" s="50">
        <f t="shared" si="21"/>
        <v>46839</v>
      </c>
      <c r="S18" s="51">
        <f t="shared" si="18"/>
        <v>96.518833586503433</v>
      </c>
      <c r="T18" s="52">
        <f t="shared" si="11"/>
        <v>6.5100632216155807E-2</v>
      </c>
    </row>
    <row r="19" spans="2:20" x14ac:dyDescent="0.35">
      <c r="B19" s="45"/>
      <c r="C19" s="46"/>
    </row>
    <row r="20" spans="2:20" x14ac:dyDescent="0.35">
      <c r="B20" s="45"/>
      <c r="C20" s="46"/>
    </row>
  </sheetData>
  <mergeCells count="4">
    <mergeCell ref="B2:E2"/>
    <mergeCell ref="G2:J2"/>
    <mergeCell ref="Q2:T2"/>
    <mergeCell ref="L2:O2"/>
  </mergeCells>
  <pageMargins left="0.25" right="0.25" top="0.75" bottom="0.75" header="0.3" footer="0.3"/>
  <pageSetup paperSize="9" scale="5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2272-6900-4A06-AB13-62D8B09BFA40}">
  <sheetPr>
    <pageSetUpPr fitToPage="1"/>
  </sheetPr>
  <dimension ref="B2:L50"/>
  <sheetViews>
    <sheetView showGridLines="0" topLeftCell="A19" workbookViewId="0">
      <selection activeCell="F11" sqref="F11"/>
    </sheetView>
  </sheetViews>
  <sheetFormatPr defaultRowHeight="14.5" x14ac:dyDescent="0.35"/>
  <cols>
    <col min="1" max="1" width="2.1796875" customWidth="1"/>
    <col min="2" max="2" width="22.26953125" bestFit="1" customWidth="1"/>
    <col min="3" max="3" width="9.54296875" bestFit="1" customWidth="1"/>
  </cols>
  <sheetData>
    <row r="2" spans="2:12" x14ac:dyDescent="0.35">
      <c r="B2" s="143" t="str">
        <f>"Common Size Income Statement - "&amp;'Data Sheet'!$B$1</f>
        <v>Common Size Income Statement - BRITANNIA INDUSTRIES LTD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</row>
    <row r="4" spans="2:12" x14ac:dyDescent="0.35">
      <c r="B4" s="53" t="s">
        <v>152</v>
      </c>
      <c r="C4" s="54">
        <f>'Data Sheet'!B$16</f>
        <v>41729</v>
      </c>
      <c r="D4" s="54">
        <f>'Data Sheet'!C$16</f>
        <v>42094</v>
      </c>
      <c r="E4" s="54">
        <f>'Data Sheet'!D$16</f>
        <v>42460</v>
      </c>
      <c r="F4" s="54">
        <f>'Data Sheet'!E$16</f>
        <v>42825</v>
      </c>
      <c r="G4" s="54">
        <f>'Data Sheet'!F$16</f>
        <v>43190</v>
      </c>
      <c r="H4" s="54">
        <f>'Data Sheet'!G$16</f>
        <v>43555</v>
      </c>
      <c r="I4" s="54">
        <f>'Data Sheet'!H$16</f>
        <v>43921</v>
      </c>
      <c r="J4" s="54">
        <f>'Data Sheet'!I$16</f>
        <v>44286</v>
      </c>
      <c r="K4" s="54">
        <f>'Data Sheet'!J$16</f>
        <v>44651</v>
      </c>
      <c r="L4" s="54">
        <f>'Data Sheet'!K$16</f>
        <v>45016</v>
      </c>
    </row>
    <row r="6" spans="2:12" x14ac:dyDescent="0.35">
      <c r="B6" s="56" t="str">
        <f>'Data Sheet'!A17</f>
        <v>Sales</v>
      </c>
      <c r="C6" s="57">
        <f>'Data Sheet'!B17/'Data Sheet'!B$17</f>
        <v>1</v>
      </c>
      <c r="D6" s="57">
        <f>'Data Sheet'!C17/'Data Sheet'!C$17</f>
        <v>1</v>
      </c>
      <c r="E6" s="57">
        <f>'Data Sheet'!D17/'Data Sheet'!D$17</f>
        <v>1</v>
      </c>
      <c r="F6" s="57">
        <f>'Data Sheet'!E17/'Data Sheet'!E$17</f>
        <v>1</v>
      </c>
      <c r="G6" s="57">
        <f>'Data Sheet'!F17/'Data Sheet'!F$17</f>
        <v>1</v>
      </c>
      <c r="H6" s="57">
        <f>'Data Sheet'!G17/'Data Sheet'!G$17</f>
        <v>1</v>
      </c>
      <c r="I6" s="57">
        <f>'Data Sheet'!H17/'Data Sheet'!H$17</f>
        <v>1</v>
      </c>
      <c r="J6" s="57">
        <f>'Data Sheet'!I17/'Data Sheet'!I$17</f>
        <v>1</v>
      </c>
      <c r="K6" s="57">
        <f>'Data Sheet'!J17/'Data Sheet'!J$17</f>
        <v>1</v>
      </c>
      <c r="L6" s="57">
        <f>'Data Sheet'!K17/'Data Sheet'!K$17</f>
        <v>1</v>
      </c>
    </row>
    <row r="7" spans="2:12" x14ac:dyDescent="0.35">
      <c r="B7" s="55" t="str">
        <f>'Data Sheet'!A18</f>
        <v>Raw Material Cost</v>
      </c>
      <c r="C7" s="15">
        <f>'Data Sheet'!B18/'Data Sheet'!B$17</f>
        <v>0.60504924986004038</v>
      </c>
      <c r="D7" s="15">
        <f>'Data Sheet'!C18/'Data Sheet'!C$17</f>
        <v>0.60091087012401989</v>
      </c>
      <c r="E7" s="15">
        <f>'Data Sheet'!D18/'Data Sheet'!D$17</f>
        <v>0.59745773308579142</v>
      </c>
      <c r="F7" s="15">
        <f>'Data Sheet'!E18/'Data Sheet'!E$17</f>
        <v>0.62324098832682251</v>
      </c>
      <c r="G7" s="15">
        <f>'Data Sheet'!F18/'Data Sheet'!F$17</f>
        <v>0.61537282163891638</v>
      </c>
      <c r="H7" s="15">
        <f>'Data Sheet'!G18/'Data Sheet'!G$17</f>
        <v>0.59853799344530412</v>
      </c>
      <c r="I7" s="15">
        <f>'Data Sheet'!H18/'Data Sheet'!H$17</f>
        <v>0.59268678526322138</v>
      </c>
      <c r="J7" s="15">
        <f>'Data Sheet'!I18/'Data Sheet'!I$17</f>
        <v>0.58336923936559759</v>
      </c>
      <c r="K7" s="15">
        <f>'Data Sheet'!J18/'Data Sheet'!J$17</f>
        <v>0.62502811917720802</v>
      </c>
      <c r="L7" s="15">
        <f>'Data Sheet'!K18/'Data Sheet'!K$17</f>
        <v>0.59285300189257417</v>
      </c>
    </row>
    <row r="8" spans="2:12" x14ac:dyDescent="0.35">
      <c r="B8" s="55" t="str">
        <f>'Data Sheet'!A19</f>
        <v>Change in Inventory</v>
      </c>
      <c r="C8" s="15">
        <f>'Data Sheet'!B19/'Data Sheet'!B$17</f>
        <v>1.6650488737412678E-3</v>
      </c>
      <c r="D8" s="15">
        <f>'Data Sheet'!C19/'Data Sheet'!C$17</f>
        <v>3.8684621081591462E-3</v>
      </c>
      <c r="E8" s="15">
        <f>'Data Sheet'!D19/'Data Sheet'!D$17</f>
        <v>5.0850101759746967E-4</v>
      </c>
      <c r="F8" s="15">
        <f>'Data Sheet'!E19/'Data Sheet'!E$17</f>
        <v>5.9862448904307334E-3</v>
      </c>
      <c r="G8" s="15">
        <f>'Data Sheet'!F19/'Data Sheet'!F$17</f>
        <v>-6.3546563996937663E-4</v>
      </c>
      <c r="H8" s="15">
        <f>'Data Sheet'!G19/'Data Sheet'!G$17</f>
        <v>4.991555605006753E-3</v>
      </c>
      <c r="I8" s="15">
        <f>'Data Sheet'!H19/'Data Sheet'!H$17</f>
        <v>-4.5320723648762237E-3</v>
      </c>
      <c r="J8" s="15">
        <f>'Data Sheet'!I19/'Data Sheet'!I$17</f>
        <v>2.8257920515463446E-3</v>
      </c>
      <c r="K8" s="15">
        <f>'Data Sheet'!J19/'Data Sheet'!J$17</f>
        <v>5.3238975514032713E-3</v>
      </c>
      <c r="L8" s="15">
        <f>'Data Sheet'!K19/'Data Sheet'!K$17</f>
        <v>4.4495431135759224E-3</v>
      </c>
    </row>
    <row r="9" spans="2:12" x14ac:dyDescent="0.35">
      <c r="B9" s="55" t="str">
        <f>'Data Sheet'!A20</f>
        <v>Power and Fuel</v>
      </c>
      <c r="C9" s="15">
        <f>'Data Sheet'!B20/'Data Sheet'!B$17</f>
        <v>1.6016873266779599E-2</v>
      </c>
      <c r="D9" s="15">
        <f>'Data Sheet'!C20/'Data Sheet'!C$17</f>
        <v>1.4119886694780884E-2</v>
      </c>
      <c r="E9" s="15">
        <f>'Data Sheet'!D20/'Data Sheet'!D$17</f>
        <v>1.1332308392172181E-2</v>
      </c>
      <c r="F9" s="15">
        <f>'Data Sheet'!E20/'Data Sheet'!E$17</f>
        <v>1.1517446811330569E-2</v>
      </c>
      <c r="G9" s="15">
        <f>'Data Sheet'!F20/'Data Sheet'!F$17</f>
        <v>1.2994767999564253E-2</v>
      </c>
      <c r="H9" s="15">
        <f>'Data Sheet'!G20/'Data Sheet'!G$17</f>
        <v>1.5845791868956738E-2</v>
      </c>
      <c r="I9" s="15">
        <f>'Data Sheet'!H20/'Data Sheet'!H$17</f>
        <v>1.531955981050989E-2</v>
      </c>
      <c r="J9" s="15">
        <f>'Data Sheet'!I20/'Data Sheet'!I$17</f>
        <v>1.3876983649687046E-2</v>
      </c>
      <c r="K9" s="15">
        <f>'Data Sheet'!J20/'Data Sheet'!J$17</f>
        <v>1.5398698099780282E-2</v>
      </c>
      <c r="L9" s="15">
        <f>'Data Sheet'!K20/'Data Sheet'!K$17</f>
        <v>0</v>
      </c>
    </row>
    <row r="10" spans="2:12" x14ac:dyDescent="0.35">
      <c r="B10" s="55" t="str">
        <f>'Data Sheet'!A21</f>
        <v>Other Mfr. Exp</v>
      </c>
      <c r="C10" s="15">
        <f>'Data Sheet'!B21/'Data Sheet'!B$17</f>
        <v>7.3769910787520376E-2</v>
      </c>
      <c r="D10" s="15">
        <f>'Data Sheet'!C21/'Data Sheet'!C$17</f>
        <v>7.0711415271772188E-2</v>
      </c>
      <c r="E10" s="15">
        <f>'Data Sheet'!D21/'Data Sheet'!D$17</f>
        <v>6.0752176610620406E-2</v>
      </c>
      <c r="F10" s="15">
        <f>'Data Sheet'!E21/'Data Sheet'!E$17</f>
        <v>5.6320403265264649E-2</v>
      </c>
      <c r="G10" s="15">
        <f>'Data Sheet'!F21/'Data Sheet'!F$17</f>
        <v>4.9182014506772752E-2</v>
      </c>
      <c r="H10" s="15">
        <f>'Data Sheet'!G21/'Data Sheet'!G$17</f>
        <v>5.6204300987727364E-2</v>
      </c>
      <c r="I10" s="15">
        <f>'Data Sheet'!H21/'Data Sheet'!H$17</f>
        <v>5.2646869921677997E-2</v>
      </c>
      <c r="J10" s="15">
        <f>'Data Sheet'!I21/'Data Sheet'!I$17</f>
        <v>5.1172566674837515E-2</v>
      </c>
      <c r="K10" s="15">
        <f>'Data Sheet'!J21/'Data Sheet'!J$17</f>
        <v>5.3217046092813795E-2</v>
      </c>
      <c r="L10" s="15">
        <f>'Data Sheet'!K21/'Data Sheet'!K$17</f>
        <v>0</v>
      </c>
    </row>
    <row r="11" spans="2:12" x14ac:dyDescent="0.35">
      <c r="B11" s="55" t="str">
        <f>'Data Sheet'!A22</f>
        <v>Employee Cost</v>
      </c>
      <c r="C11" s="15">
        <f>'Data Sheet'!B22/'Data Sheet'!B$17</f>
        <v>3.7996675688695178E-2</v>
      </c>
      <c r="D11" s="15">
        <f>'Data Sheet'!C22/'Data Sheet'!C$17</f>
        <v>3.7468091550209838E-2</v>
      </c>
      <c r="E11" s="15">
        <f>'Data Sheet'!D22/'Data Sheet'!D$17</f>
        <v>4.0651500554349476E-2</v>
      </c>
      <c r="F11" s="15">
        <f>'Data Sheet'!E22/'Data Sheet'!E$17</f>
        <v>3.8944830457837289E-2</v>
      </c>
      <c r="G11" s="15">
        <f>'Data Sheet'!F22/'Data Sheet'!F$17</f>
        <v>4.0508412859000267E-2</v>
      </c>
      <c r="H11" s="15">
        <f>'Data Sheet'!G22/'Data Sheet'!G$17</f>
        <v>3.9966819452774256E-2</v>
      </c>
      <c r="I11" s="15">
        <f>'Data Sheet'!H22/'Data Sheet'!H$17</f>
        <v>4.1957662150686879E-2</v>
      </c>
      <c r="J11" s="15">
        <f>'Data Sheet'!I22/'Data Sheet'!I$17</f>
        <v>4.0147257870272395E-2</v>
      </c>
      <c r="K11" s="15">
        <f>'Data Sheet'!J22/'Data Sheet'!J$17</f>
        <v>3.8359509516661408E-2</v>
      </c>
      <c r="L11" s="15">
        <f>'Data Sheet'!K22/'Data Sheet'!K$17</f>
        <v>4.0390048188558056E-2</v>
      </c>
    </row>
    <row r="12" spans="2:12" x14ac:dyDescent="0.35">
      <c r="B12" s="55" t="str">
        <f>'Data Sheet'!A23</f>
        <v>Selling and admin</v>
      </c>
      <c r="C12" s="15">
        <f>'Data Sheet'!B23/'Data Sheet'!B$17</f>
        <v>0.14912964669427767</v>
      </c>
      <c r="D12" s="15">
        <f>'Data Sheet'!C23/'Data Sheet'!C$17</f>
        <v>0.14367646422563313</v>
      </c>
      <c r="E12" s="15">
        <f>'Data Sheet'!D23/'Data Sheet'!D$17</f>
        <v>0.11393876313974965</v>
      </c>
      <c r="F12" s="15">
        <f>'Data Sheet'!E23/'Data Sheet'!E$17</f>
        <v>0.10106040474525876</v>
      </c>
      <c r="G12" s="15">
        <f>'Data Sheet'!F23/'Data Sheet'!F$17</f>
        <v>9.6175202920317657E-2</v>
      </c>
      <c r="H12" s="15">
        <f>'Data Sheet'!G23/'Data Sheet'!G$17</f>
        <v>0.10018299958298167</v>
      </c>
      <c r="I12" s="15">
        <f>'Data Sheet'!H23/'Data Sheet'!H$17</f>
        <v>9.7006349384243365E-2</v>
      </c>
      <c r="J12" s="15">
        <f>'Data Sheet'!I23/'Data Sheet'!I$17</f>
        <v>8.8596802409231332E-2</v>
      </c>
      <c r="K12" s="15">
        <f>'Data Sheet'!J23/'Data Sheet'!J$17</f>
        <v>8.3991098069786482E-2</v>
      </c>
      <c r="L12" s="15">
        <f>'Data Sheet'!K23/'Data Sheet'!K$17</f>
        <v>0</v>
      </c>
    </row>
    <row r="13" spans="2:12" x14ac:dyDescent="0.35">
      <c r="B13" s="55" t="str">
        <f>'Data Sheet'!A24</f>
        <v>Other Expenses</v>
      </c>
      <c r="C13" s="15">
        <f>'Data Sheet'!B24/'Data Sheet'!B$17</f>
        <v>2.8971271758832646E-2</v>
      </c>
      <c r="D13" s="15">
        <f>'Data Sheet'!C24/'Data Sheet'!C$17</f>
        <v>2.6231736150523894E-2</v>
      </c>
      <c r="E13" s="15">
        <f>'Data Sheet'!D24/'Data Sheet'!D$17</f>
        <v>3.0664874012025396E-2</v>
      </c>
      <c r="F13" s="15">
        <f>'Data Sheet'!E24/'Data Sheet'!E$17</f>
        <v>3.3730612353091251E-2</v>
      </c>
      <c r="G13" s="15">
        <f>'Data Sheet'!F24/'Data Sheet'!F$17</f>
        <v>3.3681696269614959E-2</v>
      </c>
      <c r="H13" s="15">
        <f>'Data Sheet'!G24/'Data Sheet'!G$17</f>
        <v>3.7537077090496591E-2</v>
      </c>
      <c r="I13" s="15">
        <f>'Data Sheet'!H24/'Data Sheet'!H$17</f>
        <v>3.6949709255962519E-2</v>
      </c>
      <c r="J13" s="15">
        <f>'Data Sheet'!I24/'Data Sheet'!I$17</f>
        <v>3.4641074166383734E-2</v>
      </c>
      <c r="K13" s="15">
        <f>'Data Sheet'!J24/'Data Sheet'!J$17</f>
        <v>3.3608606519687667E-2</v>
      </c>
      <c r="L13" s="15">
        <f>'Data Sheet'!K24/'Data Sheet'!K$17</f>
        <v>0.19753689292692578</v>
      </c>
    </row>
    <row r="14" spans="2:12" x14ac:dyDescent="0.35">
      <c r="B14" s="55" t="str">
        <f>'Data Sheet'!A25</f>
        <v>Other Income</v>
      </c>
      <c r="C14" s="15">
        <f>'Data Sheet'!B25/'Data Sheet'!B$17</f>
        <v>4.8591652188504945E-3</v>
      </c>
      <c r="D14" s="15">
        <f>'Data Sheet'!C25/'Data Sheet'!C$17</f>
        <v>2.8963837514411294E-2</v>
      </c>
      <c r="E14" s="15">
        <f>'Data Sheet'!D25/'Data Sheet'!D$17</f>
        <v>1.371523704840763E-2</v>
      </c>
      <c r="F14" s="15">
        <f>'Data Sheet'!E25/'Data Sheet'!E$17</f>
        <v>1.6626739959510011E-2</v>
      </c>
      <c r="G14" s="15">
        <f>'Data Sheet'!F25/'Data Sheet'!F$17</f>
        <v>1.6781336273286537E-2</v>
      </c>
      <c r="H14" s="15">
        <f>'Data Sheet'!G25/'Data Sheet'!G$17</f>
        <v>1.8675365252875029E-2</v>
      </c>
      <c r="I14" s="15">
        <f>'Data Sheet'!H25/'Data Sheet'!H$17</f>
        <v>2.2658637619562827E-2</v>
      </c>
      <c r="J14" s="15">
        <f>'Data Sheet'!I25/'Data Sheet'!I$17</f>
        <v>2.3832724072672794E-2</v>
      </c>
      <c r="K14" s="15">
        <f>'Data Sheet'!J25/'Data Sheet'!J$17</f>
        <v>1.5693684185208816E-2</v>
      </c>
      <c r="L14" s="15">
        <f>'Data Sheet'!K25/'Data Sheet'!K$17</f>
        <v>3.6616555883083698E-2</v>
      </c>
    </row>
    <row r="15" spans="2:12" x14ac:dyDescent="0.35">
      <c r="B15" s="55" t="str">
        <f>'Data Sheet'!A26</f>
        <v>Depreciation</v>
      </c>
      <c r="C15" s="15">
        <f>'Data Sheet'!B26/'Data Sheet'!B$17</f>
        <v>1.2032907499374341E-2</v>
      </c>
      <c r="D15" s="15">
        <f>'Data Sheet'!C26/'Data Sheet'!C$17</f>
        <v>1.838537517719847E-2</v>
      </c>
      <c r="E15" s="15">
        <f>'Data Sheet'!D26/'Data Sheet'!D$17</f>
        <v>1.3505644123121554E-2</v>
      </c>
      <c r="F15" s="15">
        <f>'Data Sheet'!E26/'Data Sheet'!E$17</f>
        <v>1.3173052178628663E-2</v>
      </c>
      <c r="G15" s="15">
        <f>'Data Sheet'!F26/'Data Sheet'!F$17</f>
        <v>1.4330254519118941E-2</v>
      </c>
      <c r="H15" s="15">
        <f>'Data Sheet'!G26/'Data Sheet'!G$17</f>
        <v>1.4643585018820101E-2</v>
      </c>
      <c r="I15" s="15">
        <f>'Data Sheet'!H26/'Data Sheet'!H$17</f>
        <v>1.5932514623412115E-2</v>
      </c>
      <c r="J15" s="15">
        <f>'Data Sheet'!I26/'Data Sheet'!I$17</f>
        <v>1.50615020850874E-2</v>
      </c>
      <c r="K15" s="15">
        <f>'Data Sheet'!J26/'Data Sheet'!J$17</f>
        <v>1.4186213326580014E-2</v>
      </c>
      <c r="L15" s="15">
        <f>'Data Sheet'!K26/'Data Sheet'!K$17</f>
        <v>1.3859041566082126E-2</v>
      </c>
    </row>
    <row r="16" spans="2:12" x14ac:dyDescent="0.35">
      <c r="B16" s="55" t="str">
        <f>'Data Sheet'!A27</f>
        <v>Interest</v>
      </c>
      <c r="C16" s="15">
        <f>'Data Sheet'!B27/'Data Sheet'!B$17</f>
        <v>1.1992402400795056E-3</v>
      </c>
      <c r="D16" s="15">
        <f>'Data Sheet'!C27/'Data Sheet'!C$17</f>
        <v>4.9119288610178634E-4</v>
      </c>
      <c r="E16" s="15">
        <f>'Data Sheet'!D27/'Data Sheet'!D$17</f>
        <v>5.7995315121772304E-4</v>
      </c>
      <c r="F16" s="15">
        <f>'Data Sheet'!E27/'Data Sheet'!E$17</f>
        <v>6.019379087241236E-4</v>
      </c>
      <c r="G16" s="15">
        <f>'Data Sheet'!F27/'Data Sheet'!F$17</f>
        <v>7.6558479482024893E-4</v>
      </c>
      <c r="H16" s="15">
        <f>'Data Sheet'!G27/'Data Sheet'!G$17</f>
        <v>8.222769200708841E-4</v>
      </c>
      <c r="I16" s="15">
        <f>'Data Sheet'!H27/'Data Sheet'!H$17</f>
        <v>6.6295675263264532E-3</v>
      </c>
      <c r="J16" s="15">
        <f>'Data Sheet'!I27/'Data Sheet'!I$17</f>
        <v>8.4423582574485352E-3</v>
      </c>
      <c r="K16" s="15">
        <f>'Data Sheet'!J27/'Data Sheet'!J$17</f>
        <v>1.0207084476374939E-2</v>
      </c>
      <c r="L16" s="15">
        <f>'Data Sheet'!K27/'Data Sheet'!K$17</f>
        <v>1.0373883089834392E-2</v>
      </c>
    </row>
    <row r="17" spans="2:12" x14ac:dyDescent="0.35">
      <c r="B17" s="55" t="str">
        <f>'Data Sheet'!A28</f>
        <v>Profit before tax</v>
      </c>
      <c r="C17" s="15">
        <f>'Data Sheet'!B28/'Data Sheet'!B$17</f>
        <v>8.2358438296992076E-2</v>
      </c>
      <c r="D17" s="15">
        <f>'Data Sheet'!C28/'Data Sheet'!C$17</f>
        <v>0.1208372675423304</v>
      </c>
      <c r="E17" s="15">
        <f>'Data Sheet'!D28/'Data Sheet'!D$17</f>
        <v>0.14534078499695735</v>
      </c>
      <c r="F17" s="15">
        <f>'Data Sheet'!E28/'Data Sheet'!E$17</f>
        <v>0.14402330880298295</v>
      </c>
      <c r="G17" s="15">
        <f>'Data Sheet'!F28/'Data Sheet'!F$17</f>
        <v>0.15313511512519179</v>
      </c>
      <c r="H17" s="15">
        <f>'Data Sheet'!G28/'Data Sheet'!G$17</f>
        <v>0.15992607649075008</v>
      </c>
      <c r="I17" s="15">
        <f>'Data Sheet'!H28/'Data Sheet'!H$17</f>
        <v>0.15899754731864599</v>
      </c>
      <c r="J17" s="15">
        <f>'Data Sheet'!I28/'Data Sheet'!I$17</f>
        <v>0.19135073164567371</v>
      </c>
      <c r="K17" s="15">
        <f>'Data Sheet'!J28/'Data Sheet'!J$17</f>
        <v>0.14702120645771935</v>
      </c>
      <c r="L17" s="15">
        <f>'Data Sheet'!K28/'Data Sheet'!K$17</f>
        <v>0.18605323133268509</v>
      </c>
    </row>
    <row r="18" spans="2:12" x14ac:dyDescent="0.35">
      <c r="B18" s="55" t="str">
        <f>'Data Sheet'!A29</f>
        <v>Tax</v>
      </c>
      <c r="C18" s="15">
        <f>'Data Sheet'!B29/'Data Sheet'!B$17</f>
        <v>2.5110267897828782E-2</v>
      </c>
      <c r="D18" s="15">
        <f>'Data Sheet'!C29/'Data Sheet'!C$17</f>
        <v>3.3226780955968246E-2</v>
      </c>
      <c r="E18" s="15">
        <f>'Data Sheet'!D29/'Data Sheet'!D$17</f>
        <v>4.717031687830392E-2</v>
      </c>
      <c r="F18" s="15">
        <f>'Data Sheet'!E29/'Data Sheet'!E$17</f>
        <v>4.6351427918211549E-2</v>
      </c>
      <c r="G18" s="15">
        <f>'Data Sheet'!F29/'Data Sheet'!F$17</f>
        <v>5.1868117680167122E-2</v>
      </c>
      <c r="H18" s="15">
        <f>'Data Sheet'!G29/'Data Sheet'!G$17</f>
        <v>5.5403734349374519E-2</v>
      </c>
      <c r="I18" s="15">
        <f>'Data Sheet'!H29/'Data Sheet'!H$17</f>
        <v>3.8854955580173371E-2</v>
      </c>
      <c r="J18" s="15">
        <f>'Data Sheet'!I29/'Data Sheet'!I$17</f>
        <v>5.0472969989662109E-2</v>
      </c>
      <c r="K18" s="15">
        <f>'Data Sheet'!J29/'Data Sheet'!J$17</f>
        <v>3.9780677491783545E-2</v>
      </c>
      <c r="L18" s="15">
        <f>'Data Sheet'!K29/'Data Sheet'!K$17</f>
        <v>4.3952504670087822E-2</v>
      </c>
    </row>
    <row r="19" spans="2:12" x14ac:dyDescent="0.35">
      <c r="B19" s="55" t="str">
        <f>'Data Sheet'!A30</f>
        <v>Net profit</v>
      </c>
      <c r="C19" s="15">
        <f>'Data Sheet'!B30/'Data Sheet'!B$17</f>
        <v>5.7191752583284995E-2</v>
      </c>
      <c r="D19" s="15">
        <f>'Data Sheet'!C30/'Data Sheet'!C$17</f>
        <v>8.7630846913247185E-2</v>
      </c>
      <c r="E19" s="15">
        <f>'Data Sheet'!D30/'Data Sheet'!D$17</f>
        <v>9.8196667234314181E-2</v>
      </c>
      <c r="F19" s="15">
        <f>'Data Sheet'!E30/'Data Sheet'!E$17</f>
        <v>9.7687343509949648E-2</v>
      </c>
      <c r="G19" s="15">
        <f>'Data Sheet'!F30/'Data Sheet'!F$17</f>
        <v>0.10129423168673764</v>
      </c>
      <c r="H19" s="15">
        <f>'Data Sheet'!G30/'Data Sheet'!G$17</f>
        <v>0.1048534239375757</v>
      </c>
      <c r="I19" s="15">
        <f>'Data Sheet'!H30/'Data Sheet'!H$17</f>
        <v>0.12092107021393073</v>
      </c>
      <c r="J19" s="15">
        <f>'Data Sheet'!I30/'Data Sheet'!I$17</f>
        <v>0.14189099689863233</v>
      </c>
      <c r="K19" s="15">
        <f>'Data Sheet'!J30/'Data Sheet'!J$17</f>
        <v>0.10786587117101694</v>
      </c>
      <c r="L19" s="15">
        <f>'Data Sheet'!K30/'Data Sheet'!K$17</f>
        <v>0.14243507120925369</v>
      </c>
    </row>
    <row r="20" spans="2:12" x14ac:dyDescent="0.35">
      <c r="B20" s="55" t="str">
        <f>'Data Sheet'!A31</f>
        <v>Dividend Amount</v>
      </c>
      <c r="C20" s="15">
        <f>'Data Sheet'!B31/'Data Sheet'!B$17</f>
        <v>2.0822513891078896E-2</v>
      </c>
      <c r="D20" s="15">
        <f>'Data Sheet'!C31/'Data Sheet'!C$17</f>
        <v>2.4422212098615243E-2</v>
      </c>
      <c r="E20" s="15">
        <f>'Data Sheet'!D31/'Data Sheet'!D$17</f>
        <v>2.8580853448101341E-2</v>
      </c>
      <c r="F20" s="15">
        <f>'Data Sheet'!E31/'Data Sheet'!E$17</f>
        <v>2.915809319324195E-2</v>
      </c>
      <c r="G20" s="15">
        <f>'Data Sheet'!F31/'Data Sheet'!F$17</f>
        <v>3.0272372677398303E-2</v>
      </c>
      <c r="H20" s="15">
        <f>'Data Sheet'!G31/'Data Sheet'!G$17</f>
        <v>3.2606129355286048E-2</v>
      </c>
      <c r="I20" s="15">
        <f>'Data Sheet'!H31/'Data Sheet'!H$17</f>
        <v>7.2567470289795724E-2</v>
      </c>
      <c r="J20" s="15">
        <f>'Data Sheet'!I31/'Data Sheet'!I$17</f>
        <v>0.28883522861358057</v>
      </c>
      <c r="K20" s="15">
        <f>'Data Sheet'!J31/'Data Sheet'!J$17</f>
        <v>9.6282892363326641E-2</v>
      </c>
      <c r="L20" s="15">
        <f>'Data Sheet'!K31/'Data Sheet'!K$17</f>
        <v>0.10640622555680637</v>
      </c>
    </row>
    <row r="21" spans="2:12" x14ac:dyDescent="0.35">
      <c r="B21" s="55" t="s">
        <v>28</v>
      </c>
      <c r="C21" s="15">
        <f>'Data Sheet'!B34/'Data Sheet'!B$17</f>
        <v>9.5534168220567636E-2</v>
      </c>
      <c r="D21" s="15">
        <f>'Data Sheet'!C34/'Data Sheet'!C$17</f>
        <v>0.13973419593251568</v>
      </c>
      <c r="E21" s="15">
        <f>'Data Sheet'!D34/'Data Sheet'!D$17</f>
        <v>0.15945258138695736</v>
      </c>
      <c r="F21" s="15">
        <f>'Data Sheet'!E34/'Data Sheet'!E$17</f>
        <v>0.15781376151551399</v>
      </c>
      <c r="G21" s="15">
        <f>'Data Sheet'!F34/'Data Sheet'!F$17</f>
        <v>0.16825818868084394</v>
      </c>
      <c r="H21" s="15">
        <f>'Data Sheet'!G34/'Data Sheet'!G$17</f>
        <v>0.17572302022584119</v>
      </c>
      <c r="I21" s="15">
        <f>'Data Sheet'!H34/'Data Sheet'!H$17</f>
        <v>0.1823381079438427</v>
      </c>
      <c r="J21" s="15">
        <f>'Data Sheet'!I34/'Data Sheet'!I$17</f>
        <v>0.21586782723083037</v>
      </c>
      <c r="K21" s="15">
        <f>'Data Sheet'!J34/'Data Sheet'!J$17</f>
        <v>0.17203984646575543</v>
      </c>
      <c r="L21" s="15">
        <f>'Data Sheet'!K34/'Data Sheet'!K$17</f>
        <v>0.21062050053525802</v>
      </c>
    </row>
    <row r="22" spans="2:12" x14ac:dyDescent="0.35">
      <c r="B22" s="55"/>
    </row>
    <row r="23" spans="2:12" x14ac:dyDescent="0.35">
      <c r="B23" s="55"/>
    </row>
    <row r="24" spans="2:12" x14ac:dyDescent="0.35">
      <c r="B24" s="143" t="str">
        <f>"Common Size Balance Sheet - "&amp;'Data Sheet'!$B$1</f>
        <v>Common Size Balance Sheet - BRITANNIA INDUSTRIES LTD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</row>
    <row r="26" spans="2:12" x14ac:dyDescent="0.35">
      <c r="B26" s="53" t="s">
        <v>152</v>
      </c>
      <c r="C26" s="54">
        <f>'Data Sheet'!B$16</f>
        <v>41729</v>
      </c>
      <c r="D26" s="54">
        <f>'Data Sheet'!C$16</f>
        <v>42094</v>
      </c>
      <c r="E26" s="54">
        <f>'Data Sheet'!D$16</f>
        <v>42460</v>
      </c>
      <c r="F26" s="54">
        <f>'Data Sheet'!E$16</f>
        <v>42825</v>
      </c>
      <c r="G26" s="54">
        <f>'Data Sheet'!F$16</f>
        <v>43190</v>
      </c>
      <c r="H26" s="54">
        <f>'Data Sheet'!G$16</f>
        <v>43555</v>
      </c>
      <c r="I26" s="54">
        <f>'Data Sheet'!H$16</f>
        <v>43921</v>
      </c>
      <c r="J26" s="54">
        <f>'Data Sheet'!I$16</f>
        <v>44286</v>
      </c>
      <c r="K26" s="54">
        <f>'Data Sheet'!J$16</f>
        <v>44651</v>
      </c>
      <c r="L26" s="54">
        <f>'Data Sheet'!K$16</f>
        <v>45016</v>
      </c>
    </row>
    <row r="28" spans="2:12" x14ac:dyDescent="0.35">
      <c r="B28" s="13" t="s">
        <v>82</v>
      </c>
      <c r="C28" s="57">
        <f>'Data Sheet'!B61/'Data Sheet'!B$61</f>
        <v>1</v>
      </c>
      <c r="D28" s="57">
        <f>'Data Sheet'!C61/'Data Sheet'!C$61</f>
        <v>1</v>
      </c>
      <c r="E28" s="57">
        <f>'Data Sheet'!D61/'Data Sheet'!D$61</f>
        <v>1</v>
      </c>
      <c r="F28" s="57">
        <f>'Data Sheet'!E61/'Data Sheet'!E$61</f>
        <v>1</v>
      </c>
      <c r="G28" s="57">
        <f>'Data Sheet'!F61/'Data Sheet'!F$61</f>
        <v>1</v>
      </c>
      <c r="H28" s="57">
        <f>'Data Sheet'!G61/'Data Sheet'!G$61</f>
        <v>1</v>
      </c>
      <c r="I28" s="57">
        <f>'Data Sheet'!H61/'Data Sheet'!H$61</f>
        <v>1</v>
      </c>
      <c r="J28" s="57">
        <f>'Data Sheet'!I61/'Data Sheet'!I$61</f>
        <v>1</v>
      </c>
      <c r="K28" s="57">
        <f>'Data Sheet'!J61/'Data Sheet'!J$61</f>
        <v>1</v>
      </c>
      <c r="L28" s="57">
        <f>'Data Sheet'!K61/'Data Sheet'!K$61</f>
        <v>1</v>
      </c>
    </row>
    <row r="29" spans="2:12" x14ac:dyDescent="0.35">
      <c r="B29" s="55" t="str">
        <f>'Data Sheet'!A57</f>
        <v>Equity Share Capital</v>
      </c>
      <c r="C29" s="15">
        <f>'Data Sheet'!B57/'Data Sheet'!B$61</f>
        <v>1.1386559208683972E-2</v>
      </c>
      <c r="D29" s="15">
        <f>'Data Sheet'!C57/'Data Sheet'!C$61</f>
        <v>8.5882542466930393E-3</v>
      </c>
      <c r="E29" s="15">
        <f>'Data Sheet'!D57/'Data Sheet'!D$61</f>
        <v>6.8690950825865578E-3</v>
      </c>
      <c r="F29" s="15">
        <f>'Data Sheet'!E57/'Data Sheet'!E$61</f>
        <v>5.8411214953271026E-3</v>
      </c>
      <c r="G29" s="15">
        <f>'Data Sheet'!F57/'Data Sheet'!F$61</f>
        <v>4.6280590294376167E-3</v>
      </c>
      <c r="H29" s="15">
        <f>'Data Sheet'!G57/'Data Sheet'!G$61</f>
        <v>3.852227093836918E-3</v>
      </c>
      <c r="I29" s="15">
        <f>'Data Sheet'!H57/'Data Sheet'!H$61</f>
        <v>3.0717002531438628E-3</v>
      </c>
      <c r="J29" s="15">
        <f>'Data Sheet'!I57/'Data Sheet'!I$61</f>
        <v>3.011216123818607E-3</v>
      </c>
      <c r="K29" s="15">
        <f>'Data Sheet'!J57/'Data Sheet'!J$61</f>
        <v>3.205708263248664E-3</v>
      </c>
      <c r="L29" s="15">
        <f>'Data Sheet'!K57/'Data Sheet'!K$61</f>
        <v>2.5757212874971134E-3</v>
      </c>
    </row>
    <row r="30" spans="2:12" x14ac:dyDescent="0.35">
      <c r="B30" s="55" t="str">
        <f>'Data Sheet'!A58</f>
        <v>Reserves</v>
      </c>
      <c r="C30" s="15">
        <f>'Data Sheet'!B58/'Data Sheet'!B$61</f>
        <v>0.36742656167680021</v>
      </c>
      <c r="D30" s="15">
        <f>'Data Sheet'!C58/'Data Sheet'!C$61</f>
        <v>0.43715252295630691</v>
      </c>
      <c r="E30" s="15">
        <f>'Data Sheet'!D58/'Data Sheet'!D$61</f>
        <v>0.59179543834844051</v>
      </c>
      <c r="F30" s="15">
        <f>'Data Sheet'!E58/'Data Sheet'!E$61</f>
        <v>0.65041374610591896</v>
      </c>
      <c r="G30" s="15">
        <f>'Data Sheet'!F58/'Data Sheet'!F$61</f>
        <v>0.65194143317553077</v>
      </c>
      <c r="H30" s="15">
        <f>'Data Sheet'!G58/'Data Sheet'!G$61</f>
        <v>0.67798234997074369</v>
      </c>
      <c r="I30" s="15">
        <f>'Data Sheet'!H58/'Data Sheet'!H$61</f>
        <v>0.55926401806491821</v>
      </c>
      <c r="J30" s="15">
        <f>'Data Sheet'!I58/'Data Sheet'!I$61</f>
        <v>0.44044129503543089</v>
      </c>
      <c r="K30" s="15">
        <f>'Data Sheet'!J58/'Data Sheet'!J$61</f>
        <v>0.33720617667724151</v>
      </c>
      <c r="L30" s="15">
        <f>'Data Sheet'!K58/'Data Sheet'!K$61</f>
        <v>0.37531113943323441</v>
      </c>
    </row>
    <row r="31" spans="2:12" x14ac:dyDescent="0.35">
      <c r="B31" s="55" t="str">
        <f>'Data Sheet'!A59</f>
        <v>Borrowings</v>
      </c>
      <c r="C31" s="15">
        <f>'Data Sheet'!B59/'Data Sheet'!B$61</f>
        <v>7.108174685671162E-2</v>
      </c>
      <c r="D31" s="15">
        <f>'Data Sheet'!C59/'Data Sheet'!C$61</f>
        <v>5.1934057672686919E-2</v>
      </c>
      <c r="E31" s="15">
        <f>'Data Sheet'!D59/'Data Sheet'!D$61</f>
        <v>3.7508121273873686E-2</v>
      </c>
      <c r="F31" s="15">
        <f>'Data Sheet'!E59/'Data Sheet'!E$61</f>
        <v>3.0315420560747663E-2</v>
      </c>
      <c r="G31" s="15">
        <f>'Data Sheet'!F59/'Data Sheet'!F$61</f>
        <v>3.8686024456815057E-2</v>
      </c>
      <c r="H31" s="15">
        <f>'Data Sheet'!G59/'Data Sheet'!G$61</f>
        <v>2.5011422021657757E-2</v>
      </c>
      <c r="I31" s="15">
        <f>'Data Sheet'!H59/'Data Sheet'!H$61</f>
        <v>0.19638318470816932</v>
      </c>
      <c r="J31" s="15">
        <f>'Data Sheet'!I59/'Data Sheet'!I$61</f>
        <v>0.26518576666012511</v>
      </c>
      <c r="K31" s="15">
        <f>'Data Sheet'!J59/'Data Sheet'!J$61</f>
        <v>0.33017863606361908</v>
      </c>
      <c r="L31" s="15">
        <f>'Data Sheet'!K59/'Data Sheet'!K$61</f>
        <v>0.32048110068514829</v>
      </c>
    </row>
    <row r="32" spans="2:12" x14ac:dyDescent="0.35">
      <c r="B32" s="55" t="str">
        <f>'Data Sheet'!A60</f>
        <v>Other Liabilities</v>
      </c>
      <c r="C32" s="15">
        <f>'Data Sheet'!B60/'Data Sheet'!B$61</f>
        <v>0.55010513225780422</v>
      </c>
      <c r="D32" s="15">
        <f>'Data Sheet'!C60/'Data Sheet'!C$61</f>
        <v>0.50232516512431313</v>
      </c>
      <c r="E32" s="15">
        <f>'Data Sheet'!D60/'Data Sheet'!D$61</f>
        <v>0.36382734529509925</v>
      </c>
      <c r="F32" s="15">
        <f>'Data Sheet'!E60/'Data Sheet'!E$61</f>
        <v>0.31342971183800622</v>
      </c>
      <c r="G32" s="15">
        <f>'Data Sheet'!F60/'Data Sheet'!F$61</f>
        <v>0.30474448333821647</v>
      </c>
      <c r="H32" s="15">
        <f>'Data Sheet'!G60/'Data Sheet'!G$61</f>
        <v>0.29315400091376176</v>
      </c>
      <c r="I32" s="15">
        <f>'Data Sheet'!H60/'Data Sheet'!H$61</f>
        <v>0.24128109697376857</v>
      </c>
      <c r="J32" s="15">
        <f>'Data Sheet'!I60/'Data Sheet'!I$61</f>
        <v>0.29136172218062545</v>
      </c>
      <c r="K32" s="15">
        <f>'Data Sheet'!J60/'Data Sheet'!J$61</f>
        <v>0.32940947899589074</v>
      </c>
      <c r="L32" s="15">
        <f>'Data Sheet'!K60/'Data Sheet'!K$61</f>
        <v>0.30163203859412024</v>
      </c>
    </row>
    <row r="33" spans="2:12" x14ac:dyDescent="0.35">
      <c r="B33" s="55"/>
    </row>
    <row r="34" spans="2:12" x14ac:dyDescent="0.35">
      <c r="B34" s="56" t="s">
        <v>86</v>
      </c>
      <c r="C34" s="57">
        <f>'Data Sheet'!B76/'Data Sheet'!B$76</f>
        <v>1</v>
      </c>
      <c r="D34" s="57">
        <f>'Data Sheet'!C76/'Data Sheet'!C$76</f>
        <v>1</v>
      </c>
      <c r="E34" s="57">
        <f>'Data Sheet'!D76/'Data Sheet'!D$76</f>
        <v>1</v>
      </c>
      <c r="F34" s="57">
        <f>'Data Sheet'!E76/'Data Sheet'!E$76</f>
        <v>1</v>
      </c>
      <c r="G34" s="57">
        <f>'Data Sheet'!F76/'Data Sheet'!F$76</f>
        <v>1</v>
      </c>
      <c r="H34" s="57">
        <f>'Data Sheet'!G76/'Data Sheet'!G$76</f>
        <v>1</v>
      </c>
      <c r="I34" s="57">
        <f>'Data Sheet'!H76/'Data Sheet'!H$76</f>
        <v>1</v>
      </c>
      <c r="J34" s="57">
        <f>'Data Sheet'!I76/'Data Sheet'!I$76</f>
        <v>1</v>
      </c>
      <c r="K34" s="57">
        <f>'Data Sheet'!J76/'Data Sheet'!J$76</f>
        <v>1</v>
      </c>
      <c r="L34" s="57">
        <f>'Data Sheet'!K76/'Data Sheet'!K$76</f>
        <v>1</v>
      </c>
    </row>
    <row r="35" spans="2:12" x14ac:dyDescent="0.35">
      <c r="B35" s="55" t="str">
        <f>'Data Sheet'!A62</f>
        <v>Net Block</v>
      </c>
      <c r="C35" s="15">
        <f>'Data Sheet'!B62/'Data Sheet'!B$76</f>
        <v>0.40229819590197785</v>
      </c>
      <c r="D35" s="15">
        <f>'Data Sheet'!C62/'Data Sheet'!C$76</f>
        <v>0.30217122809529778</v>
      </c>
      <c r="E35" s="15">
        <f>'Data Sheet'!D62/'Data Sheet'!D$76</f>
        <v>0.27197037130321045</v>
      </c>
      <c r="F35" s="15">
        <f>'Data Sheet'!E62/'Data Sheet'!E$76</f>
        <v>0.28231843847352023</v>
      </c>
      <c r="G35" s="15">
        <f>'Data Sheet'!F62/'Data Sheet'!F$76</f>
        <v>0.25937177134574163</v>
      </c>
      <c r="H35" s="15">
        <f>'Data Sheet'!G62/'Data Sheet'!G$76</f>
        <v>0.2706498128391539</v>
      </c>
      <c r="I35" s="15">
        <f>'Data Sheet'!H62/'Data Sheet'!H$76</f>
        <v>0.23988382459250482</v>
      </c>
      <c r="J35" s="15">
        <f>'Data Sheet'!I62/'Data Sheet'!I$76</f>
        <v>0.2241162286924272</v>
      </c>
      <c r="K35" s="15">
        <f>'Data Sheet'!J62/'Data Sheet'!J$76</f>
        <v>0.23330343645538357</v>
      </c>
      <c r="L35" s="15">
        <f>'Data Sheet'!K62/'Data Sheet'!K$76</f>
        <v>0.28389816010743396</v>
      </c>
    </row>
    <row r="36" spans="2:12" x14ac:dyDescent="0.35">
      <c r="B36" s="55" t="str">
        <f>'Data Sheet'!A63</f>
        <v>Capital Work in Progress</v>
      </c>
      <c r="C36" s="15">
        <f>'Data Sheet'!B63/'Data Sheet'!B$76</f>
        <v>5.0828954800248717E-2</v>
      </c>
      <c r="D36" s="15">
        <f>'Data Sheet'!C63/'Data Sheet'!C$76</f>
        <v>1.7316125798772085E-2</v>
      </c>
      <c r="E36" s="15">
        <f>'Data Sheet'!D63/'Data Sheet'!D$76</f>
        <v>2.5779141420357136E-2</v>
      </c>
      <c r="F36" s="15">
        <f>'Data Sheet'!E63/'Data Sheet'!E$76</f>
        <v>7.3184384735202491E-3</v>
      </c>
      <c r="G36" s="15">
        <f>'Data Sheet'!F63/'Data Sheet'!F$76</f>
        <v>3.909466607040972E-2</v>
      </c>
      <c r="H36" s="15">
        <f>'Data Sheet'!G63/'Data Sheet'!G$76</f>
        <v>1.6229690843947129E-2</v>
      </c>
      <c r="I36" s="15">
        <f>'Data Sheet'!H63/'Data Sheet'!H$76</f>
        <v>5.0513823289746263E-3</v>
      </c>
      <c r="J36" s="15">
        <f>'Data Sheet'!I63/'Data Sheet'!I$76</f>
        <v>1.4564836145593361E-2</v>
      </c>
      <c r="K36" s="15">
        <f>'Data Sheet'!J63/'Data Sheet'!J$76</f>
        <v>7.1284093086635289E-2</v>
      </c>
      <c r="L36" s="15">
        <f>'Data Sheet'!K63/'Data Sheet'!K$76</f>
        <v>1.1226680580622535E-2</v>
      </c>
    </row>
    <row r="37" spans="2:12" x14ac:dyDescent="0.35">
      <c r="B37" s="55" t="str">
        <f>'Data Sheet'!A64</f>
        <v>Investments</v>
      </c>
      <c r="C37" s="15">
        <f>'Data Sheet'!B64/'Data Sheet'!B$76</f>
        <v>9.3916568179337134E-2</v>
      </c>
      <c r="D37" s="15">
        <f>'Data Sheet'!C64/'Data Sheet'!C$76</f>
        <v>0.18541894141443072</v>
      </c>
      <c r="E37" s="15">
        <f>'Data Sheet'!D64/'Data Sheet'!D$76</f>
        <v>0.22564404921706627</v>
      </c>
      <c r="F37" s="15">
        <f>'Data Sheet'!E64/'Data Sheet'!E$76</f>
        <v>0.11848958333333333</v>
      </c>
      <c r="G37" s="15">
        <f>'Data Sheet'!F64/'Data Sheet'!F$76</f>
        <v>0.20803713241530322</v>
      </c>
      <c r="H37" s="15">
        <f>'Data Sheet'!G64/'Data Sheet'!G$76</f>
        <v>0.23666108256718954</v>
      </c>
      <c r="I37" s="15">
        <f>'Data Sheet'!H64/'Data Sheet'!H$76</f>
        <v>0.3695274562745704</v>
      </c>
      <c r="J37" s="15">
        <f>'Data Sheet'!I64/'Data Sheet'!I$76</f>
        <v>0.34760983938930684</v>
      </c>
      <c r="K37" s="15">
        <f>'Data Sheet'!J64/'Data Sheet'!J$76</f>
        <v>0.2345223774139289</v>
      </c>
      <c r="L37" s="15">
        <f>'Data Sheet'!K64/'Data Sheet'!K$76</f>
        <v>0.35543029193646342</v>
      </c>
    </row>
    <row r="38" spans="2:12" x14ac:dyDescent="0.35">
      <c r="B38" s="55" t="str">
        <f>'Data Sheet'!A65</f>
        <v>Other Assets</v>
      </c>
      <c r="C38" s="15">
        <f>'Data Sheet'!B75/'Data Sheet'!B$76</f>
        <v>0.1501184221143213</v>
      </c>
      <c r="D38" s="15">
        <f>'Data Sheet'!C75/'Data Sheet'!C$76</f>
        <v>0.22080655843342223</v>
      </c>
      <c r="E38" s="15">
        <f>'Data Sheet'!D75/'Data Sheet'!D$76</f>
        <v>0.27656980288559241</v>
      </c>
      <c r="F38" s="15">
        <f>'Data Sheet'!E75/'Data Sheet'!E$76</f>
        <v>0.35789524922118376</v>
      </c>
      <c r="G38" s="15">
        <f>'Data Sheet'!F75/'Data Sheet'!F$76</f>
        <v>0.27302078675075941</v>
      </c>
      <c r="H38" s="15">
        <f>'Data Sheet'!G75/'Data Sheet'!G$76</f>
        <v>0.27039171522695765</v>
      </c>
      <c r="I38" s="15">
        <f>'Data Sheet'!H75/'Data Sheet'!H$76</f>
        <v>0.23429345785320718</v>
      </c>
      <c r="J38" s="15">
        <f>'Data Sheet'!I75/'Data Sheet'!I$76</f>
        <v>0.21869878963861658</v>
      </c>
      <c r="K38" s="15">
        <f>'Data Sheet'!J75/'Data Sheet'!J$76</f>
        <v>0.21013956607831027</v>
      </c>
      <c r="L38" s="15">
        <f>'Data Sheet'!K75/'Data Sheet'!K$76</f>
        <v>0.1655219016500013</v>
      </c>
    </row>
    <row r="39" spans="2:12" x14ac:dyDescent="0.35">
      <c r="B39" s="55" t="str">
        <f>'Data Sheet'!A67</f>
        <v>Receivables</v>
      </c>
      <c r="C39" s="15">
        <f>'Data Sheet'!B67/'Data Sheet'!B$76</f>
        <v>5.1593121549976986E-2</v>
      </c>
      <c r="D39" s="15">
        <f>'Data Sheet'!C67/'Data Sheet'!C$76</f>
        <v>4.8619041652496107E-2</v>
      </c>
      <c r="E39" s="15">
        <f>'Data Sheet'!D67/'Data Sheet'!D$76</f>
        <v>4.88306796683372E-2</v>
      </c>
      <c r="F39" s="15">
        <f>'Data Sheet'!E67/'Data Sheet'!E$76</f>
        <v>4.3603971962616818E-2</v>
      </c>
      <c r="G39" s="15">
        <f>'Data Sheet'!F67/'Data Sheet'!F$76</f>
        <v>5.871331863251554E-2</v>
      </c>
      <c r="H39" s="15">
        <f>'Data Sheet'!G67/'Data Sheet'!G$76</f>
        <v>6.3200250082158405E-2</v>
      </c>
      <c r="I39" s="15">
        <f>'Data Sheet'!H67/'Data Sheet'!H$76</f>
        <v>4.0916835471815717E-2</v>
      </c>
      <c r="J39" s="15">
        <f>'Data Sheet'!I67/'Data Sheet'!I$76</f>
        <v>3.2158388218132543E-2</v>
      </c>
      <c r="K39" s="15">
        <f>'Data Sheet'!J67/'Data Sheet'!J$76</f>
        <v>4.4170641088423786E-2</v>
      </c>
      <c r="L39" s="15">
        <f>'Data Sheet'!K67/'Data Sheet'!K$76</f>
        <v>3.5170517239904546E-2</v>
      </c>
    </row>
    <row r="40" spans="2:12" x14ac:dyDescent="0.35">
      <c r="B40" s="55" t="str">
        <f>'Data Sheet'!A68</f>
        <v>Inventory</v>
      </c>
      <c r="C40" s="15">
        <f>'Data Sheet'!B68/'Data Sheet'!B$76</f>
        <v>0.19947599994304346</v>
      </c>
      <c r="D40" s="15">
        <f>'Data Sheet'!C68/'Data Sheet'!C$76</f>
        <v>0.14464352837990227</v>
      </c>
      <c r="E40" s="15">
        <f>'Data Sheet'!D68/'Data Sheet'!D$76</f>
        <v>0.12611944783924028</v>
      </c>
      <c r="F40" s="15">
        <f>'Data Sheet'!E68/'Data Sheet'!E$76</f>
        <v>0.160983742211838</v>
      </c>
      <c r="G40" s="15">
        <f>'Data Sheet'!F68/'Data Sheet'!F$76</f>
        <v>0.12582884855587595</v>
      </c>
      <c r="H40" s="15">
        <f>'Data Sheet'!G68/'Data Sheet'!G$76</f>
        <v>0.12526230572543864</v>
      </c>
      <c r="I40" s="15">
        <f>'Data Sheet'!H68/'Data Sheet'!H$76</f>
        <v>9.4636466510165357E-2</v>
      </c>
      <c r="J40" s="15">
        <f>'Data Sheet'!I68/'Data Sheet'!I$76</f>
        <v>0.13643471510945501</v>
      </c>
      <c r="K40" s="15">
        <f>'Data Sheet'!J68/'Data Sheet'!J$76</f>
        <v>0.18197484403943193</v>
      </c>
      <c r="L40" s="15">
        <f>'Data Sheet'!K68/'Data Sheet'!K$76</f>
        <v>0.12758427494889188</v>
      </c>
    </row>
    <row r="41" spans="2:12" x14ac:dyDescent="0.35">
      <c r="B41" s="55" t="str">
        <f>'Data Sheet'!A69</f>
        <v>Cash &amp; Bank</v>
      </c>
      <c r="C41" s="15">
        <f>'Data Sheet'!B69/'Data Sheet'!B$76</f>
        <v>5.1768737511094655E-2</v>
      </c>
      <c r="D41" s="15">
        <f>'Data Sheet'!C69/'Data Sheet'!C$76</f>
        <v>8.1024576225678852E-2</v>
      </c>
      <c r="E41" s="15">
        <f>'Data Sheet'!D69/'Data Sheet'!D$76</f>
        <v>2.5086507666196328E-2</v>
      </c>
      <c r="F41" s="15">
        <f>'Data Sheet'!E69/'Data Sheet'!E$76</f>
        <v>2.939057632398754E-2</v>
      </c>
      <c r="G41" s="15">
        <f>'Data Sheet'!F69/'Data Sheet'!F$76</f>
        <v>3.593347622939444E-2</v>
      </c>
      <c r="H41" s="15">
        <f>'Data Sheet'!G69/'Data Sheet'!G$76</f>
        <v>1.7605142715154818E-2</v>
      </c>
      <c r="I41" s="15">
        <f>'Data Sheet'!H69/'Data Sheet'!H$76</f>
        <v>1.5690576968761895E-2</v>
      </c>
      <c r="J41" s="15">
        <f>'Data Sheet'!I69/'Data Sheet'!I$76</f>
        <v>2.6417202806468428E-2</v>
      </c>
      <c r="K41" s="15">
        <f>'Data Sheet'!J69/'Data Sheet'!J$76</f>
        <v>2.4605041837886175E-2</v>
      </c>
      <c r="L41" s="15">
        <f>'Data Sheet'!K69/'Data Sheet'!K$76</f>
        <v>2.1168173536682378E-2</v>
      </c>
    </row>
    <row r="42" spans="2:12" x14ac:dyDescent="0.35">
      <c r="B42" s="55"/>
    </row>
    <row r="43" spans="2:12" x14ac:dyDescent="0.35">
      <c r="B43" s="55"/>
    </row>
    <row r="44" spans="2:12" x14ac:dyDescent="0.35">
      <c r="B44" s="55"/>
    </row>
    <row r="45" spans="2:12" x14ac:dyDescent="0.35">
      <c r="B45" s="55"/>
    </row>
    <row r="46" spans="2:12" x14ac:dyDescent="0.35">
      <c r="B46" s="55"/>
    </row>
    <row r="47" spans="2:12" x14ac:dyDescent="0.35">
      <c r="B47" s="55"/>
    </row>
    <row r="48" spans="2:12" x14ac:dyDescent="0.35">
      <c r="B48" s="55"/>
    </row>
    <row r="49" spans="2:2" x14ac:dyDescent="0.35">
      <c r="B49" s="55"/>
    </row>
    <row r="50" spans="2:2" x14ac:dyDescent="0.35">
      <c r="B50" s="55"/>
    </row>
  </sheetData>
  <mergeCells count="2">
    <mergeCell ref="B2:L2"/>
    <mergeCell ref="B24:L24"/>
  </mergeCells>
  <pageMargins left="0.25" right="0.25" top="0.75" bottom="0.75" header="0.3" footer="0.3"/>
  <pageSetup paperSize="9"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285-D91E-4153-990C-B5B37A1DF67B}">
  <sheetPr>
    <tabColor theme="8" tint="-0.499984740745262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EAD1-65D0-4E4A-B569-7CE5BA030F51}">
  <sheetPr>
    <pageSetUpPr fitToPage="1"/>
  </sheetPr>
  <dimension ref="B2:V112"/>
  <sheetViews>
    <sheetView showGridLines="0" topLeftCell="I1" zoomScaleNormal="100" workbookViewId="0">
      <selection activeCell="V60" sqref="V60"/>
    </sheetView>
  </sheetViews>
  <sheetFormatPr defaultRowHeight="14.5" x14ac:dyDescent="0.35"/>
  <cols>
    <col min="1" max="1" width="2.1796875" customWidth="1"/>
    <col min="2" max="2" width="12.6328125" customWidth="1"/>
    <col min="3" max="3" width="11.81640625" bestFit="1" customWidth="1"/>
    <col min="4" max="4" width="15.54296875" bestFit="1" customWidth="1"/>
    <col min="5" max="5" width="4.6328125" customWidth="1"/>
    <col min="6" max="7" width="15.6328125" customWidth="1"/>
    <col min="8" max="8" width="4.6328125" customWidth="1"/>
    <col min="9" max="10" width="15.6328125" customWidth="1"/>
    <col min="11" max="11" width="4.6328125" customWidth="1"/>
    <col min="12" max="13" width="15.6328125" customWidth="1"/>
    <col min="14" max="14" width="4.6328125" customWidth="1"/>
    <col min="15" max="16" width="15.6328125" customWidth="1"/>
    <col min="17" max="17" width="4.6328125" customWidth="1"/>
    <col min="18" max="18" width="11.26953125" bestFit="1" customWidth="1"/>
    <col min="19" max="19" width="7.81640625" bestFit="1" customWidth="1"/>
    <col min="21" max="21" width="16.36328125" customWidth="1"/>
    <col min="22" max="22" width="12.6328125" customWidth="1"/>
  </cols>
  <sheetData>
    <row r="2" spans="2:22" x14ac:dyDescent="0.35">
      <c r="B2" s="94" t="s">
        <v>249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4" spans="2:22" x14ac:dyDescent="0.35">
      <c r="B4" s="143" t="s">
        <v>248</v>
      </c>
      <c r="C4" s="143"/>
      <c r="D4" s="143"/>
      <c r="F4" s="143" t="s">
        <v>250</v>
      </c>
      <c r="G4" s="143"/>
      <c r="I4" s="143" t="s">
        <v>322</v>
      </c>
      <c r="J4" s="143"/>
      <c r="L4" s="143" t="s">
        <v>252</v>
      </c>
      <c r="M4" s="143"/>
      <c r="O4" s="143" t="s">
        <v>323</v>
      </c>
      <c r="P4" s="143"/>
      <c r="R4" s="143" t="s">
        <v>325</v>
      </c>
      <c r="S4" s="143"/>
      <c r="U4" s="143" t="s">
        <v>326</v>
      </c>
      <c r="V4" s="143"/>
    </row>
    <row r="5" spans="2:22" x14ac:dyDescent="0.35">
      <c r="B5" s="13"/>
    </row>
    <row r="6" spans="2:22" x14ac:dyDescent="0.35">
      <c r="B6" s="102" t="s">
        <v>243</v>
      </c>
      <c r="C6" s="101" t="s">
        <v>242</v>
      </c>
      <c r="D6" s="101" t="s">
        <v>324</v>
      </c>
      <c r="F6" s="101" t="s">
        <v>242</v>
      </c>
      <c r="G6" s="101" t="s">
        <v>324</v>
      </c>
      <c r="I6" s="101" t="s">
        <v>242</v>
      </c>
      <c r="J6" s="101" t="s">
        <v>324</v>
      </c>
      <c r="L6" s="101" t="s">
        <v>242</v>
      </c>
      <c r="M6" s="101" t="s">
        <v>324</v>
      </c>
      <c r="O6" s="101" t="s">
        <v>242</v>
      </c>
      <c r="P6" s="101" t="s">
        <v>324</v>
      </c>
      <c r="R6" s="101" t="s">
        <v>242</v>
      </c>
      <c r="S6" s="101" t="s">
        <v>324</v>
      </c>
      <c r="U6" s="153" t="s">
        <v>327</v>
      </c>
      <c r="V6" s="61">
        <f>'Beta-Regression 1'!M7</f>
        <v>0.69795308656667276</v>
      </c>
    </row>
    <row r="7" spans="2:22" x14ac:dyDescent="0.35">
      <c r="B7" s="95">
        <v>44361</v>
      </c>
      <c r="C7" s="48">
        <v>2391.0263669999999</v>
      </c>
      <c r="F7" s="48">
        <v>17228.625</v>
      </c>
      <c r="I7" s="48">
        <v>3443.8991700000001</v>
      </c>
      <c r="L7" s="48">
        <v>725.29998799999998</v>
      </c>
      <c r="O7" s="48">
        <v>566.49883999999997</v>
      </c>
      <c r="R7" s="48">
        <v>15683.349609000001</v>
      </c>
      <c r="U7" t="s">
        <v>185</v>
      </c>
      <c r="V7" s="61">
        <f>'Beta-Regression 2'!M7</f>
        <v>0.47346270589594341</v>
      </c>
    </row>
    <row r="8" spans="2:22" x14ac:dyDescent="0.35">
      <c r="B8" s="95">
        <v>44368</v>
      </c>
      <c r="C8" s="48">
        <v>2375.1059570000002</v>
      </c>
      <c r="D8" s="15">
        <f t="shared" ref="D8:D71" si="0">C8/C7-1</f>
        <v>-6.6584000158789181E-3</v>
      </c>
      <c r="F8" s="48">
        <v>17068.775390999999</v>
      </c>
      <c r="G8" s="15">
        <f t="shared" ref="G8:G71" si="1">F8/F7-1</f>
        <v>-9.2781408266765508E-3</v>
      </c>
      <c r="I8" s="48">
        <v>3492.2861330000001</v>
      </c>
      <c r="J8" s="15">
        <f t="shared" ref="J8:J71" si="2">I8/I7-1</f>
        <v>1.4050052168048888E-2</v>
      </c>
      <c r="L8" s="48">
        <v>794.54998799999998</v>
      </c>
      <c r="M8" s="15">
        <f t="shared" ref="M8:M71" si="3">L8/L7-1</f>
        <v>9.5477734931384006E-2</v>
      </c>
      <c r="O8" s="48">
        <v>554.08123799999998</v>
      </c>
      <c r="P8" s="15">
        <f t="shared" ref="P8:P71" si="4">O8/O7-1</f>
        <v>-2.1919907196985555E-2</v>
      </c>
      <c r="R8" s="48">
        <v>15860.349609000001</v>
      </c>
      <c r="S8" s="15">
        <f t="shared" ref="S8:S71" si="5">R8/R7-1</f>
        <v>1.1285854387791394E-2</v>
      </c>
      <c r="U8" t="s">
        <v>328</v>
      </c>
      <c r="V8" s="61">
        <f>'Beta-Regression 3'!M7</f>
        <v>0.58328452244698514</v>
      </c>
    </row>
    <row r="9" spans="2:22" x14ac:dyDescent="0.35">
      <c r="B9" s="95">
        <v>44375</v>
      </c>
      <c r="C9" s="48">
        <v>2412.594971</v>
      </c>
      <c r="D9" s="15">
        <f t="shared" si="0"/>
        <v>1.5784143814515206E-2</v>
      </c>
      <c r="F9" s="48">
        <v>17161.695313</v>
      </c>
      <c r="G9" s="15">
        <f t="shared" si="1"/>
        <v>5.4438540476076103E-3</v>
      </c>
      <c r="I9" s="48">
        <v>3373.578857</v>
      </c>
      <c r="J9" s="15">
        <f t="shared" si="2"/>
        <v>-3.3991280061014484E-2</v>
      </c>
      <c r="L9" s="48">
        <v>781.5</v>
      </c>
      <c r="M9" s="15">
        <f t="shared" si="3"/>
        <v>-1.6424376309977395E-2</v>
      </c>
      <c r="O9" s="48">
        <v>579.60357699999997</v>
      </c>
      <c r="P9" s="15">
        <f t="shared" si="4"/>
        <v>4.6062449420097407E-2</v>
      </c>
      <c r="R9" s="48">
        <v>15722.200194999999</v>
      </c>
      <c r="S9" s="15">
        <f t="shared" si="5"/>
        <v>-8.7103637313018512E-3</v>
      </c>
      <c r="U9" t="s">
        <v>183</v>
      </c>
      <c r="V9" s="61">
        <f>'Beta-Regression 4'!M7</f>
        <v>0.6179477163726298</v>
      </c>
    </row>
    <row r="10" spans="2:22" x14ac:dyDescent="0.35">
      <c r="B10" s="95">
        <v>44382</v>
      </c>
      <c r="C10" s="48">
        <v>2377.8215329999998</v>
      </c>
      <c r="D10" s="15">
        <f t="shared" si="0"/>
        <v>-1.4413292914055464E-2</v>
      </c>
      <c r="F10" s="48">
        <v>17194.841797000001</v>
      </c>
      <c r="G10" s="15">
        <f t="shared" si="1"/>
        <v>1.931422472865707E-3</v>
      </c>
      <c r="I10" s="48">
        <v>3307.5876459999999</v>
      </c>
      <c r="J10" s="15">
        <f t="shared" si="2"/>
        <v>-1.9561188220951653E-2</v>
      </c>
      <c r="L10" s="48">
        <v>850.25</v>
      </c>
      <c r="M10" s="15">
        <f t="shared" si="3"/>
        <v>8.7971849008317449E-2</v>
      </c>
      <c r="O10" s="48">
        <v>584.65893600000004</v>
      </c>
      <c r="P10" s="15">
        <f t="shared" si="4"/>
        <v>8.7220976553774587E-3</v>
      </c>
      <c r="R10" s="48">
        <v>15689.799805000001</v>
      </c>
      <c r="S10" s="15">
        <f t="shared" si="5"/>
        <v>-2.0608050780515086E-3</v>
      </c>
      <c r="U10" t="s">
        <v>329</v>
      </c>
      <c r="V10" s="61">
        <f>'Beta-Regression 5'!M7</f>
        <v>0.77083814228316261</v>
      </c>
    </row>
    <row r="11" spans="2:22" x14ac:dyDescent="0.35">
      <c r="B11" s="95">
        <v>44389</v>
      </c>
      <c r="C11" s="48">
        <v>2344.7944339999999</v>
      </c>
      <c r="D11" s="15">
        <f t="shared" si="0"/>
        <v>-1.3889645855099553E-2</v>
      </c>
      <c r="F11" s="48">
        <v>17212.585938</v>
      </c>
      <c r="G11" s="15">
        <f t="shared" si="1"/>
        <v>1.0319455805110067E-3</v>
      </c>
      <c r="I11" s="48">
        <v>3274.3308109999998</v>
      </c>
      <c r="J11" s="15">
        <f t="shared" si="2"/>
        <v>-1.0054710126946698E-2</v>
      </c>
      <c r="L11" s="48">
        <v>874.20001200000002</v>
      </c>
      <c r="M11" s="15">
        <f t="shared" si="3"/>
        <v>2.8168199941193794E-2</v>
      </c>
      <c r="O11" s="48">
        <v>569.64001499999995</v>
      </c>
      <c r="P11" s="15">
        <f t="shared" si="4"/>
        <v>-2.5688345931652812E-2</v>
      </c>
      <c r="R11" s="48">
        <v>15923.400390999999</v>
      </c>
      <c r="S11" s="15">
        <f t="shared" si="5"/>
        <v>1.488869130921322E-2</v>
      </c>
    </row>
    <row r="12" spans="2:22" x14ac:dyDescent="0.35">
      <c r="B12" s="95">
        <v>44396</v>
      </c>
      <c r="C12" s="48">
        <v>2287.275635</v>
      </c>
      <c r="D12" s="15">
        <f t="shared" si="0"/>
        <v>-2.4530422866058332E-2</v>
      </c>
      <c r="F12" s="48">
        <v>17690.085938</v>
      </c>
      <c r="G12" s="15">
        <f t="shared" si="1"/>
        <v>2.7741328451167169E-2</v>
      </c>
      <c r="I12" s="48">
        <v>3273.188721</v>
      </c>
      <c r="J12" s="15">
        <f t="shared" si="2"/>
        <v>-3.488010423879917E-4</v>
      </c>
      <c r="L12" s="48">
        <v>883.34997599999997</v>
      </c>
      <c r="M12" s="15">
        <f t="shared" si="3"/>
        <v>1.046667109860433E-2</v>
      </c>
      <c r="O12" s="48">
        <v>579.30902100000003</v>
      </c>
      <c r="P12" s="15">
        <f t="shared" si="4"/>
        <v>1.6973888324892439E-2</v>
      </c>
      <c r="R12" s="48">
        <v>15856.049805000001</v>
      </c>
      <c r="S12" s="15">
        <f t="shared" si="5"/>
        <v>-4.2296610237889665E-3</v>
      </c>
      <c r="U12" s="143" t="s">
        <v>330</v>
      </c>
      <c r="V12" s="143"/>
    </row>
    <row r="13" spans="2:22" x14ac:dyDescent="0.35">
      <c r="B13" s="95">
        <v>44403</v>
      </c>
      <c r="C13" s="48">
        <v>2263.2204590000001</v>
      </c>
      <c r="D13" s="15">
        <f t="shared" si="0"/>
        <v>-1.051695546960163E-2</v>
      </c>
      <c r="F13" s="48">
        <v>17259.824218999998</v>
      </c>
      <c r="G13" s="15">
        <f t="shared" si="1"/>
        <v>-2.4322194957558607E-2</v>
      </c>
      <c r="I13" s="48">
        <v>3257.5830080000001</v>
      </c>
      <c r="J13" s="15">
        <f t="shared" si="2"/>
        <v>-4.7677400633447942E-3</v>
      </c>
      <c r="L13" s="48">
        <v>853.75</v>
      </c>
      <c r="M13" s="15">
        <f t="shared" si="3"/>
        <v>-3.3508775461833507E-2</v>
      </c>
      <c r="O13" s="48">
        <v>589.665344</v>
      </c>
      <c r="P13" s="15">
        <f t="shared" si="4"/>
        <v>1.7877026983151412E-2</v>
      </c>
      <c r="R13" s="48">
        <v>15763.049805000001</v>
      </c>
      <c r="S13" s="15">
        <f t="shared" si="5"/>
        <v>-5.8652691650018518E-3</v>
      </c>
    </row>
    <row r="14" spans="2:22" x14ac:dyDescent="0.35">
      <c r="B14" s="95">
        <v>44410</v>
      </c>
      <c r="C14" s="48">
        <v>2300.2729490000002</v>
      </c>
      <c r="D14" s="15">
        <f t="shared" si="0"/>
        <v>1.6371577878176113E-2</v>
      </c>
      <c r="F14" s="48">
        <v>17569.873047000001</v>
      </c>
      <c r="G14" s="15">
        <f t="shared" si="1"/>
        <v>1.7963614464780786E-2</v>
      </c>
      <c r="I14" s="48">
        <v>3429.435547</v>
      </c>
      <c r="J14" s="15">
        <f t="shared" si="2"/>
        <v>5.2754615485764544E-2</v>
      </c>
      <c r="L14" s="48">
        <v>873.09997599999997</v>
      </c>
      <c r="M14" s="15">
        <f t="shared" si="3"/>
        <v>2.2664686383601751E-2</v>
      </c>
      <c r="O14" s="48">
        <v>577.38537599999995</v>
      </c>
      <c r="P14" s="15">
        <f t="shared" si="4"/>
        <v>-2.0825317487201733E-2</v>
      </c>
      <c r="R14" s="48">
        <v>16238.200194999999</v>
      </c>
      <c r="S14" s="15">
        <f t="shared" si="5"/>
        <v>3.0143303223547635E-2</v>
      </c>
      <c r="U14" s="45" t="s">
        <v>240</v>
      </c>
      <c r="V14" s="61">
        <f>V6</f>
        <v>0.69795308656667276</v>
      </c>
    </row>
    <row r="15" spans="2:22" x14ac:dyDescent="0.35">
      <c r="B15" s="95">
        <v>44417</v>
      </c>
      <c r="C15" s="48">
        <v>2332.281982</v>
      </c>
      <c r="D15" s="15">
        <f t="shared" si="0"/>
        <v>1.3915319490200195E-2</v>
      </c>
      <c r="F15" s="48">
        <v>17812.546875</v>
      </c>
      <c r="G15" s="15">
        <f t="shared" si="1"/>
        <v>1.3811928370275561E-2</v>
      </c>
      <c r="I15" s="48">
        <v>3406.169922</v>
      </c>
      <c r="J15" s="15">
        <f t="shared" si="2"/>
        <v>-6.784097464771488E-3</v>
      </c>
      <c r="L15" s="48">
        <v>864.79998799999998</v>
      </c>
      <c r="M15" s="15">
        <f t="shared" si="3"/>
        <v>-9.5063431773591001E-3</v>
      </c>
      <c r="O15" s="48">
        <v>580.44397000000004</v>
      </c>
      <c r="P15" s="15">
        <f t="shared" si="4"/>
        <v>5.2973180948734377E-3</v>
      </c>
      <c r="R15" s="48">
        <v>16529.099609000001</v>
      </c>
      <c r="S15" s="15">
        <f t="shared" si="5"/>
        <v>1.79145108760006E-2</v>
      </c>
      <c r="U15" t="s">
        <v>239</v>
      </c>
      <c r="V15" s="62">
        <v>0.75</v>
      </c>
    </row>
    <row r="16" spans="2:22" x14ac:dyDescent="0.35">
      <c r="B16" s="95">
        <v>44424</v>
      </c>
      <c r="C16" s="48">
        <v>2540.727539</v>
      </c>
      <c r="D16" s="15">
        <f t="shared" si="0"/>
        <v>8.9374080239325027E-2</v>
      </c>
      <c r="F16" s="48">
        <v>19081.683593999998</v>
      </c>
      <c r="G16" s="15">
        <f t="shared" si="1"/>
        <v>7.1249593216859752E-2</v>
      </c>
      <c r="I16" s="48">
        <v>3707.2446289999998</v>
      </c>
      <c r="J16" s="15">
        <f t="shared" si="2"/>
        <v>8.8390982803117968E-2</v>
      </c>
      <c r="L16" s="48">
        <v>905.90002400000003</v>
      </c>
      <c r="M16" s="15">
        <f t="shared" si="3"/>
        <v>4.752548169554327E-2</v>
      </c>
      <c r="O16" s="48">
        <v>603.53143299999999</v>
      </c>
      <c r="P16" s="15">
        <f t="shared" si="4"/>
        <v>3.9775523897681131E-2</v>
      </c>
      <c r="R16" s="48">
        <v>16450.5</v>
      </c>
      <c r="S16" s="15">
        <f t="shared" si="5"/>
        <v>-4.7552262893499897E-3</v>
      </c>
    </row>
    <row r="17" spans="2:22" x14ac:dyDescent="0.35">
      <c r="B17" s="95">
        <v>44431</v>
      </c>
      <c r="C17" s="48">
        <v>2597.5187989999999</v>
      </c>
      <c r="D17" s="15">
        <f t="shared" si="0"/>
        <v>2.2352361332830029E-2</v>
      </c>
      <c r="F17" s="48">
        <v>19458.123047000001</v>
      </c>
      <c r="G17" s="15">
        <f t="shared" si="1"/>
        <v>1.9727790325501982E-2</v>
      </c>
      <c r="I17" s="48">
        <v>3750.6359859999998</v>
      </c>
      <c r="J17" s="15">
        <f t="shared" si="2"/>
        <v>1.1704476327397018E-2</v>
      </c>
      <c r="L17" s="48">
        <v>897.79998799999998</v>
      </c>
      <c r="M17" s="15">
        <f t="shared" si="3"/>
        <v>-8.9414237613487657E-3</v>
      </c>
      <c r="O17" s="48">
        <v>600.62085000000002</v>
      </c>
      <c r="P17" s="15">
        <f t="shared" si="4"/>
        <v>-4.8225872603390174E-3</v>
      </c>
      <c r="R17" s="48">
        <v>16705.199218999998</v>
      </c>
      <c r="S17" s="15">
        <f t="shared" si="5"/>
        <v>1.5482764596820742E-2</v>
      </c>
      <c r="U17" t="s">
        <v>237</v>
      </c>
      <c r="V17" s="61">
        <v>1</v>
      </c>
    </row>
    <row r="18" spans="2:22" x14ac:dyDescent="0.35">
      <c r="B18" s="95">
        <v>44438</v>
      </c>
      <c r="C18" s="48">
        <v>2683.6035160000001</v>
      </c>
      <c r="D18" s="15">
        <f t="shared" si="0"/>
        <v>3.314113338973379E-2</v>
      </c>
      <c r="F18" s="48">
        <v>19759.6875</v>
      </c>
      <c r="G18" s="15">
        <f t="shared" si="1"/>
        <v>1.5498126529038148E-2</v>
      </c>
      <c r="I18" s="48">
        <v>3924.4392090000001</v>
      </c>
      <c r="J18" s="15">
        <f t="shared" si="2"/>
        <v>4.6339667098795001E-2</v>
      </c>
      <c r="L18" s="48">
        <v>915.65002400000003</v>
      </c>
      <c r="M18" s="15">
        <f t="shared" si="3"/>
        <v>1.9881973979264611E-2</v>
      </c>
      <c r="O18" s="48">
        <v>632.68688999999995</v>
      </c>
      <c r="P18" s="15">
        <f t="shared" si="4"/>
        <v>5.3388156604952997E-2</v>
      </c>
      <c r="R18" s="48">
        <v>17323.599609000001</v>
      </c>
      <c r="S18" s="15">
        <f t="shared" si="5"/>
        <v>3.7018438504860862E-2</v>
      </c>
      <c r="U18" t="s">
        <v>235</v>
      </c>
      <c r="V18" s="62">
        <v>0.25</v>
      </c>
    </row>
    <row r="19" spans="2:22" x14ac:dyDescent="0.35">
      <c r="B19" s="95">
        <v>44445</v>
      </c>
      <c r="C19" s="48">
        <v>2726.2333979999999</v>
      </c>
      <c r="D19" s="15">
        <f t="shared" si="0"/>
        <v>1.5885313067237616E-2</v>
      </c>
      <c r="F19" s="48">
        <v>19945.470702999999</v>
      </c>
      <c r="G19" s="15">
        <f t="shared" si="1"/>
        <v>9.4021326501241287E-3</v>
      </c>
      <c r="I19" s="48">
        <v>3873.6254880000001</v>
      </c>
      <c r="J19" s="15">
        <f t="shared" si="2"/>
        <v>-1.2948020925758752E-2</v>
      </c>
      <c r="L19" s="48">
        <v>938</v>
      </c>
      <c r="M19" s="15">
        <f t="shared" si="3"/>
        <v>2.4408863008996029E-2</v>
      </c>
      <c r="O19" s="48">
        <v>629.77624500000002</v>
      </c>
      <c r="P19" s="15">
        <f t="shared" si="4"/>
        <v>-4.6004509434357521E-3</v>
      </c>
      <c r="R19" s="48">
        <v>17369.25</v>
      </c>
      <c r="S19" s="15">
        <f t="shared" si="5"/>
        <v>2.6351562048503308E-3</v>
      </c>
    </row>
    <row r="20" spans="2:22" x14ac:dyDescent="0.35">
      <c r="B20" s="95">
        <v>44452</v>
      </c>
      <c r="C20" s="48">
        <v>2640.4882809999999</v>
      </c>
      <c r="D20" s="15">
        <f t="shared" si="0"/>
        <v>-3.1451862141702036E-2</v>
      </c>
      <c r="F20" s="48">
        <v>19671.011718999998</v>
      </c>
      <c r="G20" s="15">
        <f t="shared" si="1"/>
        <v>-1.3760466628582435E-2</v>
      </c>
      <c r="I20" s="48">
        <v>3855.5935060000002</v>
      </c>
      <c r="J20" s="15">
        <f t="shared" si="2"/>
        <v>-4.6550659210242706E-3</v>
      </c>
      <c r="L20" s="48">
        <v>890.15002400000003</v>
      </c>
      <c r="M20" s="15">
        <f t="shared" si="3"/>
        <v>-5.1012767590618346E-2</v>
      </c>
      <c r="O20" s="48">
        <v>645.21728499999995</v>
      </c>
      <c r="P20" s="15">
        <f t="shared" si="4"/>
        <v>2.4518295382830679E-2</v>
      </c>
      <c r="R20" s="48">
        <v>17585.150390999999</v>
      </c>
      <c r="S20" s="15">
        <f t="shared" si="5"/>
        <v>1.2430035321041366E-2</v>
      </c>
      <c r="U20" s="99" t="s">
        <v>233</v>
      </c>
      <c r="V20" s="98">
        <f>(V14*V15)+(V17*V18)</f>
        <v>0.77346481492500452</v>
      </c>
    </row>
    <row r="21" spans="2:22" x14ac:dyDescent="0.35">
      <c r="B21" s="95">
        <v>44459</v>
      </c>
      <c r="C21" s="48">
        <v>2664.1552729999999</v>
      </c>
      <c r="D21" s="15">
        <f t="shared" si="0"/>
        <v>8.9631119252826519E-3</v>
      </c>
      <c r="F21" s="48">
        <v>19367.353515999999</v>
      </c>
      <c r="G21" s="15">
        <f t="shared" si="1"/>
        <v>-1.5436837074663479E-2</v>
      </c>
      <c r="I21" s="48">
        <v>3847.076904</v>
      </c>
      <c r="J21" s="15">
        <f t="shared" si="2"/>
        <v>-2.2088952029685194E-3</v>
      </c>
      <c r="L21" s="48">
        <v>890.45001200000002</v>
      </c>
      <c r="M21" s="15">
        <f t="shared" si="3"/>
        <v>3.3700836028960346E-4</v>
      </c>
      <c r="O21" s="48">
        <v>643.19470200000001</v>
      </c>
      <c r="P21" s="15">
        <f t="shared" si="4"/>
        <v>-3.1347315811601772E-3</v>
      </c>
      <c r="R21" s="48">
        <v>17853.199218999998</v>
      </c>
      <c r="S21" s="15">
        <f t="shared" si="5"/>
        <v>1.5242907910368864E-2</v>
      </c>
    </row>
    <row r="22" spans="2:22" x14ac:dyDescent="0.35">
      <c r="B22" s="95">
        <v>44466</v>
      </c>
      <c r="C22" s="48">
        <v>2622.8352049999999</v>
      </c>
      <c r="D22" s="15">
        <f t="shared" si="0"/>
        <v>-1.5509632046885602E-2</v>
      </c>
      <c r="F22" s="48">
        <v>19060.916015999999</v>
      </c>
      <c r="G22" s="15">
        <f t="shared" si="1"/>
        <v>-1.5822373446472304E-2</v>
      </c>
      <c r="I22" s="48">
        <v>3731.1762699999999</v>
      </c>
      <c r="J22" s="15">
        <f t="shared" si="2"/>
        <v>-3.0126934525143589E-2</v>
      </c>
      <c r="L22" s="48">
        <v>910.45001200000002</v>
      </c>
      <c r="M22" s="15">
        <f t="shared" si="3"/>
        <v>2.2460553349961554E-2</v>
      </c>
      <c r="O22" s="48">
        <v>609.69799799999998</v>
      </c>
      <c r="P22" s="15">
        <f t="shared" si="4"/>
        <v>-5.2078637923855364E-2</v>
      </c>
      <c r="R22" s="48">
        <v>17532.050781000002</v>
      </c>
      <c r="S22" s="15">
        <f t="shared" si="5"/>
        <v>-1.7988285128091697E-2</v>
      </c>
      <c r="U22" s="143" t="s">
        <v>331</v>
      </c>
      <c r="V22" s="143"/>
    </row>
    <row r="23" spans="2:22" x14ac:dyDescent="0.35">
      <c r="B23" s="95">
        <v>44473</v>
      </c>
      <c r="C23" s="48">
        <v>2560.757568</v>
      </c>
      <c r="D23" s="15">
        <f t="shared" si="0"/>
        <v>-2.3668142352847421E-2</v>
      </c>
      <c r="F23" s="48">
        <v>18511.511718999998</v>
      </c>
      <c r="G23" s="15">
        <f t="shared" si="1"/>
        <v>-2.8823604098503153E-2</v>
      </c>
      <c r="I23" s="48">
        <v>3695.2072750000002</v>
      </c>
      <c r="J23" s="15">
        <f t="shared" si="2"/>
        <v>-9.6401221483968236E-3</v>
      </c>
      <c r="L23" s="48">
        <v>829.84997599999997</v>
      </c>
      <c r="M23" s="15">
        <f t="shared" si="3"/>
        <v>-8.852768953557888E-2</v>
      </c>
      <c r="O23" s="48">
        <v>598.89428699999996</v>
      </c>
      <c r="P23" s="15">
        <f t="shared" si="4"/>
        <v>-1.7719774438229363E-2</v>
      </c>
      <c r="R23" s="48">
        <v>17895.199218999998</v>
      </c>
      <c r="S23" s="15">
        <f t="shared" si="5"/>
        <v>2.0713403271313213E-2</v>
      </c>
    </row>
    <row r="24" spans="2:22" x14ac:dyDescent="0.35">
      <c r="B24" s="95">
        <v>44480</v>
      </c>
      <c r="C24" s="48">
        <v>2569.9721679999998</v>
      </c>
      <c r="D24" s="15">
        <f t="shared" si="0"/>
        <v>3.5983882719505811E-3</v>
      </c>
      <c r="F24" s="48">
        <v>18841.982422000001</v>
      </c>
      <c r="G24" s="15">
        <f t="shared" si="1"/>
        <v>1.7852172638110897E-2</v>
      </c>
      <c r="I24" s="48">
        <v>3706.1977539999998</v>
      </c>
      <c r="J24" s="15">
        <f t="shared" si="2"/>
        <v>2.9742523712690261E-3</v>
      </c>
      <c r="L24" s="48">
        <v>833.40002400000003</v>
      </c>
      <c r="M24" s="15">
        <f t="shared" si="3"/>
        <v>4.277939510358042E-3</v>
      </c>
      <c r="O24" s="48">
        <v>606.98474099999999</v>
      </c>
      <c r="P24" s="15">
        <f t="shared" si="4"/>
        <v>1.3508985100737947E-2</v>
      </c>
      <c r="R24" s="48">
        <v>18338.550781000002</v>
      </c>
      <c r="S24" s="15">
        <f t="shared" si="5"/>
        <v>2.4774888313580767E-2</v>
      </c>
      <c r="U24" s="45" t="s">
        <v>240</v>
      </c>
      <c r="V24" s="61">
        <f>V7</f>
        <v>0.47346270589594341</v>
      </c>
    </row>
    <row r="25" spans="2:22" x14ac:dyDescent="0.35">
      <c r="B25" s="95">
        <v>44487</v>
      </c>
      <c r="C25" s="48">
        <v>2380.3923340000001</v>
      </c>
      <c r="D25" s="15">
        <f t="shared" si="0"/>
        <v>-7.376727124151472E-2</v>
      </c>
      <c r="F25" s="48">
        <v>18531.253906000002</v>
      </c>
      <c r="G25" s="15">
        <f t="shared" si="1"/>
        <v>-1.6491285738447048E-2</v>
      </c>
      <c r="I25" s="48">
        <v>3511.2700199999999</v>
      </c>
      <c r="J25" s="15">
        <f t="shared" si="2"/>
        <v>-5.2595070996851012E-2</v>
      </c>
      <c r="L25" s="48">
        <v>820.25</v>
      </c>
      <c r="M25" s="15">
        <f t="shared" si="3"/>
        <v>-1.5778766044288073E-2</v>
      </c>
      <c r="O25" s="48">
        <v>582.861267</v>
      </c>
      <c r="P25" s="15">
        <f t="shared" si="4"/>
        <v>-3.974313087386161E-2</v>
      </c>
      <c r="R25" s="48">
        <v>18114.900390999999</v>
      </c>
      <c r="S25" s="15">
        <f t="shared" si="5"/>
        <v>-1.2195641447944716E-2</v>
      </c>
      <c r="U25" t="s">
        <v>239</v>
      </c>
      <c r="V25" s="62">
        <v>0.75</v>
      </c>
    </row>
    <row r="26" spans="2:22" x14ac:dyDescent="0.35">
      <c r="B26" s="95">
        <v>44494</v>
      </c>
      <c r="C26" s="48">
        <v>2321.2727049999999</v>
      </c>
      <c r="D26" s="15">
        <f t="shared" si="0"/>
        <v>-2.4836086117222544E-2</v>
      </c>
      <c r="F26" s="48">
        <v>18524.869140999999</v>
      </c>
      <c r="G26" s="15">
        <f t="shared" si="1"/>
        <v>-3.4454036582676206E-4</v>
      </c>
      <c r="I26" s="48">
        <v>3497.7102049999999</v>
      </c>
      <c r="J26" s="15">
        <f t="shared" si="2"/>
        <v>-3.8617978460112612E-3</v>
      </c>
      <c r="L26" s="48">
        <v>829.84997599999997</v>
      </c>
      <c r="M26" s="15">
        <f t="shared" si="3"/>
        <v>1.1703719597683682E-2</v>
      </c>
      <c r="O26" s="48">
        <v>578.026611</v>
      </c>
      <c r="P26" s="15">
        <f t="shared" si="4"/>
        <v>-8.2946942501156418E-3</v>
      </c>
      <c r="R26" s="48">
        <v>17671.650390999999</v>
      </c>
      <c r="S26" s="15">
        <f t="shared" si="5"/>
        <v>-2.4468806917658736E-2</v>
      </c>
    </row>
    <row r="27" spans="2:22" x14ac:dyDescent="0.35">
      <c r="B27" s="95">
        <v>44501</v>
      </c>
      <c r="C27" s="48">
        <v>2364.523193</v>
      </c>
      <c r="D27" s="15">
        <f t="shared" si="0"/>
        <v>1.8632230459970867E-2</v>
      </c>
      <c r="F27" s="48">
        <v>18525.740234000001</v>
      </c>
      <c r="G27" s="15">
        <f t="shared" si="1"/>
        <v>4.7022896268344994E-5</v>
      </c>
      <c r="I27" s="48">
        <v>3475.6813959999999</v>
      </c>
      <c r="J27" s="15">
        <f t="shared" si="2"/>
        <v>-6.2980657941614782E-3</v>
      </c>
      <c r="L27" s="48">
        <v>829.15002400000003</v>
      </c>
      <c r="M27" s="15">
        <f t="shared" si="3"/>
        <v>-8.4346812103774926E-4</v>
      </c>
      <c r="O27" s="48">
        <v>604.37011700000005</v>
      </c>
      <c r="P27" s="15">
        <f t="shared" si="4"/>
        <v>4.5574901740985885E-2</v>
      </c>
      <c r="R27" s="48">
        <v>17916.800781000002</v>
      </c>
      <c r="S27" s="15">
        <f t="shared" si="5"/>
        <v>1.3872523764099309E-2</v>
      </c>
      <c r="U27" t="s">
        <v>237</v>
      </c>
      <c r="V27" s="61">
        <v>1</v>
      </c>
    </row>
    <row r="28" spans="2:22" x14ac:dyDescent="0.35">
      <c r="B28" s="95">
        <v>44508</v>
      </c>
      <c r="C28" s="48">
        <v>2347.0539549999999</v>
      </c>
      <c r="D28" s="15">
        <f t="shared" si="0"/>
        <v>-7.3880594835002977E-3</v>
      </c>
      <c r="F28" s="48">
        <v>18774.064452999999</v>
      </c>
      <c r="G28" s="15">
        <f t="shared" si="1"/>
        <v>1.3404280523390488E-2</v>
      </c>
      <c r="I28" s="48">
        <v>3509.319336</v>
      </c>
      <c r="J28" s="15">
        <f t="shared" si="2"/>
        <v>9.678085004774184E-3</v>
      </c>
      <c r="L28" s="48">
        <v>819</v>
      </c>
      <c r="M28" s="15">
        <f t="shared" si="3"/>
        <v>-1.224148068046127E-2</v>
      </c>
      <c r="O28" s="48">
        <v>594.40502900000001</v>
      </c>
      <c r="P28" s="15">
        <f t="shared" si="4"/>
        <v>-1.648838637069816E-2</v>
      </c>
      <c r="R28" s="48">
        <v>18102.75</v>
      </c>
      <c r="S28" s="15">
        <f t="shared" si="5"/>
        <v>1.0378483372834646E-2</v>
      </c>
      <c r="U28" t="s">
        <v>235</v>
      </c>
      <c r="V28" s="62">
        <v>0.25</v>
      </c>
    </row>
    <row r="29" spans="2:22" x14ac:dyDescent="0.35">
      <c r="B29" s="95">
        <v>44515</v>
      </c>
      <c r="C29" s="48">
        <v>2341.6374510000001</v>
      </c>
      <c r="D29" s="15">
        <f t="shared" si="0"/>
        <v>-2.3077884462182618E-3</v>
      </c>
      <c r="F29" s="48">
        <v>19032.054688</v>
      </c>
      <c r="G29" s="15">
        <f t="shared" si="1"/>
        <v>1.3741842404231042E-2</v>
      </c>
      <c r="I29" s="48">
        <v>3398.6049800000001</v>
      </c>
      <c r="J29" s="15">
        <f t="shared" si="2"/>
        <v>-3.1548669528089879E-2</v>
      </c>
      <c r="L29" s="48">
        <v>838.90002400000003</v>
      </c>
      <c r="M29" s="15">
        <f t="shared" si="3"/>
        <v>2.4297953601953637E-2</v>
      </c>
      <c r="O29" s="48">
        <v>603.11206100000004</v>
      </c>
      <c r="P29" s="15">
        <f t="shared" si="4"/>
        <v>1.4648314827767184E-2</v>
      </c>
      <c r="R29" s="48">
        <v>17764.800781000002</v>
      </c>
      <c r="S29" s="15">
        <f t="shared" si="5"/>
        <v>-1.8668391211279944E-2</v>
      </c>
    </row>
    <row r="30" spans="2:22" x14ac:dyDescent="0.35">
      <c r="B30" s="95">
        <v>44522</v>
      </c>
      <c r="C30" s="48">
        <v>2278.8854980000001</v>
      </c>
      <c r="D30" s="15">
        <f t="shared" si="0"/>
        <v>-2.6798321393946667E-2</v>
      </c>
      <c r="F30" s="48">
        <v>18852.330077999999</v>
      </c>
      <c r="G30" s="15">
        <f t="shared" si="1"/>
        <v>-9.4432583841470574E-3</v>
      </c>
      <c r="I30" s="48">
        <v>3383.094482</v>
      </c>
      <c r="J30" s="15">
        <f t="shared" si="2"/>
        <v>-4.5637836969214529E-3</v>
      </c>
      <c r="L30" s="48">
        <v>859.34997599999997</v>
      </c>
      <c r="M30" s="15">
        <f t="shared" si="3"/>
        <v>2.4377102652222593E-2</v>
      </c>
      <c r="O30" s="48">
        <v>596.42456100000004</v>
      </c>
      <c r="P30" s="15">
        <f t="shared" si="4"/>
        <v>-1.108832078223021E-2</v>
      </c>
      <c r="R30" s="48">
        <v>17026.449218999998</v>
      </c>
      <c r="S30" s="15">
        <f t="shared" si="5"/>
        <v>-4.1562614245001406E-2</v>
      </c>
      <c r="U30" s="99" t="s">
        <v>233</v>
      </c>
      <c r="V30" s="98">
        <f>(V24*V25)+(V27*V28)</f>
        <v>0.60509702942195753</v>
      </c>
    </row>
    <row r="31" spans="2:22" x14ac:dyDescent="0.35">
      <c r="B31" s="95">
        <v>44529</v>
      </c>
      <c r="C31" s="48">
        <v>2287.2294919999999</v>
      </c>
      <c r="D31" s="15">
        <f t="shared" si="0"/>
        <v>3.6614362622968688E-3</v>
      </c>
      <c r="F31" s="48">
        <v>18949.523438</v>
      </c>
      <c r="G31" s="15">
        <f t="shared" si="1"/>
        <v>5.1555091385453444E-3</v>
      </c>
      <c r="I31" s="48">
        <v>3381.619385</v>
      </c>
      <c r="J31" s="15">
        <f t="shared" si="2"/>
        <v>-4.3602004255227644E-4</v>
      </c>
      <c r="L31" s="48">
        <v>881.65002400000003</v>
      </c>
      <c r="M31" s="15">
        <f t="shared" si="3"/>
        <v>2.5949902394597935E-2</v>
      </c>
      <c r="O31" s="48">
        <v>575.96575900000005</v>
      </c>
      <c r="P31" s="15">
        <f t="shared" si="4"/>
        <v>-3.4302413645906138E-2</v>
      </c>
      <c r="R31" s="48">
        <v>17196.699218999998</v>
      </c>
      <c r="S31" s="15">
        <f t="shared" si="5"/>
        <v>9.9991488424970854E-3</v>
      </c>
    </row>
    <row r="32" spans="2:22" x14ac:dyDescent="0.35">
      <c r="B32" s="95">
        <v>44536</v>
      </c>
      <c r="C32" s="48">
        <v>2276.6408689999998</v>
      </c>
      <c r="D32" s="15">
        <f t="shared" si="0"/>
        <v>-4.6294536849212919E-3</v>
      </c>
      <c r="F32" s="48">
        <v>18899.40625</v>
      </c>
      <c r="G32" s="15">
        <f t="shared" si="1"/>
        <v>-2.6447730025493943E-3</v>
      </c>
      <c r="I32" s="48">
        <v>3456.507568</v>
      </c>
      <c r="J32" s="15">
        <f t="shared" si="2"/>
        <v>2.2145656998592056E-2</v>
      </c>
      <c r="L32" s="48">
        <v>923.59997599999997</v>
      </c>
      <c r="M32" s="15">
        <f t="shared" si="3"/>
        <v>4.7581183982364328E-2</v>
      </c>
      <c r="O32" s="48">
        <v>572.448669</v>
      </c>
      <c r="P32" s="15">
        <f t="shared" si="4"/>
        <v>-6.1064220312444517E-3</v>
      </c>
      <c r="R32" s="48">
        <v>17511.300781000002</v>
      </c>
      <c r="S32" s="15">
        <f t="shared" si="5"/>
        <v>1.8294299271828462E-2</v>
      </c>
      <c r="U32" s="143" t="s">
        <v>332</v>
      </c>
      <c r="V32" s="143"/>
    </row>
    <row r="33" spans="2:22" x14ac:dyDescent="0.35">
      <c r="B33" s="95">
        <v>44543</v>
      </c>
      <c r="C33" s="48">
        <v>2176.5595699999999</v>
      </c>
      <c r="D33" s="15">
        <f t="shared" si="0"/>
        <v>-4.3960073089595375E-2</v>
      </c>
      <c r="F33" s="48">
        <v>18712.476563</v>
      </c>
      <c r="G33" s="15">
        <f t="shared" si="1"/>
        <v>-9.8907703515818124E-3</v>
      </c>
      <c r="I33" s="48">
        <v>3364.8718260000001</v>
      </c>
      <c r="J33" s="15">
        <f t="shared" si="2"/>
        <v>-2.651107807439923E-2</v>
      </c>
      <c r="L33" s="48">
        <v>896.79998799999998</v>
      </c>
      <c r="M33" s="15">
        <f t="shared" si="3"/>
        <v>-2.9016878190131101E-2</v>
      </c>
      <c r="O33" s="48">
        <v>559.51959199999999</v>
      </c>
      <c r="P33" s="15">
        <f t="shared" si="4"/>
        <v>-2.2585565658813644E-2</v>
      </c>
      <c r="R33" s="48">
        <v>16985.199218999998</v>
      </c>
      <c r="S33" s="15">
        <f t="shared" si="5"/>
        <v>-3.0043545512668635E-2</v>
      </c>
    </row>
    <row r="34" spans="2:22" x14ac:dyDescent="0.35">
      <c r="B34" s="95">
        <v>44550</v>
      </c>
      <c r="C34" s="48">
        <v>2241.6538089999999</v>
      </c>
      <c r="D34" s="15">
        <f t="shared" si="0"/>
        <v>2.9906941164031586E-2</v>
      </c>
      <c r="F34" s="48">
        <v>18854.244140999999</v>
      </c>
      <c r="G34" s="15">
        <f t="shared" si="1"/>
        <v>7.5760991615783091E-3</v>
      </c>
      <c r="I34" s="48">
        <v>3369.7727049999999</v>
      </c>
      <c r="J34" s="15">
        <f t="shared" si="2"/>
        <v>1.456483115383822E-3</v>
      </c>
      <c r="L34" s="48">
        <v>873.40002400000003</v>
      </c>
      <c r="M34" s="15">
        <f t="shared" si="3"/>
        <v>-2.6092734515067773E-2</v>
      </c>
      <c r="O34" s="48">
        <v>558.47930899999994</v>
      </c>
      <c r="P34" s="15">
        <f t="shared" si="4"/>
        <v>-1.8592432059109099E-3</v>
      </c>
      <c r="R34" s="48">
        <v>17003.75</v>
      </c>
      <c r="S34" s="15">
        <f t="shared" si="5"/>
        <v>1.0921732951623131E-3</v>
      </c>
      <c r="U34" s="45" t="s">
        <v>240</v>
      </c>
      <c r="V34" s="61">
        <f>V8</f>
        <v>0.58328452244698514</v>
      </c>
    </row>
    <row r="35" spans="2:22" x14ac:dyDescent="0.35">
      <c r="B35" s="95">
        <v>44557</v>
      </c>
      <c r="C35" s="48">
        <v>2303.3322750000002</v>
      </c>
      <c r="D35" s="15">
        <f t="shared" si="0"/>
        <v>2.7514715141280011E-2</v>
      </c>
      <c r="F35" s="48">
        <v>19326.476563</v>
      </c>
      <c r="G35" s="15">
        <f t="shared" si="1"/>
        <v>2.504647857895792E-2</v>
      </c>
      <c r="I35" s="48">
        <v>3431.3386230000001</v>
      </c>
      <c r="J35" s="15">
        <f t="shared" si="2"/>
        <v>1.8270050650196712E-2</v>
      </c>
      <c r="L35" s="48">
        <v>874.04998799999998</v>
      </c>
      <c r="M35" s="15">
        <f t="shared" si="3"/>
        <v>7.4417675994919996E-4</v>
      </c>
      <c r="O35" s="48">
        <v>574.67785600000002</v>
      </c>
      <c r="P35" s="15">
        <f t="shared" si="4"/>
        <v>2.9004739726176787E-2</v>
      </c>
      <c r="R35" s="48">
        <v>17354.050781000002</v>
      </c>
      <c r="S35" s="15">
        <f t="shared" si="5"/>
        <v>2.0601383871204915E-2</v>
      </c>
      <c r="U35" t="s">
        <v>239</v>
      </c>
      <c r="V35" s="62">
        <v>0.75</v>
      </c>
    </row>
    <row r="36" spans="2:22" x14ac:dyDescent="0.35">
      <c r="B36" s="95">
        <v>44564</v>
      </c>
      <c r="C36" s="48">
        <v>2357.984375</v>
      </c>
      <c r="D36" s="15">
        <f t="shared" si="0"/>
        <v>2.3727405981839755E-2</v>
      </c>
      <c r="F36" s="48">
        <v>19519.832031000002</v>
      </c>
      <c r="G36" s="15">
        <f t="shared" si="1"/>
        <v>1.0004693166377532E-2</v>
      </c>
      <c r="I36" s="48">
        <v>3556.3266600000002</v>
      </c>
      <c r="J36" s="15">
        <f t="shared" si="2"/>
        <v>3.642544520736446E-2</v>
      </c>
      <c r="L36" s="48">
        <v>917.45001200000002</v>
      </c>
      <c r="M36" s="15">
        <f t="shared" si="3"/>
        <v>4.9653938099476269E-2</v>
      </c>
      <c r="O36" s="48">
        <v>582.05883800000004</v>
      </c>
      <c r="P36" s="15">
        <f t="shared" si="4"/>
        <v>1.2843686115513009E-2</v>
      </c>
      <c r="R36" s="48">
        <v>17812.699218999998</v>
      </c>
      <c r="S36" s="15">
        <f t="shared" si="5"/>
        <v>2.6428898001275014E-2</v>
      </c>
    </row>
    <row r="37" spans="2:22" x14ac:dyDescent="0.35">
      <c r="B37" s="95">
        <v>44571</v>
      </c>
      <c r="C37" s="48">
        <v>2306.796875</v>
      </c>
      <c r="D37" s="15">
        <f t="shared" si="0"/>
        <v>-2.1708159113649761E-2</v>
      </c>
      <c r="F37" s="48">
        <v>19026.808593999998</v>
      </c>
      <c r="G37" s="15">
        <f t="shared" si="1"/>
        <v>-2.5257565547542549E-2</v>
      </c>
      <c r="I37" s="48">
        <v>3532.251953</v>
      </c>
      <c r="J37" s="15">
        <f t="shared" si="2"/>
        <v>-6.7695432117589327E-3</v>
      </c>
      <c r="L37" s="48">
        <v>917.20001200000002</v>
      </c>
      <c r="M37" s="15">
        <f t="shared" si="3"/>
        <v>-2.7249441030041677E-4</v>
      </c>
      <c r="O37" s="48">
        <v>570.46722399999999</v>
      </c>
      <c r="P37" s="15">
        <f t="shared" si="4"/>
        <v>-1.991484922697806E-2</v>
      </c>
      <c r="R37" s="48">
        <v>18255.75</v>
      </c>
      <c r="S37" s="15">
        <f t="shared" si="5"/>
        <v>2.4872748119354027E-2</v>
      </c>
      <c r="U37" t="s">
        <v>237</v>
      </c>
      <c r="V37" s="61">
        <v>1</v>
      </c>
    </row>
    <row r="38" spans="2:22" x14ac:dyDescent="0.35">
      <c r="B38" s="95">
        <v>44578</v>
      </c>
      <c r="C38" s="48">
        <v>2269.4189449999999</v>
      </c>
      <c r="D38" s="15">
        <f t="shared" si="0"/>
        <v>-1.6203390252988781E-2</v>
      </c>
      <c r="F38" s="48">
        <v>18609.101563</v>
      </c>
      <c r="G38" s="15">
        <f t="shared" si="1"/>
        <v>-2.1953604512094604E-2</v>
      </c>
      <c r="I38" s="48">
        <v>3443.0429690000001</v>
      </c>
      <c r="J38" s="15">
        <f t="shared" si="2"/>
        <v>-2.5255555149239384E-2</v>
      </c>
      <c r="L38" s="48">
        <v>932.40002400000003</v>
      </c>
      <c r="M38" s="15">
        <f t="shared" si="3"/>
        <v>1.6572189054877562E-2</v>
      </c>
      <c r="O38" s="48">
        <v>546.44177200000001</v>
      </c>
      <c r="P38" s="15">
        <f t="shared" si="4"/>
        <v>-4.211539417030552E-2</v>
      </c>
      <c r="R38" s="48">
        <v>17617.150390999999</v>
      </c>
      <c r="S38" s="15">
        <f t="shared" si="5"/>
        <v>-3.4980738068827621E-2</v>
      </c>
      <c r="U38" t="s">
        <v>235</v>
      </c>
      <c r="V38" s="62">
        <v>0.25</v>
      </c>
    </row>
    <row r="39" spans="2:22" x14ac:dyDescent="0.35">
      <c r="B39" s="95">
        <v>44585</v>
      </c>
      <c r="C39" s="48">
        <v>2228.5766600000002</v>
      </c>
      <c r="D39" s="15">
        <f t="shared" si="0"/>
        <v>-1.79968027014068E-2</v>
      </c>
      <c r="F39" s="48">
        <v>18030.605468999998</v>
      </c>
      <c r="G39" s="15">
        <f t="shared" si="1"/>
        <v>-3.1086728826834387E-2</v>
      </c>
      <c r="I39" s="48">
        <v>3339.655518</v>
      </c>
      <c r="J39" s="15">
        <f t="shared" si="2"/>
        <v>-3.0027929343567794E-2</v>
      </c>
      <c r="L39" s="48">
        <v>907.09997599999997</v>
      </c>
      <c r="M39" s="15">
        <f t="shared" si="3"/>
        <v>-2.7134327915890433E-2</v>
      </c>
      <c r="O39" s="48">
        <v>529.00482199999999</v>
      </c>
      <c r="P39" s="15">
        <f t="shared" si="4"/>
        <v>-3.1909987291381614E-2</v>
      </c>
      <c r="R39" s="48">
        <v>17101.949218999998</v>
      </c>
      <c r="S39" s="15">
        <f t="shared" si="5"/>
        <v>-2.9244296640800638E-2</v>
      </c>
    </row>
    <row r="40" spans="2:22" x14ac:dyDescent="0.35">
      <c r="B40" s="95">
        <v>44592</v>
      </c>
      <c r="C40" s="48">
        <v>2251.0717770000001</v>
      </c>
      <c r="D40" s="15">
        <f t="shared" si="0"/>
        <v>1.0093939061535329E-2</v>
      </c>
      <c r="F40" s="48">
        <v>17978.869140999999</v>
      </c>
      <c r="G40" s="15">
        <f t="shared" si="1"/>
        <v>-2.86936165781837E-3</v>
      </c>
      <c r="I40" s="48">
        <v>3389.469971</v>
      </c>
      <c r="J40" s="15">
        <f t="shared" si="2"/>
        <v>1.4916045302131087E-2</v>
      </c>
      <c r="L40" s="48">
        <v>935</v>
      </c>
      <c r="M40" s="15">
        <f t="shared" si="3"/>
        <v>3.0757385887087763E-2</v>
      </c>
      <c r="O40" s="48">
        <v>563.73022500000002</v>
      </c>
      <c r="P40" s="15">
        <f t="shared" si="4"/>
        <v>6.5642885576570498E-2</v>
      </c>
      <c r="R40" s="48">
        <v>17516.300781000002</v>
      </c>
      <c r="S40" s="15">
        <f t="shared" si="5"/>
        <v>2.4228323724623468E-2</v>
      </c>
      <c r="U40" s="99" t="s">
        <v>233</v>
      </c>
      <c r="V40" s="98">
        <f>(V34*V35)+(V37*V38)</f>
        <v>0.68746339183523886</v>
      </c>
    </row>
    <row r="41" spans="2:22" x14ac:dyDescent="0.35">
      <c r="B41" s="95">
        <v>44599</v>
      </c>
      <c r="C41" s="48">
        <v>2203.6416020000001</v>
      </c>
      <c r="D41" s="15">
        <f t="shared" si="0"/>
        <v>-2.1070041161997066E-2</v>
      </c>
      <c r="F41" s="48">
        <v>17472.357422000001</v>
      </c>
      <c r="G41" s="15">
        <f t="shared" si="1"/>
        <v>-2.8172612806047992E-2</v>
      </c>
      <c r="I41" s="48">
        <v>3311.9650879999999</v>
      </c>
      <c r="J41" s="15">
        <f t="shared" si="2"/>
        <v>-2.2866372519339317E-2</v>
      </c>
      <c r="L41" s="48">
        <v>940.40002400000003</v>
      </c>
      <c r="M41" s="15">
        <f t="shared" si="3"/>
        <v>5.7754267379679369E-3</v>
      </c>
      <c r="O41" s="48">
        <v>555.65570100000002</v>
      </c>
      <c r="P41" s="15">
        <f t="shared" si="4"/>
        <v>-1.4323383139514978E-2</v>
      </c>
      <c r="R41" s="48">
        <v>17374.75</v>
      </c>
      <c r="S41" s="15">
        <f t="shared" si="5"/>
        <v>-8.0810887395552644E-3</v>
      </c>
    </row>
    <row r="42" spans="2:22" x14ac:dyDescent="0.35">
      <c r="B42" s="95">
        <v>44606</v>
      </c>
      <c r="C42" s="48">
        <v>2256.8784179999998</v>
      </c>
      <c r="D42" s="15">
        <f t="shared" si="0"/>
        <v>2.4158563693698065E-2</v>
      </c>
      <c r="F42" s="48">
        <v>17662.724609000001</v>
      </c>
      <c r="G42" s="15">
        <f t="shared" si="1"/>
        <v>1.089533497982953E-2</v>
      </c>
      <c r="I42" s="48">
        <v>3313.0114749999998</v>
      </c>
      <c r="J42" s="15">
        <f t="shared" si="2"/>
        <v>3.1594143422308818E-4</v>
      </c>
      <c r="L42" s="48">
        <v>942.09997599999997</v>
      </c>
      <c r="M42" s="15">
        <f t="shared" si="3"/>
        <v>1.8076902984001109E-3</v>
      </c>
      <c r="O42" s="48">
        <v>542.72650099999998</v>
      </c>
      <c r="P42" s="15">
        <f t="shared" si="4"/>
        <v>-2.3268365602533536E-2</v>
      </c>
      <c r="R42" s="48">
        <v>17276.300781000002</v>
      </c>
      <c r="S42" s="15">
        <f t="shared" si="5"/>
        <v>-5.66622362911684E-3</v>
      </c>
      <c r="U42" s="143" t="s">
        <v>333</v>
      </c>
      <c r="V42" s="143"/>
    </row>
    <row r="43" spans="2:22" x14ac:dyDescent="0.35">
      <c r="B43" s="95">
        <v>44613</v>
      </c>
      <c r="C43" s="48">
        <v>2118.4433589999999</v>
      </c>
      <c r="D43" s="15">
        <f t="shared" si="0"/>
        <v>-6.1339174452595624E-2</v>
      </c>
      <c r="F43" s="48">
        <v>17374.183593999998</v>
      </c>
      <c r="G43" s="15">
        <f t="shared" si="1"/>
        <v>-1.6336155456614931E-2</v>
      </c>
      <c r="I43" s="48">
        <v>3256.9643550000001</v>
      </c>
      <c r="J43" s="15">
        <f t="shared" si="2"/>
        <v>-1.6917273128370214E-2</v>
      </c>
      <c r="L43" s="48">
        <v>927.79998799999998</v>
      </c>
      <c r="M43" s="15">
        <f t="shared" si="3"/>
        <v>-1.5178843396977171E-2</v>
      </c>
      <c r="O43" s="48">
        <v>539.80383300000005</v>
      </c>
      <c r="P43" s="15">
        <f t="shared" si="4"/>
        <v>-5.3851580761484774E-3</v>
      </c>
      <c r="R43" s="48">
        <v>16658.400390999999</v>
      </c>
      <c r="S43" s="15">
        <f t="shared" si="5"/>
        <v>-3.5765780987070617E-2</v>
      </c>
    </row>
    <row r="44" spans="2:22" x14ac:dyDescent="0.35">
      <c r="B44" s="95">
        <v>44620</v>
      </c>
      <c r="C44" s="48">
        <v>1970.8831789999999</v>
      </c>
      <c r="D44" s="15">
        <f t="shared" si="0"/>
        <v>-6.9655003695569651E-2</v>
      </c>
      <c r="F44" s="48">
        <v>17057.15625</v>
      </c>
      <c r="G44" s="15">
        <f t="shared" si="1"/>
        <v>-1.8247035452617189E-2</v>
      </c>
      <c r="I44" s="48">
        <v>3208.0541990000002</v>
      </c>
      <c r="J44" s="15">
        <f t="shared" si="2"/>
        <v>-1.5017098951333185E-2</v>
      </c>
      <c r="L44" s="48">
        <v>925.75</v>
      </c>
      <c r="M44" s="15">
        <f t="shared" si="3"/>
        <v>-2.2095150102545702E-3</v>
      </c>
      <c r="O44" s="48">
        <v>534.05755599999998</v>
      </c>
      <c r="P44" s="15">
        <f t="shared" si="4"/>
        <v>-1.0645120780385597E-2</v>
      </c>
      <c r="R44" s="48">
        <v>16245.349609000001</v>
      </c>
      <c r="S44" s="15">
        <f t="shared" si="5"/>
        <v>-2.479534482933643E-2</v>
      </c>
      <c r="U44" s="45" t="s">
        <v>240</v>
      </c>
      <c r="V44" s="61">
        <f>V9</f>
        <v>0.6179477163726298</v>
      </c>
    </row>
    <row r="45" spans="2:22" x14ac:dyDescent="0.35">
      <c r="B45" s="95">
        <v>44627</v>
      </c>
      <c r="C45" s="48">
        <v>2043.9799800000001</v>
      </c>
      <c r="D45" s="15">
        <f t="shared" si="0"/>
        <v>3.7088347893398987E-2</v>
      </c>
      <c r="F45" s="48">
        <v>16993.994140999999</v>
      </c>
      <c r="G45" s="15">
        <f t="shared" si="1"/>
        <v>-3.7029683069239594E-3</v>
      </c>
      <c r="I45" s="48">
        <v>3044.9086910000001</v>
      </c>
      <c r="J45" s="15">
        <f t="shared" si="2"/>
        <v>-5.0854972478599381E-2</v>
      </c>
      <c r="L45" s="48">
        <v>916.34997599999997</v>
      </c>
      <c r="M45" s="15">
        <f t="shared" si="3"/>
        <v>-1.0153955171482654E-2</v>
      </c>
      <c r="O45" s="48">
        <v>542.478882</v>
      </c>
      <c r="P45" s="15">
        <f t="shared" si="4"/>
        <v>1.5768573827649401E-2</v>
      </c>
      <c r="R45" s="48">
        <v>16630.449218999998</v>
      </c>
      <c r="S45" s="15">
        <f t="shared" si="5"/>
        <v>2.3705221449137115E-2</v>
      </c>
      <c r="U45" t="s">
        <v>239</v>
      </c>
      <c r="V45" s="62">
        <v>0.75</v>
      </c>
    </row>
    <row r="46" spans="2:22" x14ac:dyDescent="0.35">
      <c r="B46" s="95">
        <v>44634</v>
      </c>
      <c r="C46" s="48">
        <v>2051.4458009999998</v>
      </c>
      <c r="D46" s="15">
        <f t="shared" si="0"/>
        <v>3.6525900806523293E-3</v>
      </c>
      <c r="F46" s="48">
        <v>17932.330077999999</v>
      </c>
      <c r="G46" s="15">
        <f t="shared" si="1"/>
        <v>5.5215738525892233E-2</v>
      </c>
      <c r="I46" s="48">
        <v>3193.4003910000001</v>
      </c>
      <c r="J46" s="15">
        <f t="shared" si="2"/>
        <v>4.8767209486085816E-2</v>
      </c>
      <c r="L46" s="48">
        <v>947.45001200000002</v>
      </c>
      <c r="M46" s="15">
        <f t="shared" si="3"/>
        <v>3.3939037283283513E-2</v>
      </c>
      <c r="O46" s="48">
        <v>555.06121800000005</v>
      </c>
      <c r="P46" s="15">
        <f t="shared" si="4"/>
        <v>2.3194148965968608E-2</v>
      </c>
      <c r="R46" s="48">
        <v>17287.050781000002</v>
      </c>
      <c r="S46" s="15">
        <f t="shared" si="5"/>
        <v>3.9481889716475482E-2</v>
      </c>
    </row>
    <row r="47" spans="2:22" x14ac:dyDescent="0.35">
      <c r="B47" s="95">
        <v>44641</v>
      </c>
      <c r="C47" s="48">
        <v>1905.984009</v>
      </c>
      <c r="D47" s="15">
        <f t="shared" si="0"/>
        <v>-7.0906963239824705E-2</v>
      </c>
      <c r="F47" s="48">
        <v>16830.943359000001</v>
      </c>
      <c r="G47" s="15">
        <f t="shared" si="1"/>
        <v>-6.1419052304374944E-2</v>
      </c>
      <c r="I47" s="48">
        <v>2944.6137699999999</v>
      </c>
      <c r="J47" s="15">
        <f t="shared" si="2"/>
        <v>-7.7906491682395496E-2</v>
      </c>
      <c r="L47" s="48">
        <v>951.20001200000002</v>
      </c>
      <c r="M47" s="15">
        <f t="shared" si="3"/>
        <v>3.957992456070647E-3</v>
      </c>
      <c r="O47" s="48">
        <v>514.98584000000005</v>
      </c>
      <c r="P47" s="15">
        <f t="shared" si="4"/>
        <v>-7.2199924441487484E-2</v>
      </c>
      <c r="R47" s="48">
        <v>17153</v>
      </c>
      <c r="S47" s="15">
        <f t="shared" si="5"/>
        <v>-7.7544043051771538E-3</v>
      </c>
      <c r="U47" t="s">
        <v>237</v>
      </c>
      <c r="V47" s="61">
        <v>1</v>
      </c>
    </row>
    <row r="48" spans="2:22" x14ac:dyDescent="0.35">
      <c r="B48" s="95">
        <v>44648</v>
      </c>
      <c r="C48" s="48">
        <v>2028.1210940000001</v>
      </c>
      <c r="D48" s="15">
        <f t="shared" si="0"/>
        <v>6.4080855045620666E-2</v>
      </c>
      <c r="F48" s="48">
        <v>17219.324218999998</v>
      </c>
      <c r="G48" s="15">
        <f t="shared" si="1"/>
        <v>2.3075406512631291E-2</v>
      </c>
      <c r="I48" s="48">
        <v>3074.1691890000002</v>
      </c>
      <c r="J48" s="15">
        <f t="shared" si="2"/>
        <v>4.3997423471941577E-2</v>
      </c>
      <c r="L48" s="48">
        <v>968.15002400000003</v>
      </c>
      <c r="M48" s="15">
        <f t="shared" si="3"/>
        <v>1.78196086902489E-2</v>
      </c>
      <c r="O48" s="48">
        <v>537.42608600000005</v>
      </c>
      <c r="P48" s="15">
        <f t="shared" si="4"/>
        <v>4.3574491290867323E-2</v>
      </c>
      <c r="R48" s="48">
        <v>17670.449218999998</v>
      </c>
      <c r="S48" s="15">
        <f t="shared" si="5"/>
        <v>3.0166689150585846E-2</v>
      </c>
      <c r="U48" t="s">
        <v>235</v>
      </c>
      <c r="V48" s="62">
        <v>0.25</v>
      </c>
    </row>
    <row r="49" spans="2:22" x14ac:dyDescent="0.35">
      <c r="B49" s="95">
        <v>44655</v>
      </c>
      <c r="C49" s="48">
        <v>2130.4958499999998</v>
      </c>
      <c r="D49" s="15">
        <f t="shared" si="0"/>
        <v>5.0477634842843289E-2</v>
      </c>
      <c r="F49" s="48">
        <v>18097.689452999999</v>
      </c>
      <c r="G49" s="15">
        <f t="shared" si="1"/>
        <v>5.1010435881728933E-2</v>
      </c>
      <c r="I49" s="48">
        <v>3185.73999</v>
      </c>
      <c r="J49" s="15">
        <f t="shared" si="2"/>
        <v>3.6292993046453947E-2</v>
      </c>
      <c r="L49" s="48">
        <v>967.65002400000003</v>
      </c>
      <c r="M49" s="15">
        <f t="shared" si="3"/>
        <v>-5.1644888457902383E-4</v>
      </c>
      <c r="O49" s="48">
        <v>551.79180899999994</v>
      </c>
      <c r="P49" s="15">
        <f t="shared" si="4"/>
        <v>2.6730602354869459E-2</v>
      </c>
      <c r="R49" s="48">
        <v>17784.349609000001</v>
      </c>
      <c r="S49" s="15">
        <f t="shared" si="5"/>
        <v>6.4458117950692007E-3</v>
      </c>
    </row>
    <row r="50" spans="2:22" x14ac:dyDescent="0.35">
      <c r="B50" s="95">
        <v>44662</v>
      </c>
      <c r="C50" s="48">
        <v>2100.3395999999998</v>
      </c>
      <c r="D50" s="15">
        <f t="shared" si="0"/>
        <v>-1.4154568759192854E-2</v>
      </c>
      <c r="F50" s="48">
        <v>18093.203125</v>
      </c>
      <c r="G50" s="15">
        <f t="shared" si="1"/>
        <v>-2.4789507034306268E-4</v>
      </c>
      <c r="I50" s="48">
        <v>3187.4052729999999</v>
      </c>
      <c r="J50" s="15">
        <f t="shared" si="2"/>
        <v>5.22730356283585E-4</v>
      </c>
      <c r="L50" s="48">
        <v>963.20001200000002</v>
      </c>
      <c r="M50" s="15">
        <f t="shared" si="3"/>
        <v>-4.5987825036213348E-3</v>
      </c>
      <c r="O50" s="48">
        <v>550.75152600000001</v>
      </c>
      <c r="P50" s="15">
        <f t="shared" si="4"/>
        <v>-1.8852817005117206E-3</v>
      </c>
      <c r="R50" s="48">
        <v>17475.650390999999</v>
      </c>
      <c r="S50" s="15">
        <f t="shared" si="5"/>
        <v>-1.7357914390289553E-2</v>
      </c>
      <c r="U50" s="99" t="s">
        <v>233</v>
      </c>
      <c r="V50" s="98">
        <f>(V44*V45)+(V47*V48)</f>
        <v>0.71346078727947237</v>
      </c>
    </row>
    <row r="51" spans="2:22" x14ac:dyDescent="0.35">
      <c r="B51" s="95">
        <v>44669</v>
      </c>
      <c r="C51" s="48">
        <v>2075.7463379999999</v>
      </c>
      <c r="D51" s="15">
        <f t="shared" si="0"/>
        <v>-1.1709183600594808E-2</v>
      </c>
      <c r="F51" s="48">
        <v>17901.615234000001</v>
      </c>
      <c r="G51" s="15">
        <f t="shared" si="1"/>
        <v>-1.058894269170485E-2</v>
      </c>
      <c r="I51" s="48">
        <v>3201.1557619999999</v>
      </c>
      <c r="J51" s="15">
        <f t="shared" si="2"/>
        <v>4.314007106808182E-3</v>
      </c>
      <c r="L51" s="48">
        <v>987.15002400000003</v>
      </c>
      <c r="M51" s="15">
        <f t="shared" si="3"/>
        <v>2.4865045371282646E-2</v>
      </c>
      <c r="O51" s="48">
        <v>554.66497800000002</v>
      </c>
      <c r="P51" s="15">
        <f t="shared" si="4"/>
        <v>7.1056580240869138E-3</v>
      </c>
      <c r="R51" s="48">
        <v>17171.949218999998</v>
      </c>
      <c r="S51" s="15">
        <f t="shared" si="5"/>
        <v>-1.7378533285170805E-2</v>
      </c>
    </row>
    <row r="52" spans="2:22" x14ac:dyDescent="0.35">
      <c r="B52" s="95">
        <v>44676</v>
      </c>
      <c r="C52" s="48">
        <v>2181.0490719999998</v>
      </c>
      <c r="D52" s="15">
        <f t="shared" si="0"/>
        <v>5.0730058905684938E-2</v>
      </c>
      <c r="F52" s="48">
        <v>18131.066406000002</v>
      </c>
      <c r="G52" s="15">
        <f t="shared" si="1"/>
        <v>1.2817344636265604E-2</v>
      </c>
      <c r="I52" s="48">
        <v>3120.4152829999998</v>
      </c>
      <c r="J52" s="15">
        <f t="shared" si="2"/>
        <v>-2.5222290011141291E-2</v>
      </c>
      <c r="L52" s="48">
        <v>907.5</v>
      </c>
      <c r="M52" s="15">
        <f t="shared" si="3"/>
        <v>-8.0686848061100824E-2</v>
      </c>
      <c r="O52" s="48">
        <v>551.544128</v>
      </c>
      <c r="P52" s="15">
        <f t="shared" si="4"/>
        <v>-5.626549581790985E-3</v>
      </c>
      <c r="R52" s="48">
        <v>17102.550781000002</v>
      </c>
      <c r="S52" s="15">
        <f t="shared" si="5"/>
        <v>-4.041383835634127E-3</v>
      </c>
      <c r="U52" s="143" t="s">
        <v>334</v>
      </c>
      <c r="V52" s="143"/>
    </row>
    <row r="53" spans="2:22" x14ac:dyDescent="0.35">
      <c r="B53" s="95">
        <v>44683</v>
      </c>
      <c r="C53" s="48">
        <v>2097.460693</v>
      </c>
      <c r="D53" s="15">
        <f t="shared" si="0"/>
        <v>-3.8324850216850059E-2</v>
      </c>
      <c r="F53" s="48">
        <v>16810.724609000001</v>
      </c>
      <c r="G53" s="15">
        <f t="shared" si="1"/>
        <v>-7.2822070551959883E-2</v>
      </c>
      <c r="I53" s="48">
        <v>3147.5825199999999</v>
      </c>
      <c r="J53" s="15">
        <f t="shared" si="2"/>
        <v>8.7062889186599879E-3</v>
      </c>
      <c r="L53" s="48">
        <v>936.65002400000003</v>
      </c>
      <c r="M53" s="15">
        <f t="shared" si="3"/>
        <v>3.212123856749316E-2</v>
      </c>
      <c r="O53" s="48">
        <v>506.06921399999999</v>
      </c>
      <c r="P53" s="15">
        <f t="shared" si="4"/>
        <v>-8.2450182481137779E-2</v>
      </c>
      <c r="R53" s="48">
        <v>16411.25</v>
      </c>
      <c r="S53" s="15">
        <f t="shared" si="5"/>
        <v>-4.0420916730619982E-2</v>
      </c>
    </row>
    <row r="54" spans="2:22" x14ac:dyDescent="0.35">
      <c r="B54" s="95">
        <v>44690</v>
      </c>
      <c r="C54" s="48">
        <v>2141.280029</v>
      </c>
      <c r="D54" s="15">
        <f t="shared" si="0"/>
        <v>2.0891612484677857E-2</v>
      </c>
      <c r="F54" s="48">
        <v>16224.663086</v>
      </c>
      <c r="G54" s="15">
        <f t="shared" si="1"/>
        <v>-3.4862359394445042E-2</v>
      </c>
      <c r="I54" s="48">
        <v>3119.7016600000002</v>
      </c>
      <c r="J54" s="15">
        <f t="shared" si="2"/>
        <v>-8.8578646700578911E-3</v>
      </c>
      <c r="L54" s="48">
        <v>999.20001200000002</v>
      </c>
      <c r="M54" s="15">
        <f t="shared" si="3"/>
        <v>6.6780533173829371E-2</v>
      </c>
      <c r="O54" s="48">
        <v>496.161835</v>
      </c>
      <c r="P54" s="15">
        <f t="shared" si="4"/>
        <v>-1.9577122507989597E-2</v>
      </c>
      <c r="R54" s="48">
        <v>15782.150390999999</v>
      </c>
      <c r="S54" s="15">
        <f t="shared" si="5"/>
        <v>-3.8333436453652281E-2</v>
      </c>
      <c r="U54" s="45" t="s">
        <v>240</v>
      </c>
      <c r="V54" s="61">
        <f>V10</f>
        <v>0.77083814228316261</v>
      </c>
    </row>
    <row r="55" spans="2:22" x14ac:dyDescent="0.35">
      <c r="B55" s="95">
        <v>44697</v>
      </c>
      <c r="C55" s="48">
        <v>2269.9555660000001</v>
      </c>
      <c r="D55" s="15">
        <f t="shared" si="0"/>
        <v>6.009281142928935E-2</v>
      </c>
      <c r="F55" s="48">
        <v>16678.724609000001</v>
      </c>
      <c r="G55" s="15">
        <f t="shared" si="1"/>
        <v>2.7985883009910006E-2</v>
      </c>
      <c r="I55" s="48">
        <v>3283.132568</v>
      </c>
      <c r="J55" s="15">
        <f t="shared" si="2"/>
        <v>5.2386710593345542E-2</v>
      </c>
      <c r="L55" s="48">
        <v>1009.75</v>
      </c>
      <c r="M55" s="15">
        <f t="shared" si="3"/>
        <v>1.0558434620995483E-2</v>
      </c>
      <c r="O55" s="48">
        <v>498.68823200000003</v>
      </c>
      <c r="P55" s="15">
        <f t="shared" si="4"/>
        <v>5.0918809585587255E-3</v>
      </c>
      <c r="R55" s="48">
        <v>16266.150390999999</v>
      </c>
      <c r="S55" s="15">
        <f t="shared" si="5"/>
        <v>3.0667557209187901E-2</v>
      </c>
      <c r="U55" t="s">
        <v>239</v>
      </c>
      <c r="V55" s="62">
        <v>0.75</v>
      </c>
    </row>
    <row r="56" spans="2:22" x14ac:dyDescent="0.35">
      <c r="B56" s="95">
        <v>44704</v>
      </c>
      <c r="C56" s="48">
        <v>2274.4941410000001</v>
      </c>
      <c r="D56" s="15">
        <f t="shared" si="0"/>
        <v>1.9994113840728911E-3</v>
      </c>
      <c r="F56" s="48">
        <v>17449.308593999998</v>
      </c>
      <c r="G56" s="15">
        <f t="shared" si="1"/>
        <v>4.6201613316655177E-2</v>
      </c>
      <c r="I56" s="48">
        <v>3385.2829590000001</v>
      </c>
      <c r="J56" s="15">
        <f t="shared" si="2"/>
        <v>3.1113696716251527E-2</v>
      </c>
      <c r="L56" s="48">
        <v>1049.9499510000001</v>
      </c>
      <c r="M56" s="15">
        <f t="shared" si="3"/>
        <v>3.9811786085664824E-2</v>
      </c>
      <c r="O56" s="48">
        <v>493.090576</v>
      </c>
      <c r="P56" s="15">
        <f t="shared" si="4"/>
        <v>-1.1224760563429581E-2</v>
      </c>
      <c r="R56" s="48">
        <v>16352.450194999999</v>
      </c>
      <c r="S56" s="15">
        <f t="shared" si="5"/>
        <v>5.3054842064996777E-3</v>
      </c>
    </row>
    <row r="57" spans="2:22" x14ac:dyDescent="0.35">
      <c r="B57" s="95">
        <v>44711</v>
      </c>
      <c r="C57" s="48">
        <v>2236.7741700000001</v>
      </c>
      <c r="D57" s="15">
        <f t="shared" si="0"/>
        <v>-1.6583894554863976E-2</v>
      </c>
      <c r="F57" s="48">
        <v>16984.367188</v>
      </c>
      <c r="G57" s="15">
        <f t="shared" si="1"/>
        <v>-2.6645262389357383E-2</v>
      </c>
      <c r="I57" s="48">
        <v>3359.0197750000002</v>
      </c>
      <c r="J57" s="15">
        <f t="shared" si="2"/>
        <v>-7.7580469101341532E-3</v>
      </c>
      <c r="L57" s="48">
        <v>1060.9499510000001</v>
      </c>
      <c r="M57" s="15">
        <f t="shared" si="3"/>
        <v>1.0476689855095866E-2</v>
      </c>
      <c r="O57" s="48">
        <v>509.19006300000001</v>
      </c>
      <c r="P57" s="15">
        <f t="shared" si="4"/>
        <v>3.265016162061074E-2</v>
      </c>
      <c r="R57" s="48">
        <v>16584.300781000002</v>
      </c>
      <c r="S57" s="15">
        <f t="shared" si="5"/>
        <v>1.4178339223494207E-2</v>
      </c>
      <c r="U57" t="s">
        <v>237</v>
      </c>
      <c r="V57" s="61">
        <v>1</v>
      </c>
    </row>
    <row r="58" spans="2:22" x14ac:dyDescent="0.35">
      <c r="B58" s="95">
        <v>44718</v>
      </c>
      <c r="C58" s="48">
        <v>2146.9401859999998</v>
      </c>
      <c r="D58" s="15">
        <f t="shared" si="0"/>
        <v>-4.0162294971423207E-2</v>
      </c>
      <c r="F58" s="48">
        <v>16592.572265999999</v>
      </c>
      <c r="G58" s="15">
        <f t="shared" si="1"/>
        <v>-2.3067972899032507E-2</v>
      </c>
      <c r="I58" s="48">
        <v>3198.0627439999998</v>
      </c>
      <c r="J58" s="15">
        <f t="shared" si="2"/>
        <v>-4.791785752437272E-2</v>
      </c>
      <c r="L58" s="48">
        <v>1035.349976</v>
      </c>
      <c r="M58" s="15">
        <f t="shared" si="3"/>
        <v>-2.412929561462418E-2</v>
      </c>
      <c r="O58" s="48">
        <v>497.59841899999998</v>
      </c>
      <c r="P58" s="15">
        <f t="shared" si="4"/>
        <v>-2.2764866878401846E-2</v>
      </c>
      <c r="R58" s="48">
        <v>16201.799805000001</v>
      </c>
      <c r="S58" s="15">
        <f t="shared" si="5"/>
        <v>-2.3064039964724836E-2</v>
      </c>
      <c r="U58" t="s">
        <v>235</v>
      </c>
      <c r="V58" s="62">
        <v>0.25</v>
      </c>
    </row>
    <row r="59" spans="2:22" x14ac:dyDescent="0.35">
      <c r="B59" s="95">
        <v>44725</v>
      </c>
      <c r="C59" s="48">
        <v>2059.6435550000001</v>
      </c>
      <c r="D59" s="15">
        <f t="shared" si="0"/>
        <v>-4.0660951604172824E-2</v>
      </c>
      <c r="F59" s="48">
        <v>16461.511718999998</v>
      </c>
      <c r="G59" s="15">
        <f t="shared" si="1"/>
        <v>-7.8987479999443888E-3</v>
      </c>
      <c r="I59" s="48">
        <v>3170.7053219999998</v>
      </c>
      <c r="J59" s="15">
        <f t="shared" si="2"/>
        <v>-8.5543731283340696E-3</v>
      </c>
      <c r="L59" s="48">
        <v>1070</v>
      </c>
      <c r="M59" s="15">
        <f t="shared" si="3"/>
        <v>3.3466967502011169E-2</v>
      </c>
      <c r="O59" s="48">
        <v>480.11187699999999</v>
      </c>
      <c r="P59" s="15">
        <f t="shared" si="4"/>
        <v>-3.5141876124007543E-2</v>
      </c>
      <c r="R59" s="48">
        <v>15293.5</v>
      </c>
      <c r="S59" s="15">
        <f t="shared" si="5"/>
        <v>-5.606166079892505E-2</v>
      </c>
    </row>
    <row r="60" spans="2:22" x14ac:dyDescent="0.35">
      <c r="B60" s="95">
        <v>44732</v>
      </c>
      <c r="C60" s="48">
        <v>2288.544922</v>
      </c>
      <c r="D60" s="15">
        <f t="shared" si="0"/>
        <v>0.11113639855028223</v>
      </c>
      <c r="F60" s="48">
        <v>17044.357422000001</v>
      </c>
      <c r="G60" s="15">
        <f t="shared" si="1"/>
        <v>3.5406572187855589E-2</v>
      </c>
      <c r="I60" s="48">
        <v>3301.3076169999999</v>
      </c>
      <c r="J60" s="15">
        <f t="shared" si="2"/>
        <v>4.1190297342933002E-2</v>
      </c>
      <c r="L60" s="48">
        <v>1070</v>
      </c>
      <c r="M60" s="15">
        <f t="shared" si="3"/>
        <v>0</v>
      </c>
      <c r="O60" s="48">
        <v>505.02896099999998</v>
      </c>
      <c r="P60" s="15">
        <f t="shared" si="4"/>
        <v>5.1898495316748727E-2</v>
      </c>
      <c r="R60" s="48">
        <v>15699.25</v>
      </c>
      <c r="S60" s="15">
        <f t="shared" si="5"/>
        <v>2.6530879131657192E-2</v>
      </c>
      <c r="U60" s="99" t="s">
        <v>233</v>
      </c>
      <c r="V60" s="98">
        <f>(V54*V55)+(V57*V58)</f>
        <v>0.82812860671237198</v>
      </c>
    </row>
    <row r="61" spans="2:22" x14ac:dyDescent="0.35">
      <c r="B61" s="95">
        <v>44739</v>
      </c>
      <c r="C61" s="48">
        <v>2267.138672</v>
      </c>
      <c r="D61" s="15">
        <f t="shared" si="0"/>
        <v>-9.3536507823026582E-3</v>
      </c>
      <c r="F61" s="48">
        <v>17601.634765999999</v>
      </c>
      <c r="G61" s="15">
        <f t="shared" si="1"/>
        <v>3.2695708626756081E-2</v>
      </c>
      <c r="I61" s="48">
        <v>3469.5683589999999</v>
      </c>
      <c r="J61" s="15">
        <f t="shared" si="2"/>
        <v>5.0967907726485517E-2</v>
      </c>
      <c r="L61" s="48">
        <v>17601.634765999999</v>
      </c>
      <c r="M61" s="15">
        <f t="shared" si="3"/>
        <v>15.450125949532708</v>
      </c>
      <c r="O61" s="48">
        <v>506.51504499999999</v>
      </c>
      <c r="P61" s="15">
        <f t="shared" si="4"/>
        <v>2.9425718419344715E-3</v>
      </c>
      <c r="R61" s="48">
        <v>15752.049805000001</v>
      </c>
      <c r="S61" s="15">
        <f t="shared" si="5"/>
        <v>3.3632055671448668E-3</v>
      </c>
    </row>
    <row r="62" spans="2:22" x14ac:dyDescent="0.35">
      <c r="B62" s="95">
        <v>44746</v>
      </c>
      <c r="C62" s="48">
        <v>2480.2089839999999</v>
      </c>
      <c r="D62" s="15">
        <f t="shared" si="0"/>
        <v>9.3982037636910709E-2</v>
      </c>
      <c r="F62" s="48">
        <v>18218.951172000001</v>
      </c>
      <c r="G62" s="15">
        <f t="shared" si="1"/>
        <v>3.5071538195556418E-2</v>
      </c>
      <c r="I62" s="48">
        <v>3694.719482</v>
      </c>
      <c r="J62" s="15">
        <f t="shared" si="2"/>
        <v>6.4893122055359465E-2</v>
      </c>
      <c r="L62" s="48">
        <v>18218.951172000001</v>
      </c>
      <c r="M62" s="15">
        <f t="shared" si="3"/>
        <v>3.5071538195556418E-2</v>
      </c>
      <c r="O62" s="48">
        <v>538.86273200000005</v>
      </c>
      <c r="P62" s="15">
        <f t="shared" si="4"/>
        <v>6.38632303607094E-2</v>
      </c>
      <c r="R62" s="48">
        <v>16220.599609000001</v>
      </c>
      <c r="S62" s="15">
        <f t="shared" si="5"/>
        <v>2.9745322659611828E-2</v>
      </c>
    </row>
    <row r="63" spans="2:22" x14ac:dyDescent="0.35">
      <c r="B63" s="95">
        <v>44753</v>
      </c>
      <c r="C63" s="48">
        <v>2551.3813479999999</v>
      </c>
      <c r="D63" s="15">
        <f t="shared" si="0"/>
        <v>2.8696115714094139E-2</v>
      </c>
      <c r="F63" s="48">
        <v>18567.470702999999</v>
      </c>
      <c r="G63" s="15">
        <f t="shared" si="1"/>
        <v>1.9129505738816777E-2</v>
      </c>
      <c r="I63" s="48">
        <v>3725.6464839999999</v>
      </c>
      <c r="J63" s="15">
        <f t="shared" si="2"/>
        <v>8.3705954269790439E-3</v>
      </c>
      <c r="L63" s="48">
        <v>18567.470702999999</v>
      </c>
      <c r="M63" s="15">
        <f t="shared" si="3"/>
        <v>1.9129505738816777E-2</v>
      </c>
      <c r="O63" s="48">
        <v>543.27142300000003</v>
      </c>
      <c r="P63" s="15">
        <f t="shared" si="4"/>
        <v>8.1814731993750112E-3</v>
      </c>
      <c r="R63" s="48">
        <v>16049.200194999999</v>
      </c>
      <c r="S63" s="15">
        <f t="shared" si="5"/>
        <v>-1.0566774233481513E-2</v>
      </c>
    </row>
    <row r="64" spans="2:22" x14ac:dyDescent="0.35">
      <c r="B64" s="95">
        <v>44760</v>
      </c>
      <c r="C64" s="48">
        <v>2623.0009770000001</v>
      </c>
      <c r="D64" s="15">
        <f t="shared" si="0"/>
        <v>2.8070922857589276E-2</v>
      </c>
      <c r="F64" s="48">
        <v>18782.556640999999</v>
      </c>
      <c r="G64" s="15">
        <f t="shared" si="1"/>
        <v>1.1584019247449229E-2</v>
      </c>
      <c r="I64" s="48">
        <v>3747.4746089999999</v>
      </c>
      <c r="J64" s="15">
        <f t="shared" si="2"/>
        <v>5.8588825036787195E-3</v>
      </c>
      <c r="L64" s="48">
        <v>18782.556640999999</v>
      </c>
      <c r="M64" s="15">
        <f t="shared" si="3"/>
        <v>1.1584019247449229E-2</v>
      </c>
      <c r="O64" s="48">
        <v>570.96258499999999</v>
      </c>
      <c r="P64" s="15">
        <f t="shared" si="4"/>
        <v>5.0971136760859848E-2</v>
      </c>
      <c r="R64" s="48">
        <v>16719.449218999998</v>
      </c>
      <c r="S64" s="15">
        <f t="shared" si="5"/>
        <v>4.1762144895470144E-2</v>
      </c>
    </row>
    <row r="65" spans="2:19" x14ac:dyDescent="0.35">
      <c r="B65" s="95">
        <v>44767</v>
      </c>
      <c r="C65" s="48">
        <v>2619.8220209999999</v>
      </c>
      <c r="D65" s="15">
        <f t="shared" si="0"/>
        <v>-1.2119537994362828E-3</v>
      </c>
      <c r="F65" s="48">
        <v>19148.681640999999</v>
      </c>
      <c r="G65" s="15">
        <f t="shared" si="1"/>
        <v>1.9492820226656216E-2</v>
      </c>
      <c r="I65" s="48">
        <v>3775.4973140000002</v>
      </c>
      <c r="J65" s="15">
        <f t="shared" si="2"/>
        <v>7.4777571361526185E-3</v>
      </c>
      <c r="L65" s="48">
        <v>19148.681640999999</v>
      </c>
      <c r="M65" s="15">
        <f t="shared" si="3"/>
        <v>1.9492820226656216E-2</v>
      </c>
      <c r="O65" s="48">
        <v>581.50280799999996</v>
      </c>
      <c r="P65" s="15">
        <f t="shared" si="4"/>
        <v>1.8460444303894263E-2</v>
      </c>
      <c r="R65" s="48">
        <v>17158.25</v>
      </c>
      <c r="S65" s="15">
        <f t="shared" si="5"/>
        <v>2.6244930395275645E-2</v>
      </c>
    </row>
    <row r="66" spans="2:19" x14ac:dyDescent="0.35">
      <c r="B66" s="95">
        <v>44774</v>
      </c>
      <c r="C66" s="48">
        <v>2627.7687989999999</v>
      </c>
      <c r="D66" s="15">
        <f t="shared" si="0"/>
        <v>3.0333274307567937E-3</v>
      </c>
      <c r="F66" s="48">
        <v>19704.970702999999</v>
      </c>
      <c r="G66" s="15">
        <f t="shared" si="1"/>
        <v>2.9051037164297799E-2</v>
      </c>
      <c r="I66" s="48">
        <v>3569.9960940000001</v>
      </c>
      <c r="J66" s="15">
        <f t="shared" si="2"/>
        <v>-5.4430238696761002E-2</v>
      </c>
      <c r="L66" s="48">
        <v>19704.970702999999</v>
      </c>
      <c r="M66" s="15">
        <f t="shared" si="3"/>
        <v>2.9051037164297799E-2</v>
      </c>
      <c r="O66" s="48">
        <v>576.57488999999998</v>
      </c>
      <c r="P66" s="15">
        <f t="shared" si="4"/>
        <v>-8.4744526289544098E-3</v>
      </c>
      <c r="R66" s="48">
        <v>17397.5</v>
      </c>
      <c r="S66" s="15">
        <f t="shared" si="5"/>
        <v>1.3943729692713402E-2</v>
      </c>
    </row>
    <row r="67" spans="2:19" x14ac:dyDescent="0.35">
      <c r="B67" s="95">
        <v>44781</v>
      </c>
      <c r="C67" s="48">
        <v>2577.655029</v>
      </c>
      <c r="D67" s="15">
        <f t="shared" si="0"/>
        <v>-1.9070844443799917E-2</v>
      </c>
      <c r="F67" s="48">
        <v>19330.832031000002</v>
      </c>
      <c r="G67" s="15">
        <f t="shared" si="1"/>
        <v>-1.8987019957509288E-2</v>
      </c>
      <c r="I67" s="48">
        <v>3542.553711</v>
      </c>
      <c r="J67" s="15">
        <f t="shared" si="2"/>
        <v>-7.6869504272348843E-3</v>
      </c>
      <c r="L67" s="48">
        <v>19330.832031000002</v>
      </c>
      <c r="M67" s="15">
        <f t="shared" si="3"/>
        <v>-1.8987019957509288E-2</v>
      </c>
      <c r="O67" s="48">
        <v>579.01391599999999</v>
      </c>
      <c r="P67" s="15">
        <f t="shared" si="4"/>
        <v>4.2301980927403893E-3</v>
      </c>
      <c r="R67" s="48">
        <v>17698.150390999999</v>
      </c>
      <c r="S67" s="15">
        <f t="shared" si="5"/>
        <v>1.7281241040379314E-2</v>
      </c>
    </row>
    <row r="68" spans="2:19" x14ac:dyDescent="0.35">
      <c r="B68" s="95">
        <v>44788</v>
      </c>
      <c r="C68" s="48">
        <v>2616.991211</v>
      </c>
      <c r="D68" s="15">
        <f t="shared" si="0"/>
        <v>1.5260452449007644E-2</v>
      </c>
      <c r="F68" s="48">
        <v>19229.595702999999</v>
      </c>
      <c r="G68" s="15">
        <f t="shared" si="1"/>
        <v>-5.2370393492454648E-3</v>
      </c>
      <c r="I68" s="48">
        <v>3545.2641600000002</v>
      </c>
      <c r="J68" s="15">
        <f t="shared" si="2"/>
        <v>7.6511161752712553E-4</v>
      </c>
      <c r="L68" s="48">
        <v>19229.595702999999</v>
      </c>
      <c r="M68" s="15">
        <f t="shared" si="3"/>
        <v>-5.2370393492454648E-3</v>
      </c>
      <c r="O68" s="48">
        <v>584.58905000000004</v>
      </c>
      <c r="P68" s="15">
        <f t="shared" si="4"/>
        <v>9.6286701337244818E-3</v>
      </c>
      <c r="R68" s="48">
        <v>17758.449218999998</v>
      </c>
      <c r="S68" s="15">
        <f t="shared" si="5"/>
        <v>3.4070694771959342E-3</v>
      </c>
    </row>
    <row r="69" spans="2:19" x14ac:dyDescent="0.35">
      <c r="B69" s="95">
        <v>44795</v>
      </c>
      <c r="C69" s="48">
        <v>2554.4111330000001</v>
      </c>
      <c r="D69" s="15">
        <f t="shared" si="0"/>
        <v>-2.3912987455577683E-2</v>
      </c>
      <c r="F69" s="48">
        <v>19315.845702999999</v>
      </c>
      <c r="G69" s="15">
        <f t="shared" si="1"/>
        <v>4.4852737068488135E-3</v>
      </c>
      <c r="I69" s="48">
        <v>3533.2612300000001</v>
      </c>
      <c r="J69" s="15">
        <f t="shared" si="2"/>
        <v>-3.3856235976503779E-3</v>
      </c>
      <c r="L69" s="48">
        <v>19315.845702999999</v>
      </c>
      <c r="M69" s="15">
        <f t="shared" si="3"/>
        <v>4.4852737068488135E-3</v>
      </c>
      <c r="O69" s="48">
        <v>569.45660399999997</v>
      </c>
      <c r="P69" s="15">
        <f t="shared" si="4"/>
        <v>-2.5885613149955633E-2</v>
      </c>
      <c r="R69" s="48">
        <v>17558.900390999999</v>
      </c>
      <c r="S69" s="15">
        <f t="shared" si="5"/>
        <v>-1.1236838619134604E-2</v>
      </c>
    </row>
    <row r="70" spans="2:19" x14ac:dyDescent="0.35">
      <c r="B70" s="95">
        <v>44802</v>
      </c>
      <c r="C70" s="48">
        <v>2586.2475589999999</v>
      </c>
      <c r="D70" s="15">
        <f t="shared" si="0"/>
        <v>1.24633132030747E-2</v>
      </c>
      <c r="F70" s="48">
        <v>19349.181640999999</v>
      </c>
      <c r="G70" s="15">
        <f t="shared" si="1"/>
        <v>1.7258337280474656E-3</v>
      </c>
      <c r="I70" s="48">
        <v>3641.8085940000001</v>
      </c>
      <c r="J70" s="15">
        <f t="shared" si="2"/>
        <v>3.0721578998561538E-2</v>
      </c>
      <c r="L70" s="48">
        <v>19349.181640999999</v>
      </c>
      <c r="M70" s="15">
        <f t="shared" si="3"/>
        <v>1.7258337280474656E-3</v>
      </c>
      <c r="O70" s="48">
        <v>568.16241500000001</v>
      </c>
      <c r="P70" s="15">
        <f t="shared" si="4"/>
        <v>-2.2726736171101436E-3</v>
      </c>
      <c r="R70" s="48">
        <v>17539.449218999998</v>
      </c>
      <c r="S70" s="15">
        <f t="shared" si="5"/>
        <v>-1.1077670905844661E-3</v>
      </c>
    </row>
    <row r="71" spans="2:19" x14ac:dyDescent="0.35">
      <c r="B71" s="95">
        <v>44809</v>
      </c>
      <c r="C71" s="48">
        <v>2571.4467770000001</v>
      </c>
      <c r="D71" s="15">
        <f t="shared" si="0"/>
        <v>-5.7228790602407154E-3</v>
      </c>
      <c r="F71" s="48">
        <v>18844.179688</v>
      </c>
      <c r="G71" s="15">
        <f t="shared" si="1"/>
        <v>-2.6099395952225879E-2</v>
      </c>
      <c r="I71" s="48">
        <v>3587.9816890000002</v>
      </c>
      <c r="J71" s="15">
        <f t="shared" si="2"/>
        <v>-1.4780267444225781E-2</v>
      </c>
      <c r="L71" s="48">
        <v>18844.179688</v>
      </c>
      <c r="M71" s="15">
        <f t="shared" si="3"/>
        <v>-2.6099395952225879E-2</v>
      </c>
      <c r="O71" s="48">
        <v>572.34375</v>
      </c>
      <c r="P71" s="15">
        <f t="shared" si="4"/>
        <v>7.3594009205977251E-3</v>
      </c>
      <c r="R71" s="48">
        <v>17833.349609000001</v>
      </c>
      <c r="S71" s="15">
        <f t="shared" si="5"/>
        <v>1.6756534730955508E-2</v>
      </c>
    </row>
    <row r="72" spans="2:19" x14ac:dyDescent="0.35">
      <c r="B72" s="95">
        <v>44816</v>
      </c>
      <c r="C72" s="48">
        <v>2511.3002929999998</v>
      </c>
      <c r="D72" s="15">
        <f t="shared" ref="D72:D112" si="6">C72/C71-1</f>
        <v>-2.3390133732486107E-2</v>
      </c>
      <c r="F72" s="48">
        <v>18204.162109000001</v>
      </c>
      <c r="G72" s="15">
        <f t="shared" ref="G72:G112" si="7">F72/F71-1</f>
        <v>-3.396367417402435E-2</v>
      </c>
      <c r="I72" s="48">
        <v>3578.1994629999999</v>
      </c>
      <c r="J72" s="15">
        <f t="shared" ref="J72:J112" si="8">I72/I71-1</f>
        <v>-2.726386823542204E-3</v>
      </c>
      <c r="L72" s="48">
        <v>18204.162109000001</v>
      </c>
      <c r="M72" s="15">
        <f t="shared" ref="M72:M112" si="9">L72/L71-1</f>
        <v>-3.396367417402435E-2</v>
      </c>
      <c r="O72" s="48">
        <v>543.97045900000001</v>
      </c>
      <c r="P72" s="15">
        <f t="shared" ref="P72:P112" si="10">O72/O71-1</f>
        <v>-4.9573863609063573E-2</v>
      </c>
      <c r="R72" s="48">
        <v>17530.849609000001</v>
      </c>
      <c r="S72" s="15">
        <f t="shared" ref="S72:S112" si="11">R72/R71-1</f>
        <v>-1.6962601341440453E-2</v>
      </c>
    </row>
    <row r="73" spans="2:19" x14ac:dyDescent="0.35">
      <c r="B73" s="95">
        <v>44823</v>
      </c>
      <c r="C73" s="48">
        <v>2664.1748050000001</v>
      </c>
      <c r="D73" s="15">
        <f t="shared" si="6"/>
        <v>6.0874644273376077E-2</v>
      </c>
      <c r="F73" s="48">
        <v>18294.865234000001</v>
      </c>
      <c r="G73" s="15">
        <f t="shared" si="7"/>
        <v>4.982548741156112E-3</v>
      </c>
      <c r="I73" s="48">
        <v>3732.7001949999999</v>
      </c>
      <c r="J73" s="15">
        <f t="shared" si="8"/>
        <v>4.3178345309589083E-2</v>
      </c>
      <c r="L73" s="48">
        <v>18294.865234000001</v>
      </c>
      <c r="M73" s="15">
        <f t="shared" si="9"/>
        <v>4.982548741156112E-3</v>
      </c>
      <c r="O73" s="48">
        <v>566.021973</v>
      </c>
      <c r="P73" s="15">
        <f t="shared" si="10"/>
        <v>4.0538072675009085E-2</v>
      </c>
      <c r="R73" s="48">
        <v>17327.349609000001</v>
      </c>
      <c r="S73" s="15">
        <f t="shared" si="11"/>
        <v>-1.1608108251383698E-2</v>
      </c>
    </row>
    <row r="74" spans="2:19" x14ac:dyDescent="0.35">
      <c r="B74" s="95">
        <v>44830</v>
      </c>
      <c r="C74" s="48">
        <v>2678.4785160000001</v>
      </c>
      <c r="D74" s="15">
        <f t="shared" si="6"/>
        <v>5.3689085915666901E-3</v>
      </c>
      <c r="F74" s="48">
        <v>18936.712890999999</v>
      </c>
      <c r="G74" s="15">
        <f t="shared" si="7"/>
        <v>3.5083486475055325E-2</v>
      </c>
      <c r="I74" s="48">
        <v>3778.2690429999998</v>
      </c>
      <c r="J74" s="15">
        <f t="shared" si="8"/>
        <v>1.2208011792921303E-2</v>
      </c>
      <c r="L74" s="48">
        <v>18936.712890999999</v>
      </c>
      <c r="M74" s="15">
        <f t="shared" si="9"/>
        <v>3.5083486475055325E-2</v>
      </c>
      <c r="O74" s="48">
        <v>570.40240500000004</v>
      </c>
      <c r="P74" s="15">
        <f t="shared" si="10"/>
        <v>7.7389787127575271E-3</v>
      </c>
      <c r="R74" s="48">
        <v>17094.349609000001</v>
      </c>
      <c r="S74" s="15">
        <f t="shared" si="11"/>
        <v>-1.3446949779265527E-2</v>
      </c>
    </row>
    <row r="75" spans="2:19" x14ac:dyDescent="0.35">
      <c r="B75" s="95">
        <v>44837</v>
      </c>
      <c r="C75" s="48">
        <v>2582.3735350000002</v>
      </c>
      <c r="D75" s="15">
        <f t="shared" si="6"/>
        <v>-3.5880437504319351E-2</v>
      </c>
      <c r="F75" s="48">
        <v>19110.998047000001</v>
      </c>
      <c r="G75" s="15">
        <f t="shared" si="7"/>
        <v>9.2035590866899053E-3</v>
      </c>
      <c r="I75" s="48">
        <v>3721.8364259999998</v>
      </c>
      <c r="J75" s="15">
        <f t="shared" si="8"/>
        <v>-1.4936103373726861E-2</v>
      </c>
      <c r="L75" s="48">
        <v>19110.998047000001</v>
      </c>
      <c r="M75" s="15">
        <f t="shared" si="9"/>
        <v>9.2035590866899053E-3</v>
      </c>
      <c r="O75" s="48">
        <v>537.74829099999999</v>
      </c>
      <c r="P75" s="15">
        <f t="shared" si="10"/>
        <v>-5.7247504066887722E-2</v>
      </c>
      <c r="R75" s="48">
        <v>17314.650390999999</v>
      </c>
      <c r="S75" s="15">
        <f t="shared" si="11"/>
        <v>1.2887345060733635E-2</v>
      </c>
    </row>
    <row r="76" spans="2:19" x14ac:dyDescent="0.35">
      <c r="B76" s="95">
        <v>44844</v>
      </c>
      <c r="C76" s="48">
        <v>2558.6328130000002</v>
      </c>
      <c r="D76" s="15">
        <f t="shared" si="6"/>
        <v>-9.1933725614176121E-3</v>
      </c>
      <c r="F76" s="48">
        <v>18722.269531000002</v>
      </c>
      <c r="G76" s="15">
        <f t="shared" si="7"/>
        <v>-2.034056594239575E-2</v>
      </c>
      <c r="I76" s="48">
        <v>3732.2578130000002</v>
      </c>
      <c r="J76" s="15">
        <f t="shared" si="8"/>
        <v>2.8000658296529757E-3</v>
      </c>
      <c r="L76" s="48">
        <v>18722.269531000002</v>
      </c>
      <c r="M76" s="15">
        <f t="shared" si="9"/>
        <v>-2.034056594239575E-2</v>
      </c>
      <c r="O76" s="48">
        <v>528.98736599999995</v>
      </c>
      <c r="P76" s="15">
        <f t="shared" si="10"/>
        <v>-1.6291869535667303E-2</v>
      </c>
      <c r="R76" s="48">
        <v>17185.699218999998</v>
      </c>
      <c r="S76" s="15">
        <f t="shared" si="11"/>
        <v>-7.4475180894804094E-3</v>
      </c>
    </row>
    <row r="77" spans="2:19" x14ac:dyDescent="0.35">
      <c r="B77" s="95">
        <v>44851</v>
      </c>
      <c r="C77" s="48">
        <v>2636.2121579999998</v>
      </c>
      <c r="D77" s="15">
        <f t="shared" si="6"/>
        <v>3.0320624595225887E-2</v>
      </c>
      <c r="F77" s="48">
        <v>20074.361327999999</v>
      </c>
      <c r="G77" s="15">
        <f t="shared" si="7"/>
        <v>7.2218370468453585E-2</v>
      </c>
      <c r="I77" s="48">
        <v>3728.767578</v>
      </c>
      <c r="J77" s="15">
        <f t="shared" si="8"/>
        <v>-9.3515377952813061E-4</v>
      </c>
      <c r="L77" s="48">
        <v>20074.361327999999</v>
      </c>
      <c r="M77" s="15">
        <f t="shared" si="9"/>
        <v>7.2218370468453585E-2</v>
      </c>
      <c r="O77" s="48">
        <v>535.558044</v>
      </c>
      <c r="P77" s="15">
        <f t="shared" si="10"/>
        <v>1.2421238052781947E-2</v>
      </c>
      <c r="R77" s="48">
        <v>17576.300781000002</v>
      </c>
      <c r="S77" s="15">
        <f t="shared" si="11"/>
        <v>2.2728290366455628E-2</v>
      </c>
    </row>
    <row r="78" spans="2:19" x14ac:dyDescent="0.35">
      <c r="B78" s="95">
        <v>44858</v>
      </c>
      <c r="C78" s="48">
        <v>2507.4262699999999</v>
      </c>
      <c r="D78" s="15">
        <f t="shared" si="6"/>
        <v>-4.8852626526730392E-2</v>
      </c>
      <c r="F78" s="48">
        <v>20061.996093999998</v>
      </c>
      <c r="G78" s="15">
        <f t="shared" si="7"/>
        <v>-6.1597147714753664E-4</v>
      </c>
      <c r="I78" s="48">
        <v>3714.0205080000001</v>
      </c>
      <c r="J78" s="15">
        <f t="shared" si="8"/>
        <v>-3.9549448152812472E-3</v>
      </c>
      <c r="L78" s="48">
        <v>20061.996093999998</v>
      </c>
      <c r="M78" s="15">
        <f t="shared" si="9"/>
        <v>-6.1597147714753664E-4</v>
      </c>
      <c r="O78" s="48">
        <v>548.59979199999998</v>
      </c>
      <c r="P78" s="15">
        <f t="shared" si="10"/>
        <v>2.4351698468747074E-2</v>
      </c>
      <c r="R78" s="48">
        <v>17786.800781000002</v>
      </c>
      <c r="S78" s="15">
        <f t="shared" si="11"/>
        <v>1.197635399068453E-2</v>
      </c>
    </row>
    <row r="79" spans="2:19" x14ac:dyDescent="0.35">
      <c r="B79" s="95">
        <v>44865</v>
      </c>
      <c r="C79" s="48">
        <v>2503.55249</v>
      </c>
      <c r="D79" s="15">
        <f t="shared" si="6"/>
        <v>-1.5449227944795973E-3</v>
      </c>
      <c r="F79" s="48">
        <v>20203.296875</v>
      </c>
      <c r="G79" s="15">
        <f t="shared" si="7"/>
        <v>7.0432064854335508E-3</v>
      </c>
      <c r="I79" s="48">
        <v>3740.0737300000001</v>
      </c>
      <c r="J79" s="15">
        <f t="shared" si="8"/>
        <v>7.0148298707239931E-3</v>
      </c>
      <c r="L79" s="48">
        <v>20203.296875</v>
      </c>
      <c r="M79" s="15">
        <f t="shared" si="9"/>
        <v>7.0432064854335508E-3</v>
      </c>
      <c r="O79" s="48">
        <v>555.021118</v>
      </c>
      <c r="P79" s="15">
        <f t="shared" si="10"/>
        <v>1.1704936993486958E-2</v>
      </c>
      <c r="R79" s="48">
        <v>18117.150390999999</v>
      </c>
      <c r="S79" s="15">
        <f t="shared" si="11"/>
        <v>1.8572739081492262E-2</v>
      </c>
    </row>
    <row r="80" spans="2:19" x14ac:dyDescent="0.35">
      <c r="B80" s="95">
        <v>44872</v>
      </c>
      <c r="C80" s="48">
        <v>2503.0500489999999</v>
      </c>
      <c r="D80" s="15">
        <f t="shared" si="6"/>
        <v>-2.0069121858123928E-4</v>
      </c>
      <c r="F80" s="48">
        <v>20221.25</v>
      </c>
      <c r="G80" s="15">
        <f t="shared" si="7"/>
        <v>8.8862353065821686E-4</v>
      </c>
      <c r="I80" s="48">
        <v>4029.5603030000002</v>
      </c>
      <c r="J80" s="15">
        <f t="shared" si="8"/>
        <v>7.7401301123547706E-2</v>
      </c>
      <c r="L80" s="48">
        <v>20221.25</v>
      </c>
      <c r="M80" s="15">
        <f t="shared" si="9"/>
        <v>8.8862353065821686E-4</v>
      </c>
      <c r="O80" s="48">
        <v>553.09997599999997</v>
      </c>
      <c r="P80" s="15">
        <f t="shared" si="10"/>
        <v>-3.4613854098431984E-3</v>
      </c>
      <c r="R80" s="48">
        <v>18349.699218999998</v>
      </c>
      <c r="S80" s="15">
        <f t="shared" si="11"/>
        <v>1.2835839134808014E-2</v>
      </c>
    </row>
    <row r="81" spans="2:19" x14ac:dyDescent="0.35">
      <c r="B81" s="95">
        <v>44879</v>
      </c>
      <c r="C81" s="48">
        <v>2483.6999510000001</v>
      </c>
      <c r="D81" s="15">
        <f t="shared" si="6"/>
        <v>-7.7306077070774526E-3</v>
      </c>
      <c r="F81" s="48">
        <v>19825.830077999999</v>
      </c>
      <c r="G81" s="15">
        <f t="shared" si="7"/>
        <v>-1.9554672535080697E-2</v>
      </c>
      <c r="I81" s="48">
        <v>4036.8354490000002</v>
      </c>
      <c r="J81" s="15">
        <f t="shared" si="8"/>
        <v>1.8054441311086133E-3</v>
      </c>
      <c r="L81" s="48">
        <v>19825.830077999999</v>
      </c>
      <c r="M81" s="15">
        <f t="shared" si="9"/>
        <v>-1.9554672535080697E-2</v>
      </c>
      <c r="O81" s="48">
        <v>548.5</v>
      </c>
      <c r="P81" s="15">
        <f t="shared" si="10"/>
        <v>-8.3167170486371234E-3</v>
      </c>
      <c r="R81" s="48">
        <v>18307.650390999999</v>
      </c>
      <c r="S81" s="15">
        <f t="shared" si="11"/>
        <v>-2.2915268254892762E-3</v>
      </c>
    </row>
    <row r="82" spans="2:19" x14ac:dyDescent="0.35">
      <c r="B82" s="95">
        <v>44886</v>
      </c>
      <c r="C82" s="48">
        <v>2537.4499510000001</v>
      </c>
      <c r="D82" s="15">
        <f t="shared" si="6"/>
        <v>2.1641100398765545E-2</v>
      </c>
      <c r="F82" s="48">
        <v>19432.050781000002</v>
      </c>
      <c r="G82" s="15">
        <f t="shared" si="7"/>
        <v>-1.9861932410939032E-2</v>
      </c>
      <c r="I82" s="48">
        <v>4113.1767579999996</v>
      </c>
      <c r="J82" s="15">
        <f t="shared" si="8"/>
        <v>1.8911176827609122E-2</v>
      </c>
      <c r="L82" s="48">
        <v>19432.050781000002</v>
      </c>
      <c r="M82" s="15">
        <f t="shared" si="9"/>
        <v>-1.9861932410939032E-2</v>
      </c>
      <c r="O82" s="48">
        <v>556.54998799999998</v>
      </c>
      <c r="P82" s="15">
        <f t="shared" si="10"/>
        <v>1.4676368277119378E-2</v>
      </c>
      <c r="R82" s="48">
        <v>18512.75</v>
      </c>
      <c r="S82" s="15">
        <f t="shared" si="11"/>
        <v>1.1202945469224623E-2</v>
      </c>
    </row>
    <row r="83" spans="2:19" x14ac:dyDescent="0.35">
      <c r="B83" s="95">
        <v>44893</v>
      </c>
      <c r="C83" s="48">
        <v>2615.1000979999999</v>
      </c>
      <c r="D83" s="15">
        <f t="shared" si="6"/>
        <v>3.0601646731750476E-2</v>
      </c>
      <c r="F83" s="48">
        <v>19652.794922000001</v>
      </c>
      <c r="G83" s="15">
        <f t="shared" si="7"/>
        <v>1.1359796425389979E-2</v>
      </c>
      <c r="I83" s="48">
        <v>4358.1757809999999</v>
      </c>
      <c r="J83" s="15">
        <f t="shared" si="8"/>
        <v>5.9564428521940993E-2</v>
      </c>
      <c r="L83" s="48">
        <v>19652.794922000001</v>
      </c>
      <c r="M83" s="15">
        <f t="shared" si="9"/>
        <v>1.1359796425389979E-2</v>
      </c>
      <c r="O83" s="48">
        <v>591.15002400000003</v>
      </c>
      <c r="P83" s="15">
        <f t="shared" si="10"/>
        <v>6.2168784019450918E-2</v>
      </c>
      <c r="R83" s="48">
        <v>18696.099609000001</v>
      </c>
      <c r="S83" s="15">
        <f t="shared" si="11"/>
        <v>9.9039639707769744E-3</v>
      </c>
    </row>
    <row r="84" spans="2:19" x14ac:dyDescent="0.35">
      <c r="B84" s="95">
        <v>44900</v>
      </c>
      <c r="C84" s="48">
        <v>2722.25</v>
      </c>
      <c r="D84" s="15">
        <f t="shared" si="6"/>
        <v>4.0973537526134196E-2</v>
      </c>
      <c r="F84" s="48">
        <v>20140.902343999998</v>
      </c>
      <c r="G84" s="15">
        <f t="shared" si="7"/>
        <v>2.4836539735811014E-2</v>
      </c>
      <c r="I84" s="48">
        <v>4335.9570309999999</v>
      </c>
      <c r="J84" s="15">
        <f t="shared" si="8"/>
        <v>-5.0981766492451674E-3</v>
      </c>
      <c r="L84" s="48">
        <v>20140.902343999998</v>
      </c>
      <c r="M84" s="15">
        <f t="shared" si="9"/>
        <v>2.4836539735811014E-2</v>
      </c>
      <c r="O84" s="48">
        <v>598.75</v>
      </c>
      <c r="P84" s="15">
        <f t="shared" si="10"/>
        <v>1.2856255927344629E-2</v>
      </c>
      <c r="R84" s="48">
        <v>18496.599609000001</v>
      </c>
      <c r="S84" s="15">
        <f t="shared" si="11"/>
        <v>-1.0670674855838058E-2</v>
      </c>
    </row>
    <row r="85" spans="2:19" x14ac:dyDescent="0.35">
      <c r="B85" s="95">
        <v>44907</v>
      </c>
      <c r="C85" s="48">
        <v>2671.3000489999999</v>
      </c>
      <c r="D85" s="15">
        <f t="shared" si="6"/>
        <v>-1.8716117549820943E-2</v>
      </c>
      <c r="F85" s="48">
        <v>19640.357422000001</v>
      </c>
      <c r="G85" s="15">
        <f t="shared" si="7"/>
        <v>-2.4852159722084655E-2</v>
      </c>
      <c r="I85" s="48">
        <v>4369.7773440000001</v>
      </c>
      <c r="J85" s="15">
        <f t="shared" si="8"/>
        <v>7.7999649807876104E-3</v>
      </c>
      <c r="L85" s="48">
        <v>19640.357422000001</v>
      </c>
      <c r="M85" s="15">
        <f t="shared" si="9"/>
        <v>-2.4852159722084655E-2</v>
      </c>
      <c r="O85" s="48">
        <v>579.75</v>
      </c>
      <c r="P85" s="15">
        <f t="shared" si="10"/>
        <v>-3.1732776617954039E-2</v>
      </c>
      <c r="R85" s="48">
        <v>18269</v>
      </c>
      <c r="S85" s="15">
        <f t="shared" si="11"/>
        <v>-1.2304943276668867E-2</v>
      </c>
    </row>
    <row r="86" spans="2:19" x14ac:dyDescent="0.35">
      <c r="B86" s="95">
        <v>44914</v>
      </c>
      <c r="C86" s="48">
        <v>2621.1000979999999</v>
      </c>
      <c r="D86" s="15">
        <f t="shared" si="6"/>
        <v>-1.8792329606998837E-2</v>
      </c>
      <c r="F86" s="48">
        <v>20032.445313</v>
      </c>
      <c r="G86" s="15">
        <f t="shared" si="7"/>
        <v>1.9963378597214643E-2</v>
      </c>
      <c r="I86" s="48">
        <v>4258.8784180000002</v>
      </c>
      <c r="J86" s="15">
        <f t="shared" si="8"/>
        <v>-2.5378621671026669E-2</v>
      </c>
      <c r="L86" s="48">
        <v>20032.445313</v>
      </c>
      <c r="M86" s="15">
        <f t="shared" si="9"/>
        <v>1.9963378597214643E-2</v>
      </c>
      <c r="O86" s="48">
        <v>565.84997599999997</v>
      </c>
      <c r="P86" s="15">
        <f t="shared" si="10"/>
        <v>-2.3975893057352371E-2</v>
      </c>
      <c r="R86" s="48">
        <v>17806.800781000002</v>
      </c>
      <c r="S86" s="15">
        <f t="shared" si="11"/>
        <v>-2.529964524604511E-2</v>
      </c>
    </row>
    <row r="87" spans="2:19" x14ac:dyDescent="0.35">
      <c r="B87" s="95">
        <v>44921</v>
      </c>
      <c r="C87" s="48">
        <v>2561.0500489999999</v>
      </c>
      <c r="D87" s="15">
        <f t="shared" si="6"/>
        <v>-2.2910246367859211E-2</v>
      </c>
      <c r="F87" s="48">
        <v>19508.320313</v>
      </c>
      <c r="G87" s="15">
        <f t="shared" si="7"/>
        <v>-2.6163805357295566E-2</v>
      </c>
      <c r="I87" s="48">
        <v>4234.8408200000003</v>
      </c>
      <c r="J87" s="15">
        <f t="shared" si="8"/>
        <v>-5.6441146331873693E-3</v>
      </c>
      <c r="L87" s="48">
        <v>19508.320313</v>
      </c>
      <c r="M87" s="15">
        <f t="shared" si="9"/>
        <v>-2.6163805357295566E-2</v>
      </c>
      <c r="O87" s="48">
        <v>561.45001200000002</v>
      </c>
      <c r="P87" s="15">
        <f t="shared" si="10"/>
        <v>-7.7758490529651336E-3</v>
      </c>
      <c r="R87" s="48">
        <v>18105.300781000002</v>
      </c>
      <c r="S87" s="15">
        <f t="shared" si="11"/>
        <v>1.6763258244484991E-2</v>
      </c>
    </row>
    <row r="88" spans="2:19" x14ac:dyDescent="0.35">
      <c r="B88" s="95">
        <v>44928</v>
      </c>
      <c r="C88" s="48">
        <v>2576.4499510000001</v>
      </c>
      <c r="D88" s="15">
        <f t="shared" si="6"/>
        <v>6.013120284788398E-3</v>
      </c>
      <c r="F88" s="48">
        <v>19786.177734000001</v>
      </c>
      <c r="G88" s="15">
        <f t="shared" si="7"/>
        <v>1.4243021261796773E-2</v>
      </c>
      <c r="I88" s="48">
        <v>4285.5708009999998</v>
      </c>
      <c r="J88" s="15">
        <f t="shared" si="8"/>
        <v>1.1979194297083273E-2</v>
      </c>
      <c r="L88" s="48">
        <v>19786.177734000001</v>
      </c>
      <c r="M88" s="15">
        <f t="shared" si="9"/>
        <v>1.4243021261796773E-2</v>
      </c>
      <c r="O88" s="48">
        <v>552.84997599999997</v>
      </c>
      <c r="P88" s="15">
        <f t="shared" si="10"/>
        <v>-1.5317545313366265E-2</v>
      </c>
      <c r="R88" s="48">
        <v>17859.449218999998</v>
      </c>
      <c r="S88" s="15">
        <f t="shared" si="11"/>
        <v>-1.3578982474458767E-2</v>
      </c>
    </row>
    <row r="89" spans="2:19" x14ac:dyDescent="0.35">
      <c r="B89" s="95">
        <v>44935</v>
      </c>
      <c r="C89" s="48">
        <v>2624</v>
      </c>
      <c r="D89" s="15">
        <f t="shared" si="6"/>
        <v>1.8455646297939721E-2</v>
      </c>
      <c r="F89" s="48">
        <v>19685.78125</v>
      </c>
      <c r="G89" s="15">
        <f t="shared" si="7"/>
        <v>-5.0740716751715986E-3</v>
      </c>
      <c r="I89" s="48">
        <v>4263.0078130000002</v>
      </c>
      <c r="J89" s="15">
        <f t="shared" si="8"/>
        <v>-5.2648734667350983E-3</v>
      </c>
      <c r="L89" s="48">
        <v>19685.78125</v>
      </c>
      <c r="M89" s="15">
        <f t="shared" si="9"/>
        <v>-5.0740716751715986E-3</v>
      </c>
      <c r="O89" s="48">
        <v>543.70001200000002</v>
      </c>
      <c r="P89" s="15">
        <f t="shared" si="10"/>
        <v>-1.6550537030320833E-2</v>
      </c>
      <c r="R89" s="48">
        <v>17956.599609000001</v>
      </c>
      <c r="S89" s="15">
        <f t="shared" si="11"/>
        <v>5.4397192661825855E-3</v>
      </c>
    </row>
    <row r="90" spans="2:19" x14ac:dyDescent="0.35">
      <c r="B90" s="95">
        <v>44942</v>
      </c>
      <c r="C90" s="48">
        <v>2548.75</v>
      </c>
      <c r="D90" s="15">
        <f t="shared" si="6"/>
        <v>-2.8677591463414642E-2</v>
      </c>
      <c r="F90" s="48">
        <v>19104.392577999999</v>
      </c>
      <c r="G90" s="15">
        <f t="shared" si="7"/>
        <v>-2.9533431496400531E-2</v>
      </c>
      <c r="I90" s="48">
        <v>4246.1469729999999</v>
      </c>
      <c r="J90" s="15">
        <f t="shared" si="8"/>
        <v>-3.9551510904068943E-3</v>
      </c>
      <c r="L90" s="48">
        <v>19104.392577999999</v>
      </c>
      <c r="M90" s="15">
        <f t="shared" si="9"/>
        <v>-2.9533431496400531E-2</v>
      </c>
      <c r="O90" s="48">
        <v>566</v>
      </c>
      <c r="P90" s="15">
        <f t="shared" si="10"/>
        <v>4.1015242795322981E-2</v>
      </c>
      <c r="R90" s="48">
        <v>18027.650390999999</v>
      </c>
      <c r="S90" s="15">
        <f t="shared" si="11"/>
        <v>3.9568060516528281E-3</v>
      </c>
    </row>
    <row r="91" spans="2:19" x14ac:dyDescent="0.35">
      <c r="B91" s="95">
        <v>44949</v>
      </c>
      <c r="C91" s="48">
        <v>2612.1499020000001</v>
      </c>
      <c r="D91" s="15">
        <f t="shared" si="6"/>
        <v>2.4874900245218212E-2</v>
      </c>
      <c r="F91" s="48">
        <v>19120.611327999999</v>
      </c>
      <c r="G91" s="15">
        <f t="shared" si="7"/>
        <v>8.4895397400264194E-4</v>
      </c>
      <c r="I91" s="48">
        <v>4306.5610349999997</v>
      </c>
      <c r="J91" s="15">
        <f t="shared" si="8"/>
        <v>1.4227972414557311E-2</v>
      </c>
      <c r="L91" s="48">
        <v>19120.611327999999</v>
      </c>
      <c r="M91" s="15">
        <f t="shared" si="9"/>
        <v>8.4895397400264194E-4</v>
      </c>
      <c r="O91" s="48">
        <v>562.04998799999998</v>
      </c>
      <c r="P91" s="15">
        <f t="shared" si="10"/>
        <v>-6.9788197879858682E-3</v>
      </c>
      <c r="R91" s="48">
        <v>17604.349609000001</v>
      </c>
      <c r="S91" s="15">
        <f t="shared" si="11"/>
        <v>-2.3480640727941093E-2</v>
      </c>
    </row>
    <row r="92" spans="2:19" x14ac:dyDescent="0.35">
      <c r="B92" s="95">
        <v>44956</v>
      </c>
      <c r="C92" s="48">
        <v>2648.75</v>
      </c>
      <c r="D92" s="15">
        <f t="shared" si="6"/>
        <v>1.4011484552236775E-2</v>
      </c>
      <c r="F92" s="48">
        <v>18909.617188</v>
      </c>
      <c r="G92" s="15">
        <f t="shared" si="7"/>
        <v>-1.103490554671871E-2</v>
      </c>
      <c r="I92" s="48">
        <v>4550.8232420000004</v>
      </c>
      <c r="J92" s="15">
        <f t="shared" si="8"/>
        <v>5.6718621892235754E-2</v>
      </c>
      <c r="L92" s="48">
        <v>18909.617188</v>
      </c>
      <c r="M92" s="15">
        <f t="shared" si="9"/>
        <v>-1.103490554671871E-2</v>
      </c>
      <c r="O92" s="48">
        <v>533.70001200000002</v>
      </c>
      <c r="P92" s="15">
        <f t="shared" si="10"/>
        <v>-5.044031065791954E-2</v>
      </c>
      <c r="R92" s="48">
        <v>17854.050781000002</v>
      </c>
      <c r="S92" s="15">
        <f t="shared" si="11"/>
        <v>1.4184061186352848E-2</v>
      </c>
    </row>
    <row r="93" spans="2:19" x14ac:dyDescent="0.35">
      <c r="B93" s="95">
        <v>44963</v>
      </c>
      <c r="C93" s="48">
        <v>2577.5</v>
      </c>
      <c r="D93" s="15">
        <f t="shared" si="6"/>
        <v>-2.6899480887210947E-2</v>
      </c>
      <c r="F93" s="48">
        <v>18929.070313</v>
      </c>
      <c r="G93" s="15">
        <f t="shared" si="7"/>
        <v>1.0287424016359736E-3</v>
      </c>
      <c r="I93" s="48">
        <v>4544.7768550000001</v>
      </c>
      <c r="J93" s="15">
        <f t="shared" si="8"/>
        <v>-1.3286358705821844E-3</v>
      </c>
      <c r="L93" s="48">
        <v>18929.070313</v>
      </c>
      <c r="M93" s="15">
        <f t="shared" si="9"/>
        <v>1.0287424016359736E-3</v>
      </c>
      <c r="O93" s="48">
        <v>532.40002400000003</v>
      </c>
      <c r="P93" s="15">
        <f t="shared" si="10"/>
        <v>-2.4358028307482904E-3</v>
      </c>
      <c r="R93" s="48">
        <v>17856.5</v>
      </c>
      <c r="S93" s="15">
        <f t="shared" si="11"/>
        <v>1.371800175793414E-4</v>
      </c>
    </row>
    <row r="94" spans="2:19" x14ac:dyDescent="0.35">
      <c r="B94" s="95">
        <v>44970</v>
      </c>
      <c r="C94" s="48">
        <v>2515.5</v>
      </c>
      <c r="D94" s="15">
        <f t="shared" si="6"/>
        <v>-2.4054316197866132E-2</v>
      </c>
      <c r="F94" s="48">
        <v>18926.533202999999</v>
      </c>
      <c r="G94" s="15">
        <f t="shared" si="7"/>
        <v>-1.3403246741905406E-4</v>
      </c>
      <c r="I94" s="48">
        <v>4456.8344729999999</v>
      </c>
      <c r="J94" s="15">
        <f t="shared" si="8"/>
        <v>-1.9350208999425189E-2</v>
      </c>
      <c r="L94" s="48">
        <v>18926.533202999999</v>
      </c>
      <c r="M94" s="15">
        <f t="shared" si="9"/>
        <v>-1.3403246741905406E-4</v>
      </c>
      <c r="O94" s="48">
        <v>534.5</v>
      </c>
      <c r="P94" s="15">
        <f t="shared" si="10"/>
        <v>3.944357448038005E-3</v>
      </c>
      <c r="R94" s="48">
        <v>17944.199218999998</v>
      </c>
      <c r="S94" s="15">
        <f t="shared" si="11"/>
        <v>4.9113330719905424E-3</v>
      </c>
    </row>
    <row r="95" spans="2:19" x14ac:dyDescent="0.35">
      <c r="B95" s="95">
        <v>44977</v>
      </c>
      <c r="C95" s="48">
        <v>2484.1999510000001</v>
      </c>
      <c r="D95" s="15">
        <f t="shared" si="6"/>
        <v>-1.2442873782548158E-2</v>
      </c>
      <c r="F95" s="48">
        <v>18587.828125</v>
      </c>
      <c r="G95" s="15">
        <f t="shared" si="7"/>
        <v>-1.7895780192133226E-2</v>
      </c>
      <c r="I95" s="48">
        <v>4367.6630859999996</v>
      </c>
      <c r="J95" s="15">
        <f t="shared" si="8"/>
        <v>-2.0007785243138509E-2</v>
      </c>
      <c r="L95" s="48">
        <v>18587.828125</v>
      </c>
      <c r="M95" s="15">
        <f t="shared" si="9"/>
        <v>-1.7895780192133226E-2</v>
      </c>
      <c r="O95" s="48">
        <v>534.90002400000003</v>
      </c>
      <c r="P95" s="15">
        <f t="shared" si="10"/>
        <v>7.484078578110509E-4</v>
      </c>
      <c r="R95" s="48">
        <v>17465.800781000002</v>
      </c>
      <c r="S95" s="15">
        <f t="shared" si="11"/>
        <v>-2.6660339208308015E-2</v>
      </c>
    </row>
    <row r="96" spans="2:19" x14ac:dyDescent="0.35">
      <c r="B96" s="95">
        <v>44984</v>
      </c>
      <c r="C96" s="48">
        <v>2471</v>
      </c>
      <c r="D96" s="15">
        <f t="shared" si="6"/>
        <v>-5.3135622173595687E-3</v>
      </c>
      <c r="F96" s="48">
        <v>18357.980468999998</v>
      </c>
      <c r="G96" s="15">
        <f t="shared" si="7"/>
        <v>-1.2365492862012495E-2</v>
      </c>
      <c r="I96" s="48">
        <v>4337.5795900000003</v>
      </c>
      <c r="J96" s="15">
        <f t="shared" si="8"/>
        <v>-6.8877785231256095E-3</v>
      </c>
      <c r="L96" s="48">
        <v>18357.980468999998</v>
      </c>
      <c r="M96" s="15">
        <f t="shared" si="9"/>
        <v>-1.2365492862012495E-2</v>
      </c>
      <c r="O96" s="48">
        <v>534.79998799999998</v>
      </c>
      <c r="P96" s="15">
        <f t="shared" si="10"/>
        <v>-1.8701812583965527E-4</v>
      </c>
      <c r="R96" s="48">
        <v>17594.349609000001</v>
      </c>
      <c r="S96" s="15">
        <f t="shared" si="11"/>
        <v>7.3600305884538031E-3</v>
      </c>
    </row>
    <row r="97" spans="2:19" x14ac:dyDescent="0.35">
      <c r="B97" s="95">
        <v>44991</v>
      </c>
      <c r="C97" s="48">
        <v>2465.4499510000001</v>
      </c>
      <c r="D97" s="15">
        <f t="shared" si="6"/>
        <v>-2.24607405908539E-3</v>
      </c>
      <c r="F97" s="48">
        <v>18393.650390999999</v>
      </c>
      <c r="G97" s="15">
        <f t="shared" si="7"/>
        <v>1.9430199340408905E-3</v>
      </c>
      <c r="I97" s="48">
        <v>4238.3310549999997</v>
      </c>
      <c r="J97" s="15">
        <f t="shared" si="8"/>
        <v>-2.2881086776784798E-2</v>
      </c>
      <c r="L97" s="48">
        <v>18393.650390999999</v>
      </c>
      <c r="M97" s="15">
        <f t="shared" si="9"/>
        <v>1.9430199340408905E-3</v>
      </c>
      <c r="O97" s="48">
        <v>529.95001200000002</v>
      </c>
      <c r="P97" s="15">
        <f t="shared" si="10"/>
        <v>-9.0687660972796902E-3</v>
      </c>
      <c r="R97" s="48">
        <v>17412.900390999999</v>
      </c>
      <c r="S97" s="15">
        <f t="shared" si="11"/>
        <v>-1.0312925571695164E-2</v>
      </c>
    </row>
    <row r="98" spans="2:19" x14ac:dyDescent="0.35">
      <c r="B98" s="95">
        <v>44998</v>
      </c>
      <c r="C98" s="48">
        <v>2447.3999020000001</v>
      </c>
      <c r="D98" s="15">
        <f t="shared" si="6"/>
        <v>-7.3211987096629683E-3</v>
      </c>
      <c r="F98" s="48">
        <v>18764.195313</v>
      </c>
      <c r="G98" s="15">
        <f t="shared" si="7"/>
        <v>2.0145262855561841E-2</v>
      </c>
      <c r="I98" s="48">
        <v>4289.0117190000001</v>
      </c>
      <c r="J98" s="15">
        <f t="shared" si="8"/>
        <v>1.1957693569078831E-2</v>
      </c>
      <c r="L98" s="48">
        <v>18764.195313</v>
      </c>
      <c r="M98" s="15">
        <f t="shared" si="9"/>
        <v>2.0145262855561841E-2</v>
      </c>
      <c r="O98" s="48">
        <v>536.15002400000003</v>
      </c>
      <c r="P98" s="15">
        <f t="shared" si="10"/>
        <v>1.1699239285987595E-2</v>
      </c>
      <c r="R98" s="48">
        <v>17100.050781000002</v>
      </c>
      <c r="S98" s="15">
        <f t="shared" si="11"/>
        <v>-1.7966542217268788E-2</v>
      </c>
    </row>
    <row r="99" spans="2:19" x14ac:dyDescent="0.35">
      <c r="B99" s="95">
        <v>45005</v>
      </c>
      <c r="C99" s="48">
        <v>2480.8000489999999</v>
      </c>
      <c r="D99" s="15">
        <f t="shared" si="6"/>
        <v>1.3647196346091794E-2</v>
      </c>
      <c r="F99" s="48">
        <v>18858.671875</v>
      </c>
      <c r="G99" s="15">
        <f t="shared" si="7"/>
        <v>5.0349381054750619E-3</v>
      </c>
      <c r="I99" s="48">
        <v>4129.1528319999998</v>
      </c>
      <c r="J99" s="15">
        <f t="shared" si="8"/>
        <v>-3.7271730056562369E-2</v>
      </c>
      <c r="L99" s="48">
        <v>18858.671875</v>
      </c>
      <c r="M99" s="15">
        <f t="shared" si="9"/>
        <v>5.0349381054750619E-3</v>
      </c>
      <c r="O99" s="48">
        <v>536.40002400000003</v>
      </c>
      <c r="P99" s="15">
        <f t="shared" si="10"/>
        <v>4.6628739869269964E-4</v>
      </c>
      <c r="R99" s="48">
        <v>16945.050781000002</v>
      </c>
      <c r="S99" s="15">
        <f t="shared" si="11"/>
        <v>-9.0643005675878907E-3</v>
      </c>
    </row>
    <row r="100" spans="2:19" x14ac:dyDescent="0.35">
      <c r="B100" s="95">
        <v>45012</v>
      </c>
      <c r="C100" s="48">
        <v>2560.3500979999999</v>
      </c>
      <c r="D100" s="15">
        <f t="shared" si="6"/>
        <v>3.2066288063830939E-2</v>
      </c>
      <c r="F100" s="48">
        <v>19606.328125</v>
      </c>
      <c r="G100" s="15">
        <f t="shared" si="7"/>
        <v>3.9645222895634102E-2</v>
      </c>
      <c r="I100" s="48">
        <v>4249.2929690000001</v>
      </c>
      <c r="J100" s="15">
        <f t="shared" si="8"/>
        <v>2.9095589794822185E-2</v>
      </c>
      <c r="L100" s="48">
        <v>19606.328125</v>
      </c>
      <c r="M100" s="15">
        <f t="shared" si="9"/>
        <v>3.9645222895634102E-2</v>
      </c>
      <c r="O100" s="48">
        <v>544.90002400000003</v>
      </c>
      <c r="P100" s="15">
        <f t="shared" si="10"/>
        <v>1.5846382587037411E-2</v>
      </c>
      <c r="R100" s="48">
        <v>17359.75</v>
      </c>
      <c r="S100" s="15">
        <f t="shared" si="11"/>
        <v>2.4473176525678486E-2</v>
      </c>
    </row>
    <row r="101" spans="2:19" x14ac:dyDescent="0.35">
      <c r="B101" s="95">
        <v>45019</v>
      </c>
      <c r="C101" s="48">
        <v>2565.25</v>
      </c>
      <c r="D101" s="15">
        <f t="shared" si="6"/>
        <v>1.9137624982723533E-3</v>
      </c>
      <c r="F101" s="48">
        <v>19610.060547000001</v>
      </c>
      <c r="G101" s="15">
        <f t="shared" si="7"/>
        <v>1.9036823092033472E-4</v>
      </c>
      <c r="I101" s="48">
        <v>4227.3193359999996</v>
      </c>
      <c r="J101" s="15">
        <f t="shared" si="8"/>
        <v>-5.1711268581162706E-3</v>
      </c>
      <c r="L101" s="48">
        <v>19610.060547000001</v>
      </c>
      <c r="M101" s="15">
        <f t="shared" si="9"/>
        <v>1.9036823092033472E-4</v>
      </c>
      <c r="O101" s="48">
        <v>525.90002400000003</v>
      </c>
      <c r="P101" s="15">
        <f t="shared" si="10"/>
        <v>-3.4868781727196207E-2</v>
      </c>
      <c r="R101" s="48">
        <v>17599.150390999999</v>
      </c>
      <c r="S101" s="15">
        <f t="shared" si="11"/>
        <v>1.3790543700226143E-2</v>
      </c>
    </row>
    <row r="102" spans="2:19" x14ac:dyDescent="0.35">
      <c r="B102" s="95">
        <v>45026</v>
      </c>
      <c r="C102" s="48">
        <v>2536.1999510000001</v>
      </c>
      <c r="D102" s="15">
        <f t="shared" si="6"/>
        <v>-1.1324451417990433E-2</v>
      </c>
      <c r="F102" s="48">
        <v>19368.369140999999</v>
      </c>
      <c r="G102" s="15">
        <f t="shared" si="7"/>
        <v>-1.2324867912607007E-2</v>
      </c>
      <c r="I102" s="48">
        <v>4192.3198240000002</v>
      </c>
      <c r="J102" s="15">
        <f t="shared" si="8"/>
        <v>-8.2793631656691291E-3</v>
      </c>
      <c r="L102" s="48">
        <v>19368.369140999999</v>
      </c>
      <c r="M102" s="15">
        <f t="shared" si="9"/>
        <v>-1.2324867912607007E-2</v>
      </c>
      <c r="O102" s="48">
        <v>527.15002400000003</v>
      </c>
      <c r="P102" s="15">
        <f t="shared" si="10"/>
        <v>2.3768776249379897E-3</v>
      </c>
      <c r="R102" s="48">
        <v>17828</v>
      </c>
      <c r="S102" s="15">
        <f t="shared" si="11"/>
        <v>1.3003446411653519E-2</v>
      </c>
    </row>
    <row r="103" spans="2:19" x14ac:dyDescent="0.35">
      <c r="B103" s="95">
        <v>45033</v>
      </c>
      <c r="C103" s="48">
        <v>2497.9499510000001</v>
      </c>
      <c r="D103" s="15">
        <f t="shared" si="6"/>
        <v>-1.5081618460294655E-2</v>
      </c>
      <c r="F103" s="48">
        <v>20394.730468999998</v>
      </c>
      <c r="G103" s="15">
        <f t="shared" si="7"/>
        <v>5.2991623637910878E-2</v>
      </c>
      <c r="I103" s="48">
        <v>4327.7998049999997</v>
      </c>
      <c r="J103" s="15">
        <f t="shared" si="8"/>
        <v>3.2316232226465624E-2</v>
      </c>
      <c r="L103" s="48">
        <v>20394.730468999998</v>
      </c>
      <c r="M103" s="15">
        <f t="shared" si="9"/>
        <v>5.2991623637910878E-2</v>
      </c>
      <c r="O103" s="48">
        <v>525.15002400000003</v>
      </c>
      <c r="P103" s="15">
        <f t="shared" si="10"/>
        <v>-3.7939863586158307E-3</v>
      </c>
      <c r="R103" s="48">
        <v>17624.050781000002</v>
      </c>
      <c r="S103" s="15">
        <f t="shared" si="11"/>
        <v>-1.1439826060130054E-2</v>
      </c>
    </row>
    <row r="104" spans="2:19" x14ac:dyDescent="0.35">
      <c r="B104" s="95">
        <v>45040</v>
      </c>
      <c r="C104" s="48">
        <v>2457.3000489999999</v>
      </c>
      <c r="D104" s="15">
        <f t="shared" si="6"/>
        <v>-1.6273305229244861E-2</v>
      </c>
      <c r="F104" s="48">
        <v>21761.400390999999</v>
      </c>
      <c r="G104" s="15">
        <f t="shared" si="7"/>
        <v>6.7010933244611381E-2</v>
      </c>
      <c r="I104" s="48">
        <v>4553.5498049999997</v>
      </c>
      <c r="J104" s="15">
        <f t="shared" si="8"/>
        <v>5.2162764030625031E-2</v>
      </c>
      <c r="L104" s="48">
        <v>21761.400390999999</v>
      </c>
      <c r="M104" s="15">
        <f t="shared" si="9"/>
        <v>6.7010933244611381E-2</v>
      </c>
      <c r="O104" s="48">
        <v>532.90002400000003</v>
      </c>
      <c r="P104" s="15">
        <f t="shared" si="10"/>
        <v>1.4757687605094771E-2</v>
      </c>
      <c r="R104" s="48">
        <v>18065</v>
      </c>
      <c r="S104" s="15">
        <f t="shared" si="11"/>
        <v>2.5019742877464557E-2</v>
      </c>
    </row>
    <row r="105" spans="2:19" x14ac:dyDescent="0.35">
      <c r="B105" s="95">
        <v>45047</v>
      </c>
      <c r="C105" s="48">
        <v>2500.75</v>
      </c>
      <c r="D105" s="15">
        <f t="shared" si="6"/>
        <v>1.7681988415571004E-2</v>
      </c>
      <c r="F105" s="48">
        <v>22019.849609000001</v>
      </c>
      <c r="G105" s="15">
        <f t="shared" si="7"/>
        <v>1.1876497530319385E-2</v>
      </c>
      <c r="I105" s="48">
        <v>4626</v>
      </c>
      <c r="J105" s="15">
        <f t="shared" si="8"/>
        <v>1.5910706614089776E-2</v>
      </c>
      <c r="L105" s="48">
        <v>22019.849609000001</v>
      </c>
      <c r="M105" s="15">
        <f t="shared" si="9"/>
        <v>1.1876497530319385E-2</v>
      </c>
      <c r="O105" s="48">
        <v>505</v>
      </c>
      <c r="P105" s="15">
        <f t="shared" si="10"/>
        <v>-5.2355081147453686E-2</v>
      </c>
      <c r="R105" s="48">
        <v>18069</v>
      </c>
      <c r="S105" s="15">
        <f t="shared" si="11"/>
        <v>2.2142264046509652E-4</v>
      </c>
    </row>
    <row r="106" spans="2:19" x14ac:dyDescent="0.35">
      <c r="B106" s="95">
        <v>45054</v>
      </c>
      <c r="C106" s="48">
        <v>2623.3999020000001</v>
      </c>
      <c r="D106" s="15">
        <f t="shared" si="6"/>
        <v>4.9045247225832256E-2</v>
      </c>
      <c r="F106" s="48">
        <v>21794.150390999999</v>
      </c>
      <c r="G106" s="15">
        <f t="shared" si="7"/>
        <v>-1.0249807424104862E-2</v>
      </c>
      <c r="I106" s="48">
        <v>4616.5</v>
      </c>
      <c r="J106" s="15">
        <f t="shared" si="8"/>
        <v>-2.0536100302637195E-3</v>
      </c>
      <c r="L106" s="48">
        <v>21794.150390999999</v>
      </c>
      <c r="M106" s="15">
        <f t="shared" si="9"/>
        <v>-1.0249807424104862E-2</v>
      </c>
      <c r="O106" s="48">
        <v>518.34997599999997</v>
      </c>
      <c r="P106" s="15">
        <f t="shared" si="10"/>
        <v>2.6435596039603881E-2</v>
      </c>
      <c r="R106" s="48">
        <v>18314.800781000002</v>
      </c>
      <c r="S106" s="15">
        <f t="shared" si="11"/>
        <v>1.3603452376999448E-2</v>
      </c>
    </row>
    <row r="107" spans="2:19" x14ac:dyDescent="0.35">
      <c r="B107" s="95">
        <v>45061</v>
      </c>
      <c r="C107" s="48">
        <v>2641.4499510000001</v>
      </c>
      <c r="D107" s="15">
        <f t="shared" si="6"/>
        <v>6.8804031692764056E-3</v>
      </c>
      <c r="F107" s="48">
        <v>21690.150390999999</v>
      </c>
      <c r="G107" s="15">
        <f t="shared" si="7"/>
        <v>-4.7719226551243832E-3</v>
      </c>
      <c r="I107" s="48">
        <v>4499.8500979999999</v>
      </c>
      <c r="J107" s="15">
        <f t="shared" si="8"/>
        <v>-2.526803899057728E-2</v>
      </c>
      <c r="L107" s="48">
        <v>21690.150390999999</v>
      </c>
      <c r="M107" s="15">
        <f t="shared" si="9"/>
        <v>-4.7719226551243832E-3</v>
      </c>
      <c r="O107" s="48">
        <v>519.09997599999997</v>
      </c>
      <c r="P107" s="15">
        <f t="shared" si="10"/>
        <v>1.4468988805353966E-3</v>
      </c>
      <c r="R107" s="48">
        <v>18203.400390999999</v>
      </c>
      <c r="S107" s="15">
        <f t="shared" si="11"/>
        <v>-6.0825335384249168E-3</v>
      </c>
    </row>
    <row r="108" spans="2:19" x14ac:dyDescent="0.35">
      <c r="B108" s="95">
        <v>45068</v>
      </c>
      <c r="C108" s="48">
        <v>2652.3500979999999</v>
      </c>
      <c r="D108" s="15">
        <f t="shared" si="6"/>
        <v>4.1265771459622069E-3</v>
      </c>
      <c r="F108" s="48">
        <v>21581.75</v>
      </c>
      <c r="G108" s="15">
        <f t="shared" si="7"/>
        <v>-4.9976781647848023E-3</v>
      </c>
      <c r="I108" s="48">
        <v>4596.2001950000003</v>
      </c>
      <c r="J108" s="15">
        <f t="shared" si="8"/>
        <v>2.1411845928561934E-2</v>
      </c>
      <c r="L108" s="48">
        <v>21581.75</v>
      </c>
      <c r="M108" s="15">
        <f t="shared" si="9"/>
        <v>-4.9976781647848023E-3</v>
      </c>
      <c r="O108" s="48">
        <v>542.09997599999997</v>
      </c>
      <c r="P108" s="15">
        <f t="shared" si="10"/>
        <v>4.4307457259447069E-2</v>
      </c>
      <c r="R108" s="48">
        <v>18499.349609000001</v>
      </c>
      <c r="S108" s="15">
        <f t="shared" si="11"/>
        <v>1.6257908502980811E-2</v>
      </c>
    </row>
    <row r="109" spans="2:19" x14ac:dyDescent="0.35">
      <c r="B109" s="95">
        <v>45075</v>
      </c>
      <c r="C109" s="48">
        <v>2716.6999510000001</v>
      </c>
      <c r="D109" s="15">
        <f t="shared" si="6"/>
        <v>2.4261447630357313E-2</v>
      </c>
      <c r="F109" s="48">
        <v>22046.449218999998</v>
      </c>
      <c r="G109" s="15">
        <f t="shared" si="7"/>
        <v>2.1532045316065673E-2</v>
      </c>
      <c r="I109" s="48">
        <v>4654.1499020000001</v>
      </c>
      <c r="J109" s="15">
        <f t="shared" si="8"/>
        <v>1.2608177307646518E-2</v>
      </c>
      <c r="L109" s="48">
        <v>22046.449218999998</v>
      </c>
      <c r="M109" s="15">
        <f t="shared" si="9"/>
        <v>2.1532045316065673E-2</v>
      </c>
      <c r="O109" s="48">
        <v>557.20001200000002</v>
      </c>
      <c r="P109" s="15">
        <f t="shared" si="10"/>
        <v>2.7854707007033852E-2</v>
      </c>
      <c r="R109" s="48">
        <v>18534.099609000001</v>
      </c>
      <c r="S109" s="15">
        <f t="shared" si="11"/>
        <v>1.8784444174779757E-3</v>
      </c>
    </row>
    <row r="110" spans="2:19" x14ac:dyDescent="0.35">
      <c r="B110" s="95">
        <v>45082</v>
      </c>
      <c r="C110" s="48">
        <v>2636.1999510000001</v>
      </c>
      <c r="D110" s="15">
        <f t="shared" si="6"/>
        <v>-2.9631538797786017E-2</v>
      </c>
      <c r="F110" s="48">
        <v>22073.449218999998</v>
      </c>
      <c r="G110" s="15">
        <f t="shared" si="7"/>
        <v>1.2246870111278785E-3</v>
      </c>
      <c r="I110" s="48">
        <v>4878.75</v>
      </c>
      <c r="J110" s="15">
        <f t="shared" si="8"/>
        <v>4.8258028368077133E-2</v>
      </c>
      <c r="L110" s="48">
        <v>22073.449218999998</v>
      </c>
      <c r="M110" s="15">
        <f t="shared" si="9"/>
        <v>1.2246870111278785E-3</v>
      </c>
      <c r="O110" s="48">
        <v>549.95001200000002</v>
      </c>
      <c r="P110" s="15">
        <f t="shared" si="10"/>
        <v>-1.3011485721217131E-2</v>
      </c>
      <c r="R110" s="48">
        <v>18563.400390999999</v>
      </c>
      <c r="S110" s="15">
        <f t="shared" si="11"/>
        <v>1.5809120819534339E-3</v>
      </c>
    </row>
    <row r="111" spans="2:19" x14ac:dyDescent="0.35">
      <c r="B111" s="95">
        <v>45089</v>
      </c>
      <c r="C111" s="48">
        <v>2715.6499020000001</v>
      </c>
      <c r="D111" s="15">
        <f t="shared" si="6"/>
        <v>3.0138059508673543E-2</v>
      </c>
      <c r="F111" s="48">
        <v>22968.550781000002</v>
      </c>
      <c r="G111" s="15">
        <f t="shared" si="7"/>
        <v>4.0551050862931426E-2</v>
      </c>
      <c r="I111" s="48">
        <v>5044.7001950000003</v>
      </c>
      <c r="J111" s="15">
        <f t="shared" si="8"/>
        <v>3.4014900333077192E-2</v>
      </c>
      <c r="L111" s="48">
        <v>22968.550781000002</v>
      </c>
      <c r="M111" s="15">
        <f t="shared" si="9"/>
        <v>4.0551050862931426E-2</v>
      </c>
      <c r="O111" s="48">
        <v>570.90002400000003</v>
      </c>
      <c r="P111" s="15">
        <f t="shared" si="10"/>
        <v>3.80943932045954E-2</v>
      </c>
      <c r="R111" s="48">
        <v>18826</v>
      </c>
      <c r="S111" s="15">
        <f t="shared" si="11"/>
        <v>1.4146094113625551E-2</v>
      </c>
    </row>
    <row r="112" spans="2:19" x14ac:dyDescent="0.35">
      <c r="B112" s="95">
        <v>45093</v>
      </c>
      <c r="C112" s="48">
        <v>2715.6499020000001</v>
      </c>
      <c r="D112" s="15">
        <f t="shared" si="6"/>
        <v>0</v>
      </c>
      <c r="F112" s="48">
        <v>22968.550781000002</v>
      </c>
      <c r="G112" s="15">
        <f t="shared" si="7"/>
        <v>0</v>
      </c>
      <c r="I112" s="48">
        <v>5044.7001950000003</v>
      </c>
      <c r="J112" s="15">
        <f t="shared" si="8"/>
        <v>0</v>
      </c>
      <c r="L112" s="48">
        <v>22968.550781000002</v>
      </c>
      <c r="M112" s="15">
        <f t="shared" si="9"/>
        <v>0</v>
      </c>
      <c r="O112" s="48">
        <v>570.90002400000003</v>
      </c>
      <c r="P112" s="15">
        <f t="shared" si="10"/>
        <v>0</v>
      </c>
      <c r="R112" s="48">
        <v>18826</v>
      </c>
      <c r="S112" s="15">
        <f t="shared" si="11"/>
        <v>0</v>
      </c>
    </row>
  </sheetData>
  <mergeCells count="12">
    <mergeCell ref="U52:V52"/>
    <mergeCell ref="R4:S4"/>
    <mergeCell ref="U4:V4"/>
    <mergeCell ref="U12:V12"/>
    <mergeCell ref="U22:V22"/>
    <mergeCell ref="U32:V32"/>
    <mergeCell ref="U42:V42"/>
    <mergeCell ref="B4:D4"/>
    <mergeCell ref="F4:G4"/>
    <mergeCell ref="I4:J4"/>
    <mergeCell ref="L4:M4"/>
    <mergeCell ref="O4:P4"/>
  </mergeCells>
  <pageMargins left="0.25" right="0.25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4AC3-DBFB-4775-9C2A-B7BE42655231}">
  <sheetPr>
    <pageSetUpPr fitToPage="1"/>
  </sheetPr>
  <dimension ref="B2:N43"/>
  <sheetViews>
    <sheetView showGridLines="0" tabSelected="1" topLeftCell="A21" zoomScale="89" zoomScaleNormal="89" workbookViewId="0">
      <selection activeCell="E16" sqref="E16"/>
    </sheetView>
  </sheetViews>
  <sheetFormatPr defaultRowHeight="14.5" x14ac:dyDescent="0.35"/>
  <cols>
    <col min="1" max="1" width="1.81640625" customWidth="1"/>
    <col min="2" max="2" width="27.1796875" customWidth="1"/>
    <col min="3" max="3" width="9.54296875" bestFit="1" customWidth="1"/>
    <col min="4" max="4" width="9.6328125" bestFit="1" customWidth="1"/>
    <col min="5" max="5" width="10.81640625" bestFit="1" customWidth="1"/>
    <col min="6" max="6" width="11.1796875" bestFit="1" customWidth="1"/>
    <col min="7" max="7" width="10.1796875" customWidth="1"/>
    <col min="8" max="8" width="10.81640625" customWidth="1"/>
    <col min="9" max="9" width="8.08984375" customWidth="1"/>
    <col min="10" max="10" width="12" bestFit="1" customWidth="1"/>
    <col min="11" max="11" width="11.6328125" customWidth="1"/>
    <col min="12" max="12" width="4.36328125" customWidth="1"/>
    <col min="13" max="13" width="19.36328125" bestFit="1" customWidth="1"/>
  </cols>
  <sheetData>
    <row r="2" spans="2:14" ht="18.5" x14ac:dyDescent="0.45">
      <c r="B2" s="146" t="s">
        <v>165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4" spans="2:14" x14ac:dyDescent="0.35">
      <c r="B4" s="88" t="s">
        <v>199</v>
      </c>
    </row>
    <row r="6" spans="2:14" x14ac:dyDescent="0.35">
      <c r="B6" s="13" t="s">
        <v>198</v>
      </c>
      <c r="M6" s="143" t="s">
        <v>210</v>
      </c>
      <c r="N6" s="143"/>
    </row>
    <row r="7" spans="2:14" x14ac:dyDescent="0.35">
      <c r="B7" s="87"/>
      <c r="C7" s="87"/>
      <c r="D7" s="87"/>
      <c r="E7" s="87"/>
      <c r="F7" s="87"/>
      <c r="G7" s="87"/>
      <c r="H7" s="87" t="s">
        <v>197</v>
      </c>
      <c r="I7" s="87" t="s">
        <v>197</v>
      </c>
      <c r="J7" s="87" t="s">
        <v>196</v>
      </c>
      <c r="K7" s="87" t="s">
        <v>195</v>
      </c>
    </row>
    <row r="8" spans="2:14" ht="16.5" x14ac:dyDescent="0.35">
      <c r="B8" s="65" t="s">
        <v>194</v>
      </c>
      <c r="C8" s="65"/>
      <c r="D8" s="65" t="s">
        <v>193</v>
      </c>
      <c r="E8" s="65" t="s">
        <v>171</v>
      </c>
      <c r="F8" s="65" t="s">
        <v>192</v>
      </c>
      <c r="G8" s="65" t="s">
        <v>191</v>
      </c>
      <c r="H8" s="65" t="s">
        <v>190</v>
      </c>
      <c r="I8" s="65" t="s">
        <v>189</v>
      </c>
      <c r="J8" s="65" t="s">
        <v>188</v>
      </c>
      <c r="K8" s="65" t="s">
        <v>187</v>
      </c>
      <c r="M8" s="144" t="s">
        <v>149</v>
      </c>
      <c r="N8" s="145" t="s">
        <v>209</v>
      </c>
    </row>
    <row r="9" spans="2:14" x14ac:dyDescent="0.35">
      <c r="M9" s="45">
        <v>2000</v>
      </c>
      <c r="N9" s="91">
        <v>-0.14649999999999999</v>
      </c>
    </row>
    <row r="10" spans="2:14" x14ac:dyDescent="0.35">
      <c r="B10" s="160" t="s">
        <v>186</v>
      </c>
      <c r="C10" s="86"/>
      <c r="D10" s="160" t="s">
        <v>182</v>
      </c>
      <c r="E10" s="157">
        <f>'Beta-Comps'!F3</f>
        <v>1219</v>
      </c>
      <c r="F10" s="157">
        <f>'Beta-Comps'!E3</f>
        <v>638066.75</v>
      </c>
      <c r="G10" s="85">
        <v>0.3</v>
      </c>
      <c r="H10" s="66">
        <f>E10/F10</f>
        <v>1.9104584277428655E-3</v>
      </c>
      <c r="I10" s="66">
        <f>E10/(E10+F10)</f>
        <v>1.906815535932093E-3</v>
      </c>
      <c r="J10" s="169">
        <f>'Beta-Regression '!V6</f>
        <v>0.69795308656667276</v>
      </c>
      <c r="K10" s="84">
        <f>J10/(1+(1-G10)*H10)</f>
        <v>0.69702094588840269</v>
      </c>
      <c r="M10" s="45">
        <v>2001</v>
      </c>
      <c r="N10" s="91">
        <v>-0.1618</v>
      </c>
    </row>
    <row r="11" spans="2:14" x14ac:dyDescent="0.35">
      <c r="B11" s="160" t="s">
        <v>185</v>
      </c>
      <c r="C11" s="86"/>
      <c r="D11" s="160" t="s">
        <v>182</v>
      </c>
      <c r="E11" s="157">
        <f>'Beta-Comps'!F4</f>
        <v>270.52</v>
      </c>
      <c r="F11" s="157">
        <f>'Beta-Comps'!E4</f>
        <v>221452.92</v>
      </c>
      <c r="G11" s="85">
        <v>0.3</v>
      </c>
      <c r="H11" s="66">
        <f>E11/F11</f>
        <v>1.2215689005139331E-3</v>
      </c>
      <c r="I11" s="66">
        <f>E11/(E11+F11)</f>
        <v>1.2200784905736623E-3</v>
      </c>
      <c r="J11" s="169">
        <f>'Beta-Regression '!V7</f>
        <v>0.47346270589594341</v>
      </c>
      <c r="K11" s="84">
        <f>J11/(1+(1-G11)*H11)</f>
        <v>0.47305819467082327</v>
      </c>
      <c r="M11" s="45">
        <v>2002</v>
      </c>
      <c r="N11" s="91">
        <v>3.2500000000000001E-2</v>
      </c>
    </row>
    <row r="12" spans="2:14" x14ac:dyDescent="0.35">
      <c r="B12" s="160" t="s">
        <v>184</v>
      </c>
      <c r="C12" s="86"/>
      <c r="D12" s="160" t="s">
        <v>182</v>
      </c>
      <c r="E12" s="157">
        <f>'Beta-Comps'!F5</f>
        <v>2997.37</v>
      </c>
      <c r="F12" s="157">
        <f>'Beta-Comps'!E5</f>
        <v>121510.83</v>
      </c>
      <c r="G12" s="85">
        <v>0.3</v>
      </c>
      <c r="H12" s="66">
        <f>E12/F12</f>
        <v>2.4667513175574553E-2</v>
      </c>
      <c r="I12" s="66">
        <f>E12/(E12+F12)</f>
        <v>2.4073675468764304E-2</v>
      </c>
      <c r="J12" s="169">
        <f>'Beta-Regression '!V8</f>
        <v>0.58328452244698514</v>
      </c>
      <c r="K12" s="84">
        <f>J12/(1+(1-G12)*H12)</f>
        <v>0.57338375648947992</v>
      </c>
      <c r="M12" s="45">
        <v>2003</v>
      </c>
      <c r="N12" s="91">
        <v>0.71900000000000008</v>
      </c>
    </row>
    <row r="13" spans="2:14" x14ac:dyDescent="0.35">
      <c r="B13" s="160" t="s">
        <v>183</v>
      </c>
      <c r="C13" s="86"/>
      <c r="D13" s="160" t="s">
        <v>182</v>
      </c>
      <c r="E13" s="157">
        <f>'Beta-Comps'!F6</f>
        <v>1129.58</v>
      </c>
      <c r="F13" s="157">
        <f>'Beta-Comps'!E6</f>
        <v>109429.23</v>
      </c>
      <c r="G13" s="85">
        <v>0.3</v>
      </c>
      <c r="H13" s="66">
        <f>E13/F13</f>
        <v>1.0322470513591295E-2</v>
      </c>
      <c r="I13" s="66">
        <f>E13/(E13+F13)</f>
        <v>1.0217005772764739E-2</v>
      </c>
      <c r="J13" s="169">
        <f>'Beta-Regression '!V9</f>
        <v>0.6179477163726298</v>
      </c>
      <c r="K13" s="84">
        <f>J13/(1+(1-G13)*H13)</f>
        <v>0.6135146257290085</v>
      </c>
      <c r="M13" s="45">
        <v>2004</v>
      </c>
      <c r="N13" s="91">
        <v>0.10679999999999999</v>
      </c>
    </row>
    <row r="14" spans="2:14" x14ac:dyDescent="0.35">
      <c r="B14" s="160" t="s">
        <v>335</v>
      </c>
      <c r="C14" s="86"/>
      <c r="D14" s="160" t="s">
        <v>182</v>
      </c>
      <c r="E14" s="157">
        <f>'Beta-Comps'!F7</f>
        <v>3883.8</v>
      </c>
      <c r="F14" s="157">
        <f>'Beta-Comps'!E7</f>
        <v>106689.9</v>
      </c>
      <c r="G14" s="85">
        <v>0.3</v>
      </c>
      <c r="H14" s="66">
        <f>E14/F14</f>
        <v>3.6402696037769279E-2</v>
      </c>
      <c r="I14" s="66">
        <f>E14/(E14+F14)</f>
        <v>3.5124084660276361E-2</v>
      </c>
      <c r="J14" s="169">
        <f>'Beta-Regression '!V10</f>
        <v>0.77083814228316261</v>
      </c>
      <c r="K14" s="84">
        <f>J14/(1+(1-G14)*H14)</f>
        <v>0.75168381995317735</v>
      </c>
      <c r="M14" s="45">
        <v>2005</v>
      </c>
      <c r="N14" s="91">
        <v>0.36340000000000006</v>
      </c>
    </row>
    <row r="15" spans="2:14" x14ac:dyDescent="0.35">
      <c r="M15" s="45">
        <v>2006</v>
      </c>
      <c r="N15" s="91">
        <v>0.39829999999999999</v>
      </c>
    </row>
    <row r="16" spans="2:14" x14ac:dyDescent="0.35">
      <c r="F16" s="83" t="s">
        <v>181</v>
      </c>
      <c r="G16" s="82">
        <f>AVERAGE(G10:G14)</f>
        <v>0.3</v>
      </c>
      <c r="H16" s="81">
        <f>AVERAGE(H10:H14)</f>
        <v>1.4904941411038385E-2</v>
      </c>
      <c r="I16" s="81">
        <f>AVERAGE(I10:I14)</f>
        <v>1.4508331985662232E-2</v>
      </c>
      <c r="J16" s="80">
        <f>AVERAGE(J10:J14)</f>
        <v>0.6286972347130787</v>
      </c>
      <c r="K16" s="80">
        <f>AVERAGE(K10:K14)</f>
        <v>0.62173226854617825</v>
      </c>
      <c r="M16" s="45">
        <v>2007</v>
      </c>
      <c r="N16" s="91">
        <v>0.54770000000000008</v>
      </c>
    </row>
    <row r="17" spans="2:14" x14ac:dyDescent="0.35">
      <c r="F17" s="53" t="s">
        <v>146</v>
      </c>
      <c r="G17" s="79">
        <f>MEDIAN(G10:G14)</f>
        <v>0.3</v>
      </c>
      <c r="H17" s="78">
        <f>MEDIAN(H10:H14)</f>
        <v>1.0322470513591295E-2</v>
      </c>
      <c r="I17" s="78">
        <f>MEDIAN(I10:I14)</f>
        <v>1.0217005772764739E-2</v>
      </c>
      <c r="J17" s="77">
        <f>MEDIAN(J10:J14)</f>
        <v>0.6179477163726298</v>
      </c>
      <c r="K17" s="77">
        <f>MEDIAN(K10:K14)</f>
        <v>0.6135146257290085</v>
      </c>
      <c r="M17" s="45">
        <v>2008</v>
      </c>
      <c r="N17" s="91">
        <v>-0.51790000000000003</v>
      </c>
    </row>
    <row r="18" spans="2:14" x14ac:dyDescent="0.35">
      <c r="M18" s="45">
        <v>2009</v>
      </c>
      <c r="N18" s="91">
        <v>0.75760000000000005</v>
      </c>
    </row>
    <row r="19" spans="2:14" x14ac:dyDescent="0.35">
      <c r="M19" s="45">
        <v>2010</v>
      </c>
      <c r="N19" s="91">
        <v>0.17949999999999999</v>
      </c>
    </row>
    <row r="20" spans="2:14" x14ac:dyDescent="0.35">
      <c r="B20" s="53" t="s">
        <v>158</v>
      </c>
      <c r="C20" s="53"/>
      <c r="D20" s="53"/>
      <c r="E20" s="53"/>
      <c r="G20" s="53" t="s">
        <v>163</v>
      </c>
      <c r="H20" s="53"/>
      <c r="I20" s="53"/>
      <c r="J20" s="65"/>
      <c r="K20" s="65"/>
      <c r="M20" s="45">
        <v>2011</v>
      </c>
      <c r="N20" s="91">
        <v>-0.2462</v>
      </c>
    </row>
    <row r="21" spans="2:14" x14ac:dyDescent="0.35">
      <c r="M21" s="45">
        <v>2012</v>
      </c>
      <c r="N21" s="91">
        <v>0.27699999999999997</v>
      </c>
    </row>
    <row r="22" spans="2:14" x14ac:dyDescent="0.35">
      <c r="B22" t="s">
        <v>180</v>
      </c>
      <c r="D22" s="15"/>
      <c r="E22" s="73">
        <v>5.6399999999999999E-2</v>
      </c>
      <c r="G22" t="s">
        <v>179</v>
      </c>
      <c r="K22" s="73">
        <v>7.034E-2</v>
      </c>
      <c r="M22" s="45">
        <v>2013</v>
      </c>
      <c r="N22" s="91">
        <v>6.7599999999999993E-2</v>
      </c>
    </row>
    <row r="23" spans="2:14" x14ac:dyDescent="0.35">
      <c r="B23" t="s">
        <v>169</v>
      </c>
      <c r="E23" s="58">
        <f>G17</f>
        <v>0.3</v>
      </c>
      <c r="G23" t="s">
        <v>178</v>
      </c>
      <c r="K23" s="58">
        <f>N35-K22</f>
        <v>9.7377391304347846E-2</v>
      </c>
      <c r="M23" s="45">
        <v>2014</v>
      </c>
      <c r="N23" s="91">
        <v>0.31390000000000001</v>
      </c>
    </row>
    <row r="24" spans="2:14" ht="16.5" x14ac:dyDescent="0.35">
      <c r="B24" s="68" t="s">
        <v>177</v>
      </c>
      <c r="C24" s="68"/>
      <c r="D24" s="68"/>
      <c r="E24" s="76">
        <f>E22*(1-E23)</f>
        <v>3.9479999999999994E-2</v>
      </c>
      <c r="G24" t="s">
        <v>176</v>
      </c>
      <c r="K24" s="61">
        <f>K33</f>
        <v>0.61983710608061748</v>
      </c>
      <c r="M24" s="45">
        <v>2015</v>
      </c>
      <c r="N24" s="91">
        <v>-4.0599999999999997E-2</v>
      </c>
    </row>
    <row r="25" spans="2:14" x14ac:dyDescent="0.35">
      <c r="G25" s="68" t="s">
        <v>163</v>
      </c>
      <c r="H25" s="68"/>
      <c r="I25" s="68"/>
      <c r="J25" s="68"/>
      <c r="K25" s="75">
        <f>K22+K23*K24</f>
        <v>0.13069812042376686</v>
      </c>
      <c r="M25" s="45">
        <v>2016</v>
      </c>
      <c r="N25" s="91">
        <v>3.0099999999999998E-2</v>
      </c>
    </row>
    <row r="26" spans="2:14" x14ac:dyDescent="0.35">
      <c r="M26" s="45">
        <v>2017</v>
      </c>
      <c r="N26" s="91">
        <v>0.28649999999999998</v>
      </c>
    </row>
    <row r="27" spans="2:14" x14ac:dyDescent="0.35">
      <c r="M27" s="45">
        <v>2018</v>
      </c>
      <c r="N27" s="91">
        <v>3.15E-2</v>
      </c>
    </row>
    <row r="28" spans="2:14" x14ac:dyDescent="0.35">
      <c r="B28" s="53" t="s">
        <v>175</v>
      </c>
      <c r="C28" s="53"/>
      <c r="D28" s="53"/>
      <c r="E28" s="53"/>
      <c r="G28" s="53" t="s">
        <v>167</v>
      </c>
      <c r="H28" s="53"/>
      <c r="I28" s="53"/>
      <c r="J28" s="65"/>
      <c r="K28" s="65"/>
      <c r="M28" s="45">
        <v>2019</v>
      </c>
      <c r="N28" s="91">
        <v>0.1202</v>
      </c>
    </row>
    <row r="29" spans="2:14" x14ac:dyDescent="0.35">
      <c r="M29" s="45">
        <v>2020</v>
      </c>
      <c r="N29" s="91">
        <v>0.14169999999999999</v>
      </c>
    </row>
    <row r="30" spans="2:14" x14ac:dyDescent="0.35">
      <c r="D30" s="74" t="s">
        <v>174</v>
      </c>
      <c r="E30" s="74" t="s">
        <v>173</v>
      </c>
      <c r="G30" t="s">
        <v>172</v>
      </c>
      <c r="K30" s="61">
        <f>K17</f>
        <v>0.6135146257290085</v>
      </c>
      <c r="M30" s="45">
        <v>2021</v>
      </c>
      <c r="N30" s="91">
        <v>0.2412</v>
      </c>
    </row>
    <row r="31" spans="2:14" x14ac:dyDescent="0.35">
      <c r="B31" t="s">
        <v>171</v>
      </c>
      <c r="C31" s="157">
        <f>E12</f>
        <v>2997.37</v>
      </c>
      <c r="D31" s="15">
        <f>C31/$C$33</f>
        <v>2.4073675468764304E-2</v>
      </c>
      <c r="E31" s="156">
        <f>I16</f>
        <v>1.4508331985662232E-2</v>
      </c>
      <c r="G31" t="s">
        <v>170</v>
      </c>
      <c r="K31" s="62">
        <f>E35</f>
        <v>1.4721922525123929E-2</v>
      </c>
      <c r="M31" s="45">
        <v>2022</v>
      </c>
      <c r="N31" s="91">
        <v>4.3200000000000002E-2</v>
      </c>
    </row>
    <row r="32" spans="2:14" x14ac:dyDescent="0.35">
      <c r="B32" t="s">
        <v>9</v>
      </c>
      <c r="C32" s="157">
        <f>F12</f>
        <v>121510.83</v>
      </c>
      <c r="D32" s="15">
        <f>C32/$C$33</f>
        <v>0.97592632453123573</v>
      </c>
      <c r="E32" s="62">
        <f>E33-E31</f>
        <v>0.98549166801433774</v>
      </c>
      <c r="G32" t="s">
        <v>169</v>
      </c>
      <c r="K32" s="62">
        <f>E23</f>
        <v>0.3</v>
      </c>
    </row>
    <row r="33" spans="2:14" x14ac:dyDescent="0.35">
      <c r="B33" s="72" t="s">
        <v>168</v>
      </c>
      <c r="C33" s="71">
        <f>SUM(C31:C32)</f>
        <v>124508.2</v>
      </c>
      <c r="D33" s="70">
        <f>C33/$C$33</f>
        <v>1</v>
      </c>
      <c r="E33" s="69">
        <f>D33</f>
        <v>1</v>
      </c>
      <c r="G33" s="68" t="s">
        <v>167</v>
      </c>
      <c r="H33" s="68"/>
      <c r="I33" s="68"/>
      <c r="J33" s="68"/>
      <c r="K33" s="67">
        <f>K30*(1+(1-K32)*K31)</f>
        <v>0.61983710608061748</v>
      </c>
      <c r="M33" t="s">
        <v>208</v>
      </c>
      <c r="N33" s="62">
        <f>AVERAGE(N9:N31)</f>
        <v>0.15411739130434784</v>
      </c>
    </row>
    <row r="34" spans="2:14" x14ac:dyDescent="0.35">
      <c r="M34" t="s">
        <v>207</v>
      </c>
      <c r="N34" s="92">
        <v>1.3599999999999999E-2</v>
      </c>
    </row>
    <row r="35" spans="2:14" ht="15" thickBot="1" x14ac:dyDescent="0.4">
      <c r="B35" t="s">
        <v>166</v>
      </c>
      <c r="D35" s="66">
        <f>D31/D32</f>
        <v>2.4667513175574553E-2</v>
      </c>
      <c r="E35" s="66">
        <f>E31/E32</f>
        <v>1.4721922525123929E-2</v>
      </c>
      <c r="G35" s="53" t="s">
        <v>165</v>
      </c>
      <c r="H35" s="53"/>
      <c r="I35" s="53"/>
      <c r="J35" s="65"/>
      <c r="K35" s="65"/>
      <c r="M35" s="147" t="s">
        <v>206</v>
      </c>
      <c r="N35" s="148">
        <f>SUM(N33:N34)</f>
        <v>0.16771739130434785</v>
      </c>
    </row>
    <row r="37" spans="2:14" x14ac:dyDescent="0.35">
      <c r="B37" s="63" t="s">
        <v>164</v>
      </c>
      <c r="C37" s="63"/>
      <c r="D37" s="63"/>
      <c r="E37" s="63"/>
      <c r="G37" t="s">
        <v>163</v>
      </c>
      <c r="K37" s="62">
        <f>K25</f>
        <v>0.13069812042376686</v>
      </c>
    </row>
    <row r="38" spans="2:14" x14ac:dyDescent="0.35">
      <c r="B38" s="64" t="s">
        <v>162</v>
      </c>
      <c r="C38" s="64"/>
      <c r="D38" s="64"/>
      <c r="E38" s="63"/>
      <c r="G38" t="s">
        <v>161</v>
      </c>
      <c r="K38" s="62">
        <f>E32</f>
        <v>0.98549166801433774</v>
      </c>
    </row>
    <row r="39" spans="2:14" x14ac:dyDescent="0.35">
      <c r="B39" s="64" t="s">
        <v>160</v>
      </c>
      <c r="C39" s="64"/>
      <c r="D39" s="64"/>
      <c r="E39" s="63"/>
    </row>
    <row r="40" spans="2:14" x14ac:dyDescent="0.35">
      <c r="B40" s="64" t="s">
        <v>159</v>
      </c>
      <c r="C40" s="64"/>
      <c r="D40" s="64"/>
      <c r="E40" s="63"/>
      <c r="G40" t="s">
        <v>158</v>
      </c>
      <c r="K40" s="62">
        <f>E24</f>
        <v>3.9479999999999994E-2</v>
      </c>
    </row>
    <row r="41" spans="2:14" x14ac:dyDescent="0.35">
      <c r="B41" s="64" t="s">
        <v>157</v>
      </c>
      <c r="C41" s="64"/>
      <c r="D41" s="64"/>
      <c r="E41" s="63"/>
      <c r="G41" t="s">
        <v>156</v>
      </c>
      <c r="K41" s="62">
        <f>E31</f>
        <v>1.4508331985662232E-2</v>
      </c>
      <c r="L41" s="61"/>
    </row>
    <row r="43" spans="2:14" x14ac:dyDescent="0.35">
      <c r="G43" s="60" t="s">
        <v>155</v>
      </c>
      <c r="H43" s="60"/>
      <c r="I43" s="60"/>
      <c r="J43" s="60"/>
      <c r="K43" s="59">
        <f>(K37*K38)+(K40*K41)</f>
        <v>0.12937469764955073</v>
      </c>
    </row>
  </sheetData>
  <mergeCells count="1">
    <mergeCell ref="M6:N6"/>
  </mergeCells>
  <pageMargins left="0.25" right="0.25" top="0.75" bottom="0.75" header="0.3" footer="0.3"/>
  <pageSetup scale="65" orientation="portrait" r:id="rId1"/>
  <customProperties>
    <customPr name="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1946-7BD6-4C11-A2A7-F56CA69D7C50}">
  <sheetPr>
    <pageSetUpPr fitToPage="1"/>
  </sheetPr>
  <dimension ref="A2:K63"/>
  <sheetViews>
    <sheetView showGridLines="0" workbookViewId="0">
      <selection activeCell="A2" sqref="A2"/>
    </sheetView>
  </sheetViews>
  <sheetFormatPr defaultRowHeight="14.5" x14ac:dyDescent="0.35"/>
  <cols>
    <col min="1" max="1" width="2.1796875" customWidth="1"/>
    <col min="7" max="9" width="10.54296875" bestFit="1" customWidth="1"/>
    <col min="10" max="10" width="13.36328125" bestFit="1" customWidth="1"/>
    <col min="11" max="11" width="10.54296875" bestFit="1" customWidth="1"/>
  </cols>
  <sheetData>
    <row r="2" spans="2:11" x14ac:dyDescent="0.35">
      <c r="B2" s="94" t="str">
        <f>"Calculation of ROIC"</f>
        <v>Calculation of ROIC</v>
      </c>
      <c r="C2" s="94"/>
      <c r="D2" s="94"/>
      <c r="E2" s="94"/>
      <c r="F2" s="94"/>
      <c r="G2" s="103">
        <f>'Raw FS&amp;CF'!J$3</f>
        <v>43525</v>
      </c>
      <c r="H2" s="103">
        <f>'Raw FS&amp;CF'!K$3</f>
        <v>43891</v>
      </c>
      <c r="I2" s="103">
        <f>'Raw FS&amp;CF'!L$3</f>
        <v>44256</v>
      </c>
      <c r="J2" s="103">
        <f>'Raw FS&amp;CF'!M$3</f>
        <v>44621</v>
      </c>
      <c r="K2" s="103">
        <f>'Raw FS&amp;CF'!N$3</f>
        <v>44986</v>
      </c>
    </row>
    <row r="4" spans="2:11" x14ac:dyDescent="0.35">
      <c r="B4" s="13" t="s">
        <v>282</v>
      </c>
    </row>
    <row r="5" spans="2:11" x14ac:dyDescent="0.35">
      <c r="B5" s="117" t="str">
        <f>'Raw FS&amp;CF'!B36</f>
        <v>Inventories</v>
      </c>
      <c r="C5" s="117"/>
      <c r="D5" s="117"/>
      <c r="E5" s="117"/>
      <c r="F5" s="117"/>
      <c r="G5" s="111">
        <f>'Raw FS&amp;CF'!J36</f>
        <v>781</v>
      </c>
      <c r="H5" s="111">
        <f>'Raw FS&amp;CF'!K36</f>
        <v>741</v>
      </c>
      <c r="I5" s="111">
        <f>'Raw FS&amp;CF'!L36</f>
        <v>1091</v>
      </c>
      <c r="J5" s="111">
        <f>'Raw FS&amp;CF'!M36</f>
        <v>1367</v>
      </c>
      <c r="K5" s="111">
        <f>'Raw FS&amp;CF'!N36</f>
        <v>1193</v>
      </c>
    </row>
    <row r="6" spans="2:11" x14ac:dyDescent="0.35">
      <c r="B6" s="117" t="str">
        <f>'Raw FS&amp;CF'!B37</f>
        <v>Trade receivables</v>
      </c>
      <c r="C6" s="117"/>
      <c r="D6" s="117"/>
      <c r="E6" s="117"/>
      <c r="F6" s="117"/>
      <c r="G6" s="111">
        <f>'Raw FS&amp;CF'!J37</f>
        <v>394</v>
      </c>
      <c r="H6" s="111">
        <f>'Raw FS&amp;CF'!K37</f>
        <v>320</v>
      </c>
      <c r="I6" s="111">
        <f>'Raw FS&amp;CF'!L37</f>
        <v>257</v>
      </c>
      <c r="J6" s="111">
        <f>'Raw FS&amp;CF'!M37</f>
        <v>332</v>
      </c>
      <c r="K6" s="111">
        <f>'Raw FS&amp;CF'!N37</f>
        <v>329</v>
      </c>
    </row>
    <row r="7" spans="2:11" x14ac:dyDescent="0.35">
      <c r="B7" s="117" t="str">
        <f>'Raw FS&amp;CF'!B39</f>
        <v>Short term loans</v>
      </c>
      <c r="C7" s="117"/>
      <c r="D7" s="117"/>
      <c r="E7" s="117"/>
      <c r="F7" s="117"/>
      <c r="G7" s="111">
        <f>'Raw FS&amp;CF'!J39</f>
        <v>1</v>
      </c>
      <c r="H7" s="111">
        <f>'Raw FS&amp;CF'!K39</f>
        <v>0</v>
      </c>
      <c r="I7" s="111">
        <f>'Raw FS&amp;CF'!L39</f>
        <v>5</v>
      </c>
      <c r="J7" s="111">
        <f>'Raw FS&amp;CF'!M39</f>
        <v>3</v>
      </c>
      <c r="K7" s="111">
        <f>'Raw FS&amp;CF'!N39</f>
        <v>560</v>
      </c>
    </row>
    <row r="8" spans="2:11" x14ac:dyDescent="0.35">
      <c r="B8" t="str">
        <f>'Raw FS&amp;CF'!B40</f>
        <v>Other asset items</v>
      </c>
      <c r="G8" s="108">
        <f>'Raw FS&amp;CF'!J40</f>
        <v>1686</v>
      </c>
      <c r="H8" s="108">
        <f>'Raw FS&amp;CF'!K40</f>
        <v>1834</v>
      </c>
      <c r="I8" s="108">
        <f>'Raw FS&amp;CF'!L40</f>
        <v>1745</v>
      </c>
      <c r="J8" s="108">
        <f>'Raw FS&amp;CF'!M40</f>
        <v>1576</v>
      </c>
      <c r="K8" s="108">
        <f>'Raw FS&amp;CF'!N40</f>
        <v>988</v>
      </c>
    </row>
    <row r="9" spans="2:11" x14ac:dyDescent="0.35">
      <c r="B9" s="115" t="s">
        <v>85</v>
      </c>
      <c r="C9" s="116"/>
      <c r="D9" s="116"/>
      <c r="E9" s="116"/>
      <c r="F9" s="116"/>
      <c r="G9" s="119">
        <f>SUM(G5:G8)</f>
        <v>2862</v>
      </c>
      <c r="H9" s="119">
        <f t="shared" ref="H9:K9" si="0">SUM(H5:H8)</f>
        <v>2895</v>
      </c>
      <c r="I9" s="119">
        <f t="shared" si="0"/>
        <v>3098</v>
      </c>
      <c r="J9" s="119">
        <f t="shared" si="0"/>
        <v>3278</v>
      </c>
      <c r="K9" s="119">
        <f t="shared" si="0"/>
        <v>3070</v>
      </c>
    </row>
    <row r="10" spans="2:11" x14ac:dyDescent="0.35">
      <c r="G10" s="108"/>
      <c r="H10" s="108"/>
      <c r="I10" s="108"/>
      <c r="J10" s="108"/>
      <c r="K10" s="108"/>
    </row>
    <row r="11" spans="2:11" x14ac:dyDescent="0.35">
      <c r="B11" s="13" t="s">
        <v>283</v>
      </c>
      <c r="G11" s="108"/>
      <c r="H11" s="108"/>
      <c r="I11" s="108"/>
      <c r="J11" s="108"/>
      <c r="K11" s="108"/>
    </row>
    <row r="12" spans="2:11" x14ac:dyDescent="0.35">
      <c r="B12" s="117" t="str">
        <f>'Raw FS&amp;CF'!B14</f>
        <v>Trade Payables</v>
      </c>
      <c r="C12" s="117"/>
      <c r="D12" s="117"/>
      <c r="E12" s="117"/>
      <c r="F12" s="117"/>
      <c r="G12" s="111">
        <f>'Raw FS&amp;CF'!J14</f>
        <v>1141</v>
      </c>
      <c r="H12" s="111">
        <f>'Raw FS&amp;CF'!K14</f>
        <v>1047</v>
      </c>
      <c r="I12" s="111">
        <f>'Raw FS&amp;CF'!L14</f>
        <v>1313</v>
      </c>
      <c r="J12" s="111">
        <f>'Raw FS&amp;CF'!M14</f>
        <v>1285</v>
      </c>
      <c r="K12" s="111">
        <f>'Raw FS&amp;CF'!N14</f>
        <v>1449</v>
      </c>
    </row>
    <row r="13" spans="2:11" x14ac:dyDescent="0.35">
      <c r="B13" s="117" t="str">
        <f>'Raw FS&amp;CF'!B15</f>
        <v>Advance from Customers</v>
      </c>
      <c r="C13" s="117"/>
      <c r="D13" s="117"/>
      <c r="E13" s="117"/>
      <c r="F13" s="117"/>
      <c r="G13" s="111">
        <f>'Raw FS&amp;CF'!J15</f>
        <v>41</v>
      </c>
      <c r="H13" s="111">
        <f>'Raw FS&amp;CF'!K15</f>
        <v>78</v>
      </c>
      <c r="I13" s="111">
        <f>'Raw FS&amp;CF'!L15</f>
        <v>55</v>
      </c>
      <c r="J13" s="111">
        <f>'Raw FS&amp;CF'!M15</f>
        <v>41</v>
      </c>
      <c r="K13" s="111">
        <f>'Raw FS&amp;CF'!N15</f>
        <v>0</v>
      </c>
    </row>
    <row r="14" spans="2:11" x14ac:dyDescent="0.35">
      <c r="B14" s="117" t="str">
        <f>'Raw FS&amp;CF'!B16</f>
        <v>Other liability items</v>
      </c>
      <c r="C14" s="117"/>
      <c r="D14" s="117"/>
      <c r="E14" s="117"/>
      <c r="F14" s="117"/>
      <c r="G14" s="111">
        <f>'Raw FS&amp;CF'!J16</f>
        <v>615</v>
      </c>
      <c r="H14" s="111">
        <f>'Raw FS&amp;CF'!K16</f>
        <v>729</v>
      </c>
      <c r="I14" s="111">
        <f>'Raw FS&amp;CF'!L16</f>
        <v>927</v>
      </c>
      <c r="J14" s="111">
        <f>'Raw FS&amp;CF'!M16</f>
        <v>1121</v>
      </c>
      <c r="K14" s="111">
        <f>'Raw FS&amp;CF'!N16</f>
        <v>1342</v>
      </c>
    </row>
    <row r="15" spans="2:11" x14ac:dyDescent="0.35">
      <c r="B15" s="115" t="s">
        <v>285</v>
      </c>
      <c r="C15" s="116"/>
      <c r="D15" s="116"/>
      <c r="E15" s="116"/>
      <c r="F15" s="116"/>
      <c r="G15" s="119">
        <f>SUM(G12:G14)</f>
        <v>1797</v>
      </c>
      <c r="H15" s="119">
        <f>SUM(H12:H14)</f>
        <v>1854</v>
      </c>
      <c r="I15" s="119">
        <f>SUM(I12:I14)</f>
        <v>2295</v>
      </c>
      <c r="J15" s="119">
        <f>SUM(J12:J14)</f>
        <v>2447</v>
      </c>
      <c r="K15" s="119">
        <f>SUM(K12:K14)</f>
        <v>2791</v>
      </c>
    </row>
    <row r="16" spans="2:11" x14ac:dyDescent="0.35">
      <c r="G16" s="108"/>
      <c r="H16" s="108"/>
      <c r="I16" s="108"/>
      <c r="J16" s="108"/>
      <c r="K16" s="108"/>
    </row>
    <row r="17" spans="1:11" ht="15" thickBot="1" x14ac:dyDescent="0.4">
      <c r="A17" t="s">
        <v>59</v>
      </c>
      <c r="B17" s="118" t="s">
        <v>284</v>
      </c>
      <c r="C17" s="118"/>
      <c r="D17" s="118"/>
      <c r="E17" s="118"/>
      <c r="F17" s="118"/>
      <c r="G17" s="120">
        <f>G9-G15</f>
        <v>1065</v>
      </c>
      <c r="H17" s="120">
        <f t="shared" ref="H17:K17" si="1">H9-H15</f>
        <v>1041</v>
      </c>
      <c r="I17" s="120">
        <f t="shared" si="1"/>
        <v>803</v>
      </c>
      <c r="J17" s="120">
        <f t="shared" si="1"/>
        <v>831</v>
      </c>
      <c r="K17" s="120">
        <f t="shared" si="1"/>
        <v>279</v>
      </c>
    </row>
    <row r="18" spans="1:11" x14ac:dyDescent="0.35">
      <c r="G18" s="108"/>
      <c r="H18" s="108"/>
      <c r="I18" s="108"/>
      <c r="J18" s="108"/>
      <c r="K18" s="108"/>
    </row>
    <row r="19" spans="1:11" x14ac:dyDescent="0.35">
      <c r="B19" s="13" t="s">
        <v>286</v>
      </c>
      <c r="G19" s="108"/>
      <c r="H19" s="108"/>
      <c r="I19" s="108"/>
      <c r="J19" s="108"/>
      <c r="K19" s="108"/>
    </row>
    <row r="20" spans="1:11" x14ac:dyDescent="0.35">
      <c r="B20" s="117" t="str">
        <f>'Raw FS&amp;CF'!B20</f>
        <v>Land</v>
      </c>
      <c r="C20" s="117"/>
      <c r="D20" s="117"/>
      <c r="E20" s="117"/>
      <c r="F20" s="117"/>
      <c r="G20" s="111">
        <f>'Raw FS&amp;CF'!J20</f>
        <v>247</v>
      </c>
      <c r="H20" s="111">
        <f>'Raw FS&amp;CF'!K20</f>
        <v>319</v>
      </c>
      <c r="I20" s="111">
        <f>'Raw FS&amp;CF'!L20</f>
        <v>326</v>
      </c>
      <c r="J20" s="111">
        <f>'Raw FS&amp;CF'!M20</f>
        <v>334</v>
      </c>
      <c r="K20" s="111">
        <f>'Raw FS&amp;CF'!N20</f>
        <v>0</v>
      </c>
    </row>
    <row r="21" spans="1:11" x14ac:dyDescent="0.35">
      <c r="B21" s="117" t="str">
        <f>'Raw FS&amp;CF'!B21</f>
        <v>Building</v>
      </c>
      <c r="C21" s="117"/>
      <c r="D21" s="117"/>
      <c r="E21" s="117"/>
      <c r="F21" s="117"/>
      <c r="G21" s="111">
        <f>'Raw FS&amp;CF'!J21</f>
        <v>660</v>
      </c>
      <c r="H21" s="111">
        <f>'Raw FS&amp;CF'!K21</f>
        <v>732</v>
      </c>
      <c r="I21" s="111">
        <f>'Raw FS&amp;CF'!L21</f>
        <v>758</v>
      </c>
      <c r="J21" s="111">
        <f>'Raw FS&amp;CF'!M21</f>
        <v>782</v>
      </c>
      <c r="K21" s="111">
        <f>'Raw FS&amp;CF'!N21</f>
        <v>0</v>
      </c>
    </row>
    <row r="22" spans="1:11" x14ac:dyDescent="0.35">
      <c r="B22" s="117" t="str">
        <f>'Raw FS&amp;CF'!B22</f>
        <v>Plant Machinery</v>
      </c>
      <c r="C22" s="117"/>
      <c r="D22" s="117"/>
      <c r="E22" s="117"/>
      <c r="F22" s="117"/>
      <c r="G22" s="111">
        <f>'Raw FS&amp;CF'!J22</f>
        <v>1053</v>
      </c>
      <c r="H22" s="111">
        <f>'Raw FS&amp;CF'!K22</f>
        <v>1305</v>
      </c>
      <c r="I22" s="111">
        <f>'Raw FS&amp;CF'!L22</f>
        <v>1407</v>
      </c>
      <c r="J22" s="111">
        <f>'Raw FS&amp;CF'!M22</f>
        <v>1546</v>
      </c>
      <c r="K22" s="111">
        <f>'Raw FS&amp;CF'!N22</f>
        <v>0</v>
      </c>
    </row>
    <row r="23" spans="1:11" x14ac:dyDescent="0.35">
      <c r="B23" s="117" t="str">
        <f>'Raw FS&amp;CF'!B23</f>
        <v>Equipments</v>
      </c>
      <c r="C23" s="117"/>
      <c r="D23" s="117"/>
      <c r="E23" s="117"/>
      <c r="F23" s="117"/>
      <c r="G23" s="111">
        <f>'Raw FS&amp;CF'!J23</f>
        <v>31</v>
      </c>
      <c r="H23" s="111">
        <f>'Raw FS&amp;CF'!K23</f>
        <v>40</v>
      </c>
      <c r="I23" s="111">
        <f>'Raw FS&amp;CF'!L23</f>
        <v>46</v>
      </c>
      <c r="J23" s="111">
        <f>'Raw FS&amp;CF'!M23</f>
        <v>52</v>
      </c>
      <c r="K23" s="111">
        <f>'Raw FS&amp;CF'!N23</f>
        <v>0</v>
      </c>
    </row>
    <row r="24" spans="1:11" x14ac:dyDescent="0.35">
      <c r="B24" s="117" t="str">
        <f>'Raw FS&amp;CF'!B24</f>
        <v>Furniture n fittings</v>
      </c>
      <c r="C24" s="117"/>
      <c r="D24" s="117"/>
      <c r="E24" s="117"/>
      <c r="F24" s="117"/>
      <c r="G24" s="111">
        <f>'Raw FS&amp;CF'!J24</f>
        <v>28</v>
      </c>
      <c r="H24" s="111">
        <f>'Raw FS&amp;CF'!K24</f>
        <v>31</v>
      </c>
      <c r="I24" s="111">
        <f>'Raw FS&amp;CF'!L24</f>
        <v>32</v>
      </c>
      <c r="J24" s="111">
        <f>'Raw FS&amp;CF'!M24</f>
        <v>32</v>
      </c>
      <c r="K24" s="111">
        <f>'Raw FS&amp;CF'!N24</f>
        <v>0</v>
      </c>
    </row>
    <row r="25" spans="1:11" x14ac:dyDescent="0.35">
      <c r="B25" s="117" t="str">
        <f>'Raw FS&amp;CF'!B25</f>
        <v>Vehicles</v>
      </c>
      <c r="C25" s="117"/>
      <c r="D25" s="117"/>
      <c r="E25" s="117"/>
      <c r="F25" s="117"/>
      <c r="G25" s="111">
        <f>'Raw FS&amp;CF'!J25</f>
        <v>3</v>
      </c>
      <c r="H25" s="111">
        <f>'Raw FS&amp;CF'!K25</f>
        <v>5</v>
      </c>
      <c r="I25" s="111">
        <f>'Raw FS&amp;CF'!L25</f>
        <v>5</v>
      </c>
      <c r="J25" s="111">
        <f>'Raw FS&amp;CF'!M25</f>
        <v>6</v>
      </c>
      <c r="K25" s="111">
        <f>'Raw FS&amp;CF'!N25</f>
        <v>0</v>
      </c>
    </row>
    <row r="26" spans="1:11" x14ac:dyDescent="0.35">
      <c r="B26" s="117" t="str">
        <f>'Raw FS&amp;CF'!B26</f>
        <v>Intangible Assets</v>
      </c>
      <c r="C26" s="117"/>
      <c r="D26" s="117"/>
      <c r="E26" s="117"/>
      <c r="F26" s="117"/>
      <c r="G26" s="111">
        <f>'Raw FS&amp;CF'!J26</f>
        <v>134</v>
      </c>
      <c r="H26" s="111">
        <f>'Raw FS&amp;CF'!K26</f>
        <v>143</v>
      </c>
      <c r="I26" s="111">
        <f>'Raw FS&amp;CF'!L26</f>
        <v>136</v>
      </c>
      <c r="J26" s="111">
        <f>'Raw FS&amp;CF'!M26</f>
        <v>140</v>
      </c>
      <c r="K26" s="111">
        <f>'Raw FS&amp;CF'!N26</f>
        <v>142</v>
      </c>
    </row>
    <row r="27" spans="1:11" x14ac:dyDescent="0.35">
      <c r="B27" s="117" t="str">
        <f>'Raw FS&amp;CF'!B27</f>
        <v>Other fixed assets</v>
      </c>
      <c r="C27" s="117"/>
      <c r="D27" s="117"/>
      <c r="E27" s="117"/>
      <c r="F27" s="117"/>
      <c r="G27" s="111">
        <f>'Raw FS&amp;CF'!J27</f>
        <v>40</v>
      </c>
      <c r="H27" s="111">
        <f>'Raw FS&amp;CF'!K27</f>
        <v>43</v>
      </c>
      <c r="I27" s="111">
        <f>'Raw FS&amp;CF'!L27</f>
        <v>46</v>
      </c>
      <c r="J27" s="111">
        <f>'Raw FS&amp;CF'!M27</f>
        <v>57</v>
      </c>
      <c r="K27" s="111">
        <f>'Raw FS&amp;CF'!N27</f>
        <v>0</v>
      </c>
    </row>
    <row r="28" spans="1:11" ht="4" customHeight="1" x14ac:dyDescent="0.35">
      <c r="B28" s="117"/>
      <c r="C28" s="117"/>
      <c r="D28" s="117"/>
      <c r="E28" s="117"/>
      <c r="F28" s="117"/>
      <c r="G28" s="111"/>
      <c r="H28" s="111"/>
      <c r="I28" s="111"/>
      <c r="J28" s="111"/>
      <c r="K28" s="111"/>
    </row>
    <row r="29" spans="1:11" x14ac:dyDescent="0.35">
      <c r="B29" s="115" t="s">
        <v>273</v>
      </c>
      <c r="C29" s="116"/>
      <c r="D29" s="116"/>
      <c r="E29" s="116"/>
      <c r="F29" s="116"/>
      <c r="G29" s="119">
        <f>SUM(G20:G28)</f>
        <v>2196</v>
      </c>
      <c r="H29" s="119">
        <f>SUM(H20:H28)</f>
        <v>2618</v>
      </c>
      <c r="I29" s="119">
        <f>SUM(I20:I28)</f>
        <v>2756</v>
      </c>
      <c r="J29" s="119">
        <f>SUM(J20:J28)</f>
        <v>2949</v>
      </c>
      <c r="K29" s="119">
        <f>SUM(K20:K28)</f>
        <v>142</v>
      </c>
    </row>
    <row r="30" spans="1:11" x14ac:dyDescent="0.35">
      <c r="B30" t="str">
        <f>'Raw FS&amp;CF'!B29</f>
        <v>Accumulated Depreciation</v>
      </c>
      <c r="G30" s="108">
        <f>-'Raw FS&amp;CF'!J29</f>
        <v>-507</v>
      </c>
      <c r="H30" s="108">
        <f>-'Raw FS&amp;CF'!K29</f>
        <v>-739</v>
      </c>
      <c r="I30" s="108">
        <f>-'Raw FS&amp;CF'!L29</f>
        <v>-963</v>
      </c>
      <c r="J30" s="108">
        <f>-'Raw FS&amp;CF'!M29</f>
        <v>-1195</v>
      </c>
      <c r="K30" s="108">
        <f>-'Raw FS&amp;CF'!N29</f>
        <v>0</v>
      </c>
    </row>
    <row r="31" spans="1:11" ht="15" thickBot="1" x14ac:dyDescent="0.4">
      <c r="A31" t="s">
        <v>59</v>
      </c>
      <c r="B31" s="118" t="s">
        <v>287</v>
      </c>
      <c r="C31" s="118"/>
      <c r="D31" s="118"/>
      <c r="E31" s="118"/>
      <c r="F31" s="118"/>
      <c r="G31" s="120">
        <f>SUM(G29:G30)</f>
        <v>1689</v>
      </c>
      <c r="H31" s="120">
        <f t="shared" ref="H31:K31" si="2">SUM(H29:H30)</f>
        <v>1879</v>
      </c>
      <c r="I31" s="120">
        <f t="shared" si="2"/>
        <v>1793</v>
      </c>
      <c r="J31" s="120">
        <f t="shared" si="2"/>
        <v>1754</v>
      </c>
      <c r="K31" s="120">
        <f t="shared" si="2"/>
        <v>142</v>
      </c>
    </row>
    <row r="32" spans="1:11" x14ac:dyDescent="0.35">
      <c r="G32" s="108"/>
      <c r="H32" s="108"/>
      <c r="I32" s="108"/>
      <c r="J32" s="108"/>
      <c r="K32" s="108"/>
    </row>
    <row r="33" spans="1:11" x14ac:dyDescent="0.35">
      <c r="A33" t="s">
        <v>59</v>
      </c>
      <c r="B33" s="13" t="s">
        <v>288</v>
      </c>
      <c r="C33" s="13"/>
      <c r="D33" s="13"/>
      <c r="E33" s="13"/>
      <c r="F33" s="13"/>
      <c r="G33" s="109">
        <f>G31+G17</f>
        <v>2754</v>
      </c>
      <c r="H33" s="109">
        <f>H31+H17</f>
        <v>2920</v>
      </c>
      <c r="I33" s="109">
        <f>I31+I17</f>
        <v>2596</v>
      </c>
      <c r="J33" s="109">
        <f>J31+J17</f>
        <v>2585</v>
      </c>
      <c r="K33" s="109">
        <f>K31+K17</f>
        <v>421</v>
      </c>
    </row>
    <row r="34" spans="1:11" x14ac:dyDescent="0.35">
      <c r="B34" s="13" t="s">
        <v>289</v>
      </c>
      <c r="C34" s="13"/>
      <c r="D34" s="13"/>
      <c r="E34" s="13"/>
      <c r="F34" s="13"/>
      <c r="G34" s="109">
        <f>HistoricalFS!H27+HistoricalFS!H21</f>
        <v>1570.5700000000004</v>
      </c>
      <c r="H34" s="109">
        <f>HistoricalFS!I27+HistoricalFS!I21</f>
        <v>1658.3700000000003</v>
      </c>
      <c r="I34" s="109">
        <f>HistoricalFS!J27+HistoricalFS!J21</f>
        <v>2311.44</v>
      </c>
      <c r="J34" s="109">
        <f>HistoricalFS!K27+HistoricalFS!K21</f>
        <v>2000.7700000000013</v>
      </c>
      <c r="K34" s="109">
        <f>HistoricalFS!L27+HistoricalFS!L21</f>
        <v>2605.0000000000005</v>
      </c>
    </row>
    <row r="36" spans="1:11" ht="15" thickBot="1" x14ac:dyDescent="0.4">
      <c r="A36" t="s">
        <v>59</v>
      </c>
      <c r="B36" s="118" t="s">
        <v>290</v>
      </c>
      <c r="C36" s="118"/>
      <c r="D36" s="118"/>
      <c r="E36" s="118"/>
      <c r="F36" s="118"/>
      <c r="G36" s="121">
        <f>G34/G33</f>
        <v>0.57028685548293401</v>
      </c>
      <c r="H36" s="121">
        <f t="shared" ref="H36:K36" si="3">H34/H33</f>
        <v>0.56793493150684948</v>
      </c>
      <c r="I36" s="121">
        <f t="shared" si="3"/>
        <v>0.89038520801232668</v>
      </c>
      <c r="J36" s="121">
        <f t="shared" si="3"/>
        <v>0.77399226305609337</v>
      </c>
      <c r="K36" s="121">
        <f t="shared" si="3"/>
        <v>6.1876484560570084</v>
      </c>
    </row>
    <row r="39" spans="1:11" x14ac:dyDescent="0.35">
      <c r="A39" t="s">
        <v>59</v>
      </c>
      <c r="B39" s="94" t="str">
        <f>"Calculation of Reinvestment Rate"</f>
        <v>Calculation of Reinvestment Rate</v>
      </c>
      <c r="C39" s="94"/>
      <c r="D39" s="94"/>
      <c r="E39" s="94"/>
      <c r="F39" s="94"/>
      <c r="G39" s="103">
        <f>'Raw FS&amp;CF'!J$3</f>
        <v>43525</v>
      </c>
      <c r="H39" s="103">
        <f>'Raw FS&amp;CF'!K$3</f>
        <v>43891</v>
      </c>
      <c r="I39" s="103">
        <f>'Raw FS&amp;CF'!L$3</f>
        <v>44256</v>
      </c>
      <c r="J39" s="103">
        <f>'Raw FS&amp;CF'!M$3</f>
        <v>44621</v>
      </c>
      <c r="K39" s="103">
        <f>'Raw FS&amp;CF'!N$3</f>
        <v>44986</v>
      </c>
    </row>
    <row r="41" spans="1:11" x14ac:dyDescent="0.35">
      <c r="B41" s="105" t="s">
        <v>291</v>
      </c>
      <c r="C41" s="105"/>
      <c r="D41" s="105"/>
      <c r="E41" s="105"/>
      <c r="F41" s="105"/>
      <c r="G41" s="106">
        <f>-SUM('Raw FS&amp;CF'!J60:J61)</f>
        <v>399</v>
      </c>
      <c r="H41" s="106">
        <f>-SUM('Raw FS&amp;CF'!K60:K61)</f>
        <v>243</v>
      </c>
      <c r="I41" s="106">
        <f>-SUM('Raw FS&amp;CF'!L60:L61)</f>
        <v>239</v>
      </c>
      <c r="J41" s="106">
        <f>-SUM('Raw FS&amp;CF'!M60:M61)</f>
        <v>547</v>
      </c>
      <c r="K41" s="106">
        <f>-SUM('Raw FS&amp;CF'!N60:N61)</f>
        <v>633</v>
      </c>
    </row>
    <row r="42" spans="1:11" x14ac:dyDescent="0.35">
      <c r="B42" s="105" t="s">
        <v>292</v>
      </c>
      <c r="C42" s="105"/>
      <c r="D42" s="105"/>
      <c r="E42" s="105"/>
      <c r="F42" s="105"/>
      <c r="G42" s="106"/>
      <c r="H42" s="106">
        <f>H17-G17</f>
        <v>-24</v>
      </c>
      <c r="I42" s="106">
        <f t="shared" ref="I42:K42" si="4">I17-H17</f>
        <v>-238</v>
      </c>
      <c r="J42" s="106">
        <f t="shared" si="4"/>
        <v>28</v>
      </c>
      <c r="K42" s="106">
        <f t="shared" si="4"/>
        <v>-552</v>
      </c>
    </row>
    <row r="43" spans="1:11" x14ac:dyDescent="0.35">
      <c r="B43" s="105"/>
      <c r="C43" s="105"/>
      <c r="D43" s="105"/>
      <c r="E43" s="105"/>
      <c r="F43" s="105"/>
      <c r="G43" s="106"/>
      <c r="H43" s="106"/>
      <c r="I43" s="106"/>
      <c r="J43" s="106"/>
      <c r="K43" s="106"/>
    </row>
    <row r="44" spans="1:11" x14ac:dyDescent="0.35">
      <c r="B44" s="105" t="s">
        <v>289</v>
      </c>
      <c r="C44" s="105"/>
      <c r="D44" s="105"/>
      <c r="E44" s="105"/>
      <c r="F44" s="105"/>
      <c r="G44" s="106">
        <f>G34</f>
        <v>1570.5700000000004</v>
      </c>
      <c r="H44" s="106">
        <f t="shared" ref="H44:K44" si="5">H34</f>
        <v>1658.3700000000003</v>
      </c>
      <c r="I44" s="106">
        <f t="shared" si="5"/>
        <v>2311.44</v>
      </c>
      <c r="J44" s="106">
        <f t="shared" si="5"/>
        <v>2000.7700000000013</v>
      </c>
      <c r="K44" s="106">
        <f t="shared" si="5"/>
        <v>2605.0000000000005</v>
      </c>
    </row>
    <row r="45" spans="1:11" x14ac:dyDescent="0.35">
      <c r="B45" s="105" t="s">
        <v>293</v>
      </c>
      <c r="C45" s="105"/>
      <c r="D45" s="105"/>
      <c r="E45" s="105"/>
      <c r="F45" s="105"/>
      <c r="G45" s="122">
        <v>0.25</v>
      </c>
      <c r="H45" s="122">
        <v>0.25</v>
      </c>
      <c r="I45" s="122">
        <v>0.25</v>
      </c>
      <c r="J45" s="122">
        <v>0.25</v>
      </c>
      <c r="K45" s="122">
        <v>0.25</v>
      </c>
    </row>
    <row r="46" spans="1:11" x14ac:dyDescent="0.35">
      <c r="B46" s="105" t="s">
        <v>294</v>
      </c>
      <c r="C46" s="105"/>
      <c r="D46" s="105"/>
      <c r="E46" s="105"/>
      <c r="F46" s="105"/>
      <c r="G46" s="106">
        <f>G44*(1-G45)</f>
        <v>1177.9275000000002</v>
      </c>
      <c r="H46" s="106">
        <f t="shared" ref="H46:K46" si="6">H44*(1-H45)</f>
        <v>1243.7775000000001</v>
      </c>
      <c r="I46" s="106">
        <f t="shared" si="6"/>
        <v>1733.58</v>
      </c>
      <c r="J46" s="106">
        <f t="shared" si="6"/>
        <v>1500.577500000001</v>
      </c>
      <c r="K46" s="106">
        <f t="shared" si="6"/>
        <v>1953.7500000000005</v>
      </c>
    </row>
    <row r="47" spans="1:11" x14ac:dyDescent="0.35">
      <c r="B47" s="105"/>
      <c r="C47" s="105"/>
      <c r="D47" s="105"/>
      <c r="E47" s="105"/>
      <c r="F47" s="105"/>
      <c r="G47" s="106"/>
      <c r="H47" s="106"/>
      <c r="I47" s="106"/>
      <c r="J47" s="106"/>
      <c r="K47" s="106"/>
    </row>
    <row r="48" spans="1:11" x14ac:dyDescent="0.35">
      <c r="B48" s="105" t="s">
        <v>295</v>
      </c>
      <c r="C48" s="105"/>
      <c r="D48" s="105"/>
      <c r="E48" s="105"/>
      <c r="F48" s="105"/>
      <c r="G48" s="106"/>
      <c r="H48" s="106">
        <f>SUM(H41,H42)</f>
        <v>219</v>
      </c>
      <c r="I48" s="106">
        <f t="shared" ref="I48:K48" si="7">SUM(I41,I42)</f>
        <v>1</v>
      </c>
      <c r="J48" s="106">
        <f t="shared" si="7"/>
        <v>575</v>
      </c>
      <c r="K48" s="106">
        <f t="shared" si="7"/>
        <v>81</v>
      </c>
    </row>
    <row r="49" spans="1:11" ht="4" customHeight="1" x14ac:dyDescent="0.35">
      <c r="H49" s="26"/>
      <c r="I49" s="26"/>
      <c r="J49" s="26"/>
      <c r="K49" s="26"/>
    </row>
    <row r="50" spans="1:11" ht="15" thickBot="1" x14ac:dyDescent="0.4">
      <c r="B50" s="118" t="s">
        <v>296</v>
      </c>
      <c r="C50" s="118"/>
      <c r="D50" s="118"/>
      <c r="E50" s="118"/>
      <c r="F50" s="118"/>
      <c r="G50" s="118"/>
      <c r="H50" s="121">
        <f>H48/H46</f>
        <v>0.17607650886111059</v>
      </c>
      <c r="I50" s="121">
        <f t="shared" ref="I50:K50" si="8">I48/I46</f>
        <v>5.7684098801324426E-4</v>
      </c>
      <c r="J50" s="121">
        <f t="shared" si="8"/>
        <v>0.38318580679771597</v>
      </c>
      <c r="K50" s="121">
        <f t="shared" si="8"/>
        <v>4.1458733205374271E-2</v>
      </c>
    </row>
    <row r="51" spans="1:11" x14ac:dyDescent="0.35">
      <c r="H51" s="15"/>
      <c r="I51" s="15"/>
      <c r="J51" s="15"/>
      <c r="K51" s="15"/>
    </row>
    <row r="52" spans="1:11" x14ac:dyDescent="0.35">
      <c r="J52" s="60" t="s">
        <v>297</v>
      </c>
      <c r="K52" s="59">
        <f>AVERAGE(H50:K50)</f>
        <v>0.15032447246305353</v>
      </c>
    </row>
    <row r="53" spans="1:11" x14ac:dyDescent="0.35">
      <c r="J53" s="60" t="s">
        <v>298</v>
      </c>
      <c r="K53" s="59">
        <f>MEDIAN(H50:K50)</f>
        <v>0.10876762103324243</v>
      </c>
    </row>
    <row r="55" spans="1:11" x14ac:dyDescent="0.35">
      <c r="A55" s="16" t="s">
        <v>59</v>
      </c>
      <c r="B55" s="11" t="str">
        <f>"Calculation of Growth Rate"</f>
        <v>Calculation of Growth Rate</v>
      </c>
      <c r="C55" s="11"/>
      <c r="D55" s="11"/>
      <c r="E55" s="11"/>
      <c r="F55" s="11"/>
      <c r="G55" s="12">
        <f>'Raw FS&amp;CF'!J$3</f>
        <v>43525</v>
      </c>
      <c r="H55" s="12">
        <f>'Raw FS&amp;CF'!K$3</f>
        <v>43891</v>
      </c>
      <c r="I55" s="12">
        <f>'Raw FS&amp;CF'!L$3</f>
        <v>44256</v>
      </c>
      <c r="J55" s="12">
        <f>'Raw FS&amp;CF'!M$3</f>
        <v>44621</v>
      </c>
      <c r="K55" s="12">
        <f>'Raw FS&amp;CF'!N$3</f>
        <v>44986</v>
      </c>
    </row>
    <row r="57" spans="1:11" x14ac:dyDescent="0.35">
      <c r="B57" s="105" t="s">
        <v>296</v>
      </c>
      <c r="C57" s="105"/>
      <c r="D57" s="105"/>
      <c r="E57" s="105"/>
      <c r="F57" s="105"/>
      <c r="G57" s="105"/>
      <c r="H57" s="123">
        <f>H50</f>
        <v>0.17607650886111059</v>
      </c>
      <c r="I57" s="123">
        <f t="shared" ref="I57:K57" si="9">I50</f>
        <v>5.7684098801324426E-4</v>
      </c>
      <c r="J57" s="123">
        <f t="shared" si="9"/>
        <v>0.38318580679771597</v>
      </c>
      <c r="K57" s="123">
        <f t="shared" si="9"/>
        <v>4.1458733205374271E-2</v>
      </c>
    </row>
    <row r="58" spans="1:11" x14ac:dyDescent="0.35">
      <c r="B58" s="105" t="s">
        <v>290</v>
      </c>
      <c r="C58" s="105"/>
      <c r="D58" s="105"/>
      <c r="E58" s="105"/>
      <c r="F58" s="105"/>
      <c r="G58" s="105"/>
      <c r="H58" s="123">
        <f t="shared" ref="H58:K58" si="10">H36</f>
        <v>0.56793493150684948</v>
      </c>
      <c r="I58" s="123">
        <f t="shared" si="10"/>
        <v>0.89038520801232668</v>
      </c>
      <c r="J58" s="123">
        <f t="shared" si="10"/>
        <v>0.77399226305609337</v>
      </c>
      <c r="K58" s="123">
        <f t="shared" si="10"/>
        <v>6.1876484560570084</v>
      </c>
    </row>
    <row r="59" spans="1:11" ht="4" customHeight="1" x14ac:dyDescent="0.35"/>
    <row r="60" spans="1:11" ht="15" thickBot="1" x14ac:dyDescent="0.4">
      <c r="B60" s="118" t="s">
        <v>299</v>
      </c>
      <c r="C60" s="118"/>
      <c r="D60" s="118"/>
      <c r="E60" s="118"/>
      <c r="F60" s="118"/>
      <c r="G60" s="118"/>
      <c r="H60" s="121">
        <f>H57*H58</f>
        <v>0.10000000000000002</v>
      </c>
      <c r="I60" s="121">
        <f t="shared" ref="I60:K60" si="11">I57*I58</f>
        <v>5.1361068310220854E-4</v>
      </c>
      <c r="J60" s="121">
        <f t="shared" si="11"/>
        <v>0.29658284977433913</v>
      </c>
      <c r="K60" s="121">
        <f t="shared" si="11"/>
        <v>0.25653206650831356</v>
      </c>
    </row>
    <row r="62" spans="1:11" x14ac:dyDescent="0.35">
      <c r="J62" s="60" t="s">
        <v>297</v>
      </c>
      <c r="K62" s="59">
        <f>AVERAGE(H60:K60)</f>
        <v>0.16340713174143873</v>
      </c>
    </row>
    <row r="63" spans="1:11" x14ac:dyDescent="0.35">
      <c r="J63" s="60" t="s">
        <v>298</v>
      </c>
      <c r="K63" s="59">
        <f>MEDIAN(H60:K60)</f>
        <v>0.1782660332541568</v>
      </c>
    </row>
  </sheetData>
  <pageMargins left="0.7" right="0.7" top="0.75" bottom="0.75" header="0.3" footer="0.3"/>
  <pageSetup paperSize="9" scale="83" orientation="portrait" r:id="rId1"/>
  <ignoredErrors>
    <ignoredError sqref="G41:K41" formulaRange="1"/>
    <ignoredError sqref="H58:K58 H60" evalErro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4D93-1AFD-4E68-80DE-76E4FB5B1BDA}">
  <sheetPr>
    <pageSetUpPr fitToPage="1"/>
  </sheetPr>
  <dimension ref="B2:J41"/>
  <sheetViews>
    <sheetView showGridLines="0" topLeftCell="A19" workbookViewId="0">
      <selection activeCell="G38" sqref="G38"/>
    </sheetView>
  </sheetViews>
  <sheetFormatPr defaultRowHeight="14.5" outlineLevelRow="1" x14ac:dyDescent="0.35"/>
  <cols>
    <col min="1" max="1" width="2.1796875" customWidth="1"/>
    <col min="2" max="2" width="25.6328125" bestFit="1" customWidth="1"/>
    <col min="4" max="4" width="12.90625" bestFit="1" customWidth="1"/>
    <col min="5" max="10" width="9.7265625" bestFit="1" customWidth="1"/>
  </cols>
  <sheetData>
    <row r="2" spans="2:10" x14ac:dyDescent="0.35">
      <c r="B2" s="94" t="s">
        <v>300</v>
      </c>
      <c r="C2" s="89"/>
      <c r="D2" s="89"/>
      <c r="E2" s="124">
        <f>'Intrinsic Growth'!K2</f>
        <v>44986</v>
      </c>
      <c r="F2" s="125">
        <f>E2+366</f>
        <v>45352</v>
      </c>
      <c r="G2" s="125">
        <f t="shared" ref="G2:J2" si="0">F2+366</f>
        <v>45718</v>
      </c>
      <c r="H2" s="125">
        <f t="shared" si="0"/>
        <v>46084</v>
      </c>
      <c r="I2" s="125">
        <f t="shared" si="0"/>
        <v>46450</v>
      </c>
      <c r="J2" s="125">
        <f t="shared" si="0"/>
        <v>46816</v>
      </c>
    </row>
    <row r="4" spans="2:10" x14ac:dyDescent="0.35">
      <c r="B4" s="105" t="s">
        <v>289</v>
      </c>
      <c r="C4" s="105"/>
      <c r="D4" s="105"/>
      <c r="E4" s="131">
        <f>'Data Sheet'!K34-'Data Sheet'!K26</f>
        <v>3207.32</v>
      </c>
      <c r="F4" s="128">
        <f>E4*(1+$D$14)</f>
        <v>3779.0762137767224</v>
      </c>
      <c r="G4" s="128">
        <f>F4*(1+$D$14)</f>
        <v>4452.7571397718366</v>
      </c>
      <c r="H4" s="128">
        <f>G4*(1+$D$14)</f>
        <v>5246.5324921230867</v>
      </c>
      <c r="I4" s="128">
        <f>H4*(1+$D$14)</f>
        <v>6181.811027832915</v>
      </c>
      <c r="J4" s="128">
        <f>I4*(1+$D$14)</f>
        <v>7283.8179580914903</v>
      </c>
    </row>
    <row r="5" spans="2:10" x14ac:dyDescent="0.35">
      <c r="B5" s="105" t="s">
        <v>169</v>
      </c>
      <c r="C5" s="105"/>
      <c r="D5" s="105"/>
      <c r="E5" s="132">
        <v>0.25</v>
      </c>
      <c r="F5" s="129">
        <f>E5</f>
        <v>0.25</v>
      </c>
      <c r="G5" s="129">
        <f t="shared" ref="G5:J5" si="1">F5</f>
        <v>0.25</v>
      </c>
      <c r="H5" s="129">
        <f t="shared" si="1"/>
        <v>0.25</v>
      </c>
      <c r="I5" s="129">
        <f t="shared" si="1"/>
        <v>0.25</v>
      </c>
      <c r="J5" s="129">
        <f t="shared" si="1"/>
        <v>0.25</v>
      </c>
    </row>
    <row r="6" spans="2:10" x14ac:dyDescent="0.35">
      <c r="B6" s="105" t="s">
        <v>294</v>
      </c>
      <c r="C6" s="105"/>
      <c r="D6" s="105"/>
      <c r="E6" s="131">
        <f t="shared" ref="E6:J6" si="2">E4*(1-E5)</f>
        <v>2405.4900000000002</v>
      </c>
      <c r="F6" s="128">
        <f t="shared" si="2"/>
        <v>2834.3071603325416</v>
      </c>
      <c r="G6" s="128">
        <f t="shared" si="2"/>
        <v>3339.5678548288774</v>
      </c>
      <c r="H6" s="128">
        <f t="shared" si="2"/>
        <v>3934.8993690923153</v>
      </c>
      <c r="I6" s="128">
        <f t="shared" si="2"/>
        <v>4636.3582708746862</v>
      </c>
      <c r="J6" s="128">
        <f t="shared" si="2"/>
        <v>5462.8634685686175</v>
      </c>
    </row>
    <row r="7" spans="2:10" x14ac:dyDescent="0.35">
      <c r="B7" s="105" t="s">
        <v>301</v>
      </c>
      <c r="C7" s="105"/>
      <c r="D7" s="105"/>
      <c r="E7" s="132">
        <f>'Intrinsic Growth'!K53</f>
        <v>0.10876762103324243</v>
      </c>
      <c r="F7" s="129">
        <f>E7+(($J$7-$E$7)/4)</f>
        <v>0.2965757157749318</v>
      </c>
      <c r="G7" s="129">
        <f t="shared" ref="G7:I7" si="3">F7+(($J$7-$E$7)/4)</f>
        <v>0.48438381051662116</v>
      </c>
      <c r="H7" s="129">
        <f t="shared" si="3"/>
        <v>0.67219190525831052</v>
      </c>
      <c r="I7" s="129">
        <f t="shared" si="3"/>
        <v>0.85999999999999988</v>
      </c>
      <c r="J7" s="129">
        <v>0.86</v>
      </c>
    </row>
    <row r="8" spans="2:10" x14ac:dyDescent="0.35">
      <c r="B8" s="105" t="s">
        <v>302</v>
      </c>
      <c r="C8" s="105"/>
      <c r="D8" s="105"/>
      <c r="E8" s="131">
        <f t="shared" ref="E8:J8" si="4">E6*(1-E7)</f>
        <v>2143.8505752807459</v>
      </c>
      <c r="F8" s="128">
        <f t="shared" si="4"/>
        <v>1993.7204855309037</v>
      </c>
      <c r="G8" s="128">
        <f t="shared" si="4"/>
        <v>1721.9352518280475</v>
      </c>
      <c r="H8" s="128">
        <f t="shared" si="4"/>
        <v>1289.8918651824279</v>
      </c>
      <c r="I8" s="128">
        <f t="shared" si="4"/>
        <v>649.09015792245668</v>
      </c>
      <c r="J8" s="128">
        <f t="shared" si="4"/>
        <v>764.80088559960654</v>
      </c>
    </row>
    <row r="9" spans="2:10" x14ac:dyDescent="0.35">
      <c r="B9" s="105" t="s">
        <v>303</v>
      </c>
      <c r="C9" s="105"/>
      <c r="D9" s="105"/>
      <c r="E9" s="133"/>
      <c r="F9" s="130">
        <v>0.5</v>
      </c>
      <c r="G9" s="105">
        <f>F9+1</f>
        <v>1.5</v>
      </c>
      <c r="H9" s="105">
        <f t="shared" ref="H9:J9" si="5">G9+1</f>
        <v>2.5</v>
      </c>
      <c r="I9" s="105">
        <f t="shared" si="5"/>
        <v>3.5</v>
      </c>
      <c r="J9" s="105">
        <f t="shared" si="5"/>
        <v>4.5</v>
      </c>
    </row>
    <row r="10" spans="2:10" x14ac:dyDescent="0.35">
      <c r="B10" s="105" t="s">
        <v>304</v>
      </c>
      <c r="C10" s="105"/>
      <c r="D10" s="105"/>
      <c r="E10" s="133"/>
      <c r="F10" s="136">
        <f>1/(1+$D$16)^F9</f>
        <v>0.94098125741642646</v>
      </c>
      <c r="G10" s="136">
        <f t="shared" ref="G10:J10" si="6">1/(1+$D$16)^G9</f>
        <v>0.83318783338673363</v>
      </c>
      <c r="H10" s="136">
        <f t="shared" si="6"/>
        <v>0.73774260670153158</v>
      </c>
      <c r="I10" s="136">
        <f t="shared" si="6"/>
        <v>0.65323103858880327</v>
      </c>
      <c r="J10" s="136">
        <f t="shared" si="6"/>
        <v>0.57840063173746015</v>
      </c>
    </row>
    <row r="11" spans="2:10" ht="4" customHeight="1" x14ac:dyDescent="0.35">
      <c r="E11" s="134"/>
    </row>
    <row r="12" spans="2:10" ht="15" thickBot="1" x14ac:dyDescent="0.4">
      <c r="B12" s="126" t="s">
        <v>305</v>
      </c>
      <c r="C12" s="126"/>
      <c r="D12" s="126"/>
      <c r="E12" s="135"/>
      <c r="F12" s="137">
        <f>F8*F10</f>
        <v>1876.0536094117581</v>
      </c>
      <c r="G12" s="137">
        <f t="shared" ref="G12:J12" si="7">G8*G10</f>
        <v>1434.6955017028504</v>
      </c>
      <c r="H12" s="137">
        <f t="shared" si="7"/>
        <v>951.6081869827849</v>
      </c>
      <c r="I12" s="137">
        <f t="shared" si="7"/>
        <v>424.00583799745669</v>
      </c>
      <c r="J12" s="137">
        <f t="shared" si="7"/>
        <v>442.36131538418141</v>
      </c>
    </row>
    <row r="14" spans="2:10" outlineLevel="1" x14ac:dyDescent="0.35">
      <c r="B14" s="99" t="s">
        <v>306</v>
      </c>
      <c r="C14" s="99"/>
      <c r="D14" s="127">
        <f>'Intrinsic Growth'!K63</f>
        <v>0.1782660332541568</v>
      </c>
    </row>
    <row r="15" spans="2:10" outlineLevel="1" x14ac:dyDescent="0.35">
      <c r="B15" s="99" t="s">
        <v>307</v>
      </c>
      <c r="C15" s="99"/>
      <c r="D15" s="127">
        <v>5.3800000000000001E-2</v>
      </c>
    </row>
    <row r="16" spans="2:10" outlineLevel="1" x14ac:dyDescent="0.35">
      <c r="B16" s="99" t="s">
        <v>155</v>
      </c>
      <c r="C16" s="99"/>
      <c r="D16" s="127">
        <f>WACC!K43</f>
        <v>0.12937469764955073</v>
      </c>
    </row>
    <row r="18" spans="2:4" x14ac:dyDescent="0.35">
      <c r="B18" s="94" t="s">
        <v>308</v>
      </c>
      <c r="C18" s="89"/>
      <c r="D18" s="89"/>
    </row>
    <row r="20" spans="2:4" x14ac:dyDescent="0.35">
      <c r="B20" t="s">
        <v>309</v>
      </c>
      <c r="D20" s="55">
        <f>J8*(1+D14)</f>
        <v>901.1389057047146</v>
      </c>
    </row>
    <row r="21" spans="2:4" x14ac:dyDescent="0.35">
      <c r="B21" t="s">
        <v>155</v>
      </c>
      <c r="D21" s="62">
        <f>D16</f>
        <v>0.12937469764955073</v>
      </c>
    </row>
    <row r="22" spans="2:4" x14ac:dyDescent="0.35">
      <c r="B22" t="s">
        <v>310</v>
      </c>
      <c r="D22" s="62">
        <f>D15</f>
        <v>5.3800000000000001E-2</v>
      </c>
    </row>
    <row r="23" spans="2:4" ht="4" customHeight="1" x14ac:dyDescent="0.35"/>
    <row r="24" spans="2:4" ht="15" thickBot="1" x14ac:dyDescent="0.4">
      <c r="B24" s="126" t="s">
        <v>311</v>
      </c>
      <c r="C24" s="126"/>
      <c r="D24" s="137">
        <f>D20/(D21+D22)</f>
        <v>4919.5599461491711</v>
      </c>
    </row>
    <row r="27" spans="2:4" x14ac:dyDescent="0.35">
      <c r="B27" s="94" t="s">
        <v>316</v>
      </c>
      <c r="C27" s="89"/>
      <c r="D27" s="89"/>
    </row>
    <row r="29" spans="2:4" x14ac:dyDescent="0.35">
      <c r="B29" t="s">
        <v>305</v>
      </c>
      <c r="D29" s="55">
        <f>SUM(F12:J12)</f>
        <v>5128.7244514790318</v>
      </c>
    </row>
    <row r="30" spans="2:4" x14ac:dyDescent="0.35">
      <c r="B30" t="s">
        <v>312</v>
      </c>
      <c r="D30" s="55">
        <f>D24*J10</f>
        <v>2845.476580722986</v>
      </c>
    </row>
    <row r="31" spans="2:4" x14ac:dyDescent="0.35">
      <c r="B31" s="13" t="s">
        <v>313</v>
      </c>
      <c r="C31" s="13"/>
      <c r="D31" s="56">
        <f>SUM(D29,D30)</f>
        <v>7974.2010322020178</v>
      </c>
    </row>
    <row r="32" spans="2:4" x14ac:dyDescent="0.35">
      <c r="D32" s="62"/>
    </row>
    <row r="33" spans="2:4" x14ac:dyDescent="0.35">
      <c r="B33" t="s">
        <v>314</v>
      </c>
      <c r="D33" s="55">
        <f>'Data Sheet'!K69</f>
        <v>197.98</v>
      </c>
    </row>
    <row r="34" spans="2:4" x14ac:dyDescent="0.35">
      <c r="B34" t="s">
        <v>315</v>
      </c>
      <c r="D34" s="55">
        <f>SUM('Raw FS&amp;CF'!N8:N9)</f>
        <v>2981</v>
      </c>
    </row>
    <row r="35" spans="2:4" x14ac:dyDescent="0.35">
      <c r="B35" s="13" t="s">
        <v>317</v>
      </c>
      <c r="D35" s="55">
        <f>D31+D33-D34</f>
        <v>5191.1810322020174</v>
      </c>
    </row>
    <row r="36" spans="2:4" x14ac:dyDescent="0.35">
      <c r="B36" t="s">
        <v>318</v>
      </c>
      <c r="D36" s="55">
        <f>'Data Sheet'!B6</f>
        <v>24.086828576493531</v>
      </c>
    </row>
    <row r="37" spans="2:4" ht="4" customHeight="1" x14ac:dyDescent="0.35"/>
    <row r="38" spans="2:4" ht="15" thickBot="1" x14ac:dyDescent="0.4">
      <c r="B38" s="118" t="s">
        <v>319</v>
      </c>
      <c r="C38" s="118"/>
      <c r="D38" s="138">
        <f>D35/D36</f>
        <v>215.51949090002324</v>
      </c>
    </row>
    <row r="40" spans="2:4" x14ac:dyDescent="0.35">
      <c r="B40" t="s">
        <v>320</v>
      </c>
      <c r="D40" s="158">
        <v>5077</v>
      </c>
    </row>
    <row r="41" spans="2:4" x14ac:dyDescent="0.35">
      <c r="B41" t="s">
        <v>321</v>
      </c>
      <c r="D41" s="41">
        <f>D40/D38-1</f>
        <v>22.557034116952121</v>
      </c>
    </row>
  </sheetData>
  <pageMargins left="0.25" right="0.25" top="0.75" bottom="0.75" header="0.3" footer="0.3"/>
  <pageSetup paperSize="9" scale="91" orientation="portrait" r:id="rId1"/>
  <ignoredErrors>
    <ignoredError sqref="D34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2F4-CFE1-4F15-AFDC-3F407D085E18}">
  <sheetPr>
    <pageSetUpPr fitToPage="1"/>
  </sheetPr>
  <dimension ref="B2:N90"/>
  <sheetViews>
    <sheetView showGridLines="0" workbookViewId="0">
      <pane ySplit="3" topLeftCell="A30" activePane="bottomLeft" state="frozen"/>
      <selection pane="bottomLeft" activeCell="F91" sqref="F91"/>
    </sheetView>
  </sheetViews>
  <sheetFormatPr defaultRowHeight="14.5" x14ac:dyDescent="0.35"/>
  <cols>
    <col min="1" max="1" width="2.1796875" customWidth="1"/>
    <col min="2" max="2" width="30.7265625" bestFit="1" customWidth="1"/>
    <col min="3" max="14" width="9.453125" bestFit="1" customWidth="1"/>
  </cols>
  <sheetData>
    <row r="2" spans="2:14" x14ac:dyDescent="0.35">
      <c r="B2" s="159" t="str">
        <f>"Raw Balance Sheet - "&amp;'Data Sheet'!B1</f>
        <v>Raw Balance Sheet - BRITANNIA INDUSTRIES LTD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</row>
    <row r="3" spans="2:14" x14ac:dyDescent="0.35">
      <c r="B3" s="94" t="s">
        <v>152</v>
      </c>
      <c r="C3" s="103">
        <v>40969</v>
      </c>
      <c r="D3" s="103">
        <v>41334</v>
      </c>
      <c r="E3" s="103">
        <v>41699</v>
      </c>
      <c r="F3" s="103">
        <v>42064</v>
      </c>
      <c r="G3" s="103">
        <v>42430</v>
      </c>
      <c r="H3" s="103">
        <v>42795</v>
      </c>
      <c r="I3" s="103">
        <v>43160</v>
      </c>
      <c r="J3" s="103">
        <v>43525</v>
      </c>
      <c r="K3" s="103">
        <v>43891</v>
      </c>
      <c r="L3" s="103">
        <v>44256</v>
      </c>
      <c r="M3" s="103">
        <v>44621</v>
      </c>
      <c r="N3" s="103">
        <v>44986</v>
      </c>
    </row>
    <row r="4" spans="2:14" x14ac:dyDescent="0.3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2:14" x14ac:dyDescent="0.35">
      <c r="B5" s="13" t="s">
        <v>253</v>
      </c>
      <c r="C5" s="106">
        <v>23.89</v>
      </c>
      <c r="D5" s="106">
        <v>23.91</v>
      </c>
      <c r="E5" s="106">
        <v>23.99</v>
      </c>
      <c r="F5" s="106">
        <v>23.99</v>
      </c>
      <c r="G5" s="106">
        <v>24</v>
      </c>
      <c r="H5" s="106">
        <v>24</v>
      </c>
      <c r="I5" s="106">
        <v>24.01</v>
      </c>
      <c r="J5" s="106">
        <v>24.03</v>
      </c>
      <c r="K5" s="106">
        <v>24.05</v>
      </c>
      <c r="L5" s="106">
        <v>24.09</v>
      </c>
      <c r="M5" s="106">
        <v>24.09</v>
      </c>
      <c r="N5" s="106">
        <v>24.09</v>
      </c>
    </row>
    <row r="6" spans="2:14" x14ac:dyDescent="0.35">
      <c r="B6" s="13" t="s">
        <v>34</v>
      </c>
      <c r="C6" s="106">
        <v>385</v>
      </c>
      <c r="D6" s="106">
        <v>534</v>
      </c>
      <c r="E6" s="106">
        <v>774</v>
      </c>
      <c r="F6" s="106">
        <v>1221</v>
      </c>
      <c r="G6" s="106">
        <v>2068</v>
      </c>
      <c r="H6" s="106">
        <v>2672</v>
      </c>
      <c r="I6" s="106">
        <v>3382</v>
      </c>
      <c r="J6" s="106">
        <v>4229</v>
      </c>
      <c r="K6" s="106">
        <v>4379</v>
      </c>
      <c r="L6" s="106">
        <v>3524</v>
      </c>
      <c r="M6" s="106">
        <v>2534</v>
      </c>
      <c r="N6" s="106">
        <v>3510</v>
      </c>
    </row>
    <row r="7" spans="2:14" x14ac:dyDescent="0.35">
      <c r="B7" s="13" t="s">
        <v>254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</row>
    <row r="8" spans="2:14" x14ac:dyDescent="0.35">
      <c r="B8" t="s">
        <v>255</v>
      </c>
      <c r="C8" s="106">
        <v>62</v>
      </c>
      <c r="D8" s="106">
        <v>27</v>
      </c>
      <c r="E8" s="106">
        <v>28</v>
      </c>
      <c r="F8" s="106">
        <v>43</v>
      </c>
      <c r="G8" s="106">
        <v>38</v>
      </c>
      <c r="H8" s="106">
        <v>31</v>
      </c>
      <c r="I8" s="106">
        <v>85</v>
      </c>
      <c r="J8" s="106">
        <v>62</v>
      </c>
      <c r="K8" s="106">
        <v>766</v>
      </c>
      <c r="L8" s="106">
        <v>747</v>
      </c>
      <c r="M8" s="106">
        <v>707</v>
      </c>
      <c r="N8" s="106">
        <v>1552</v>
      </c>
    </row>
    <row r="9" spans="2:14" x14ac:dyDescent="0.35">
      <c r="B9" t="s">
        <v>256</v>
      </c>
      <c r="C9" s="106">
        <v>117</v>
      </c>
      <c r="D9" s="106">
        <v>314</v>
      </c>
      <c r="E9" s="106">
        <v>120</v>
      </c>
      <c r="F9" s="106">
        <v>97</v>
      </c>
      <c r="G9" s="106">
        <v>86</v>
      </c>
      <c r="H9" s="106">
        <v>84</v>
      </c>
      <c r="I9" s="106">
        <v>94</v>
      </c>
      <c r="J9" s="106">
        <v>76</v>
      </c>
      <c r="K9" s="106">
        <v>748</v>
      </c>
      <c r="L9" s="106">
        <v>1339</v>
      </c>
      <c r="M9" s="106">
        <v>1020</v>
      </c>
      <c r="N9" s="106">
        <v>1429</v>
      </c>
    </row>
    <row r="10" spans="2:14" x14ac:dyDescent="0.35">
      <c r="B10" t="s">
        <v>257</v>
      </c>
      <c r="C10" s="106">
        <v>0</v>
      </c>
      <c r="D10" s="106">
        <v>0</v>
      </c>
      <c r="E10" s="106">
        <v>0</v>
      </c>
      <c r="F10" s="106">
        <v>0</v>
      </c>
      <c r="G10" s="106">
        <v>0</v>
      </c>
      <c r="H10" s="106">
        <v>0</v>
      </c>
      <c r="I10" s="106">
        <v>0</v>
      </c>
      <c r="J10" s="106">
        <v>0</v>
      </c>
      <c r="K10" s="106">
        <v>0</v>
      </c>
      <c r="L10" s="106">
        <v>17</v>
      </c>
      <c r="M10" s="106">
        <v>16</v>
      </c>
      <c r="N10" s="106">
        <v>17</v>
      </c>
    </row>
    <row r="11" spans="2:14" x14ac:dyDescent="0.35">
      <c r="B11" t="s">
        <v>258</v>
      </c>
      <c r="C11" s="106">
        <v>425</v>
      </c>
      <c r="D11" s="106">
        <v>39</v>
      </c>
      <c r="E11" s="106">
        <v>2</v>
      </c>
      <c r="F11" s="106">
        <v>5</v>
      </c>
      <c r="G11" s="106">
        <v>7</v>
      </c>
      <c r="H11" s="106">
        <v>9</v>
      </c>
      <c r="I11" s="106">
        <v>22</v>
      </c>
      <c r="J11" s="106">
        <v>18</v>
      </c>
      <c r="K11" s="106">
        <v>24</v>
      </c>
      <c r="L11" s="106">
        <v>18</v>
      </c>
      <c r="M11" s="106">
        <v>739</v>
      </c>
      <c r="N11" s="106">
        <v>0</v>
      </c>
    </row>
    <row r="12" spans="2:14" x14ac:dyDescent="0.35">
      <c r="B12" s="13" t="s">
        <v>259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</row>
    <row r="13" spans="2:14" x14ac:dyDescent="0.35">
      <c r="B13" t="s">
        <v>260</v>
      </c>
      <c r="C13" s="106">
        <v>2</v>
      </c>
      <c r="D13" s="106">
        <v>2</v>
      </c>
      <c r="E13" s="106">
        <v>2</v>
      </c>
      <c r="F13" s="106">
        <v>2</v>
      </c>
      <c r="G13" s="106">
        <v>2</v>
      </c>
      <c r="H13" s="106">
        <v>3</v>
      </c>
      <c r="I13" s="106">
        <v>13</v>
      </c>
      <c r="J13" s="106">
        <v>33</v>
      </c>
      <c r="K13" s="106">
        <v>36</v>
      </c>
      <c r="L13" s="106">
        <v>36</v>
      </c>
      <c r="M13" s="106">
        <v>28</v>
      </c>
      <c r="N13" s="106">
        <v>30</v>
      </c>
    </row>
    <row r="14" spans="2:14" x14ac:dyDescent="0.35">
      <c r="B14" t="s">
        <v>261</v>
      </c>
      <c r="C14" s="106">
        <v>387</v>
      </c>
      <c r="D14" s="106">
        <v>394</v>
      </c>
      <c r="E14" s="106">
        <v>557</v>
      </c>
      <c r="F14" s="106">
        <v>703</v>
      </c>
      <c r="G14" s="106">
        <v>769</v>
      </c>
      <c r="H14" s="106">
        <v>757</v>
      </c>
      <c r="I14" s="106">
        <v>994</v>
      </c>
      <c r="J14" s="106">
        <v>1141</v>
      </c>
      <c r="K14" s="106">
        <v>1047</v>
      </c>
      <c r="L14" s="106">
        <v>1313</v>
      </c>
      <c r="M14" s="106">
        <v>1285</v>
      </c>
      <c r="N14" s="106">
        <v>1449</v>
      </c>
    </row>
    <row r="15" spans="2:14" x14ac:dyDescent="0.35">
      <c r="B15" t="s">
        <v>262</v>
      </c>
      <c r="C15" s="106">
        <v>15</v>
      </c>
      <c r="D15" s="106">
        <v>15</v>
      </c>
      <c r="E15" s="106">
        <v>21</v>
      </c>
      <c r="F15" s="106">
        <v>18</v>
      </c>
      <c r="G15" s="106">
        <v>16</v>
      </c>
      <c r="H15" s="106">
        <v>17</v>
      </c>
      <c r="I15" s="106">
        <v>31</v>
      </c>
      <c r="J15" s="106">
        <v>41</v>
      </c>
      <c r="K15" s="106">
        <v>78</v>
      </c>
      <c r="L15" s="106">
        <v>55</v>
      </c>
      <c r="M15" s="106">
        <v>41</v>
      </c>
      <c r="N15" s="106"/>
    </row>
    <row r="16" spans="2:14" x14ac:dyDescent="0.35">
      <c r="B16" t="s">
        <v>263</v>
      </c>
      <c r="C16" s="107">
        <v>425</v>
      </c>
      <c r="D16" s="107">
        <v>535</v>
      </c>
      <c r="E16" s="107">
        <v>579</v>
      </c>
      <c r="F16" s="107">
        <v>680</v>
      </c>
      <c r="G16" s="107">
        <v>483</v>
      </c>
      <c r="H16" s="107">
        <v>511</v>
      </c>
      <c r="I16" s="107">
        <v>543</v>
      </c>
      <c r="J16" s="107">
        <v>615</v>
      </c>
      <c r="K16" s="107">
        <v>729</v>
      </c>
      <c r="L16" s="107">
        <v>927</v>
      </c>
      <c r="M16" s="107">
        <v>1121</v>
      </c>
      <c r="N16" s="107">
        <v>1342</v>
      </c>
    </row>
    <row r="17" spans="2:14" x14ac:dyDescent="0.35">
      <c r="B17" s="27" t="s">
        <v>82</v>
      </c>
      <c r="C17" s="104">
        <v>1842</v>
      </c>
      <c r="D17" s="104">
        <v>1883</v>
      </c>
      <c r="E17" s="104">
        <v>2107</v>
      </c>
      <c r="F17" s="104">
        <v>2793</v>
      </c>
      <c r="G17" s="104">
        <v>3494</v>
      </c>
      <c r="H17" s="104">
        <v>4109</v>
      </c>
      <c r="I17" s="104">
        <v>5188</v>
      </c>
      <c r="J17" s="104">
        <v>6238</v>
      </c>
      <c r="K17" s="104">
        <v>7830</v>
      </c>
      <c r="L17" s="104">
        <v>8000</v>
      </c>
      <c r="M17" s="104">
        <v>7515</v>
      </c>
      <c r="N17" s="104">
        <v>9353</v>
      </c>
    </row>
    <row r="18" spans="2:14" x14ac:dyDescent="0.35"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2:14" x14ac:dyDescent="0.35">
      <c r="B19" s="13" t="s">
        <v>264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2:14" x14ac:dyDescent="0.35">
      <c r="B20" t="s">
        <v>265</v>
      </c>
      <c r="C20" s="106">
        <v>34</v>
      </c>
      <c r="D20" s="106">
        <v>42</v>
      </c>
      <c r="E20" s="106">
        <v>102</v>
      </c>
      <c r="F20" s="106">
        <v>107</v>
      </c>
      <c r="G20" s="106">
        <v>105</v>
      </c>
      <c r="H20" s="106">
        <v>128</v>
      </c>
      <c r="I20" s="106">
        <v>246</v>
      </c>
      <c r="J20" s="106">
        <v>247</v>
      </c>
      <c r="K20" s="106">
        <v>319</v>
      </c>
      <c r="L20" s="106">
        <v>326</v>
      </c>
      <c r="M20" s="106">
        <v>334</v>
      </c>
      <c r="N20" s="106"/>
    </row>
    <row r="21" spans="2:14" x14ac:dyDescent="0.35">
      <c r="B21" t="s">
        <v>266</v>
      </c>
      <c r="C21" s="106">
        <v>186</v>
      </c>
      <c r="D21" s="106">
        <v>239</v>
      </c>
      <c r="E21" s="106">
        <v>277</v>
      </c>
      <c r="F21" s="106">
        <v>346</v>
      </c>
      <c r="G21" s="106">
        <v>316</v>
      </c>
      <c r="H21" s="106">
        <v>376</v>
      </c>
      <c r="I21" s="106">
        <v>515</v>
      </c>
      <c r="J21" s="106">
        <v>660</v>
      </c>
      <c r="K21" s="106">
        <v>732</v>
      </c>
      <c r="L21" s="106">
        <v>758</v>
      </c>
      <c r="M21" s="106">
        <v>782</v>
      </c>
      <c r="N21" s="106"/>
    </row>
    <row r="22" spans="2:14" x14ac:dyDescent="0.35">
      <c r="B22" t="s">
        <v>267</v>
      </c>
      <c r="C22" s="106">
        <v>769</v>
      </c>
      <c r="D22" s="106">
        <v>860</v>
      </c>
      <c r="E22" s="106">
        <v>955</v>
      </c>
      <c r="F22" s="106">
        <v>981</v>
      </c>
      <c r="G22" s="106">
        <v>447</v>
      </c>
      <c r="H22" s="106">
        <v>641</v>
      </c>
      <c r="I22" s="106">
        <v>705</v>
      </c>
      <c r="J22" s="106">
        <v>1053</v>
      </c>
      <c r="K22" s="106">
        <v>1305</v>
      </c>
      <c r="L22" s="106">
        <v>1407</v>
      </c>
      <c r="M22" s="106">
        <v>1546</v>
      </c>
      <c r="N22" s="106"/>
    </row>
    <row r="23" spans="2:14" x14ac:dyDescent="0.35">
      <c r="B23" t="s">
        <v>268</v>
      </c>
      <c r="C23" s="106">
        <v>44</v>
      </c>
      <c r="D23" s="106">
        <v>51</v>
      </c>
      <c r="E23" s="106">
        <v>54</v>
      </c>
      <c r="F23" s="106">
        <v>58</v>
      </c>
      <c r="G23" s="106">
        <v>16</v>
      </c>
      <c r="H23" s="106">
        <v>22</v>
      </c>
      <c r="I23" s="106">
        <v>25</v>
      </c>
      <c r="J23" s="106">
        <v>31</v>
      </c>
      <c r="K23" s="106">
        <v>40</v>
      </c>
      <c r="L23" s="106">
        <v>46</v>
      </c>
      <c r="M23" s="106">
        <v>52</v>
      </c>
      <c r="N23" s="106"/>
    </row>
    <row r="24" spans="2:14" x14ac:dyDescent="0.35">
      <c r="B24" t="s">
        <v>269</v>
      </c>
      <c r="C24" s="106">
        <v>13</v>
      </c>
      <c r="D24" s="106">
        <v>14</v>
      </c>
      <c r="E24" s="106">
        <v>16</v>
      </c>
      <c r="F24" s="106">
        <v>24</v>
      </c>
      <c r="G24" s="106">
        <v>22</v>
      </c>
      <c r="H24" s="106">
        <v>25</v>
      </c>
      <c r="I24" s="106">
        <v>25</v>
      </c>
      <c r="J24" s="106">
        <v>28</v>
      </c>
      <c r="K24" s="106">
        <v>31</v>
      </c>
      <c r="L24" s="106">
        <v>32</v>
      </c>
      <c r="M24" s="106">
        <v>32</v>
      </c>
      <c r="N24" s="106"/>
    </row>
    <row r="25" spans="2:14" x14ac:dyDescent="0.35">
      <c r="B25" t="s">
        <v>270</v>
      </c>
      <c r="C25" s="106">
        <v>4</v>
      </c>
      <c r="D25" s="106">
        <v>4</v>
      </c>
      <c r="E25" s="106">
        <v>4</v>
      </c>
      <c r="F25" s="106">
        <v>4</v>
      </c>
      <c r="G25" s="106">
        <v>2</v>
      </c>
      <c r="H25" s="106">
        <v>2</v>
      </c>
      <c r="I25" s="106">
        <v>2</v>
      </c>
      <c r="J25" s="106">
        <v>3</v>
      </c>
      <c r="K25" s="106">
        <v>5</v>
      </c>
      <c r="L25" s="106">
        <v>5</v>
      </c>
      <c r="M25" s="106">
        <v>6</v>
      </c>
      <c r="N25" s="106"/>
    </row>
    <row r="26" spans="2:14" x14ac:dyDescent="0.35">
      <c r="B26" t="s">
        <v>271</v>
      </c>
      <c r="C26" s="106">
        <v>137</v>
      </c>
      <c r="D26" s="106">
        <v>134</v>
      </c>
      <c r="E26" s="106">
        <v>142</v>
      </c>
      <c r="F26" s="106">
        <v>145</v>
      </c>
      <c r="G26" s="106">
        <v>116</v>
      </c>
      <c r="H26" s="106">
        <v>128</v>
      </c>
      <c r="I26" s="106">
        <v>128</v>
      </c>
      <c r="J26" s="106">
        <v>134</v>
      </c>
      <c r="K26" s="106">
        <v>143</v>
      </c>
      <c r="L26" s="106">
        <v>136</v>
      </c>
      <c r="M26" s="106">
        <v>140</v>
      </c>
      <c r="N26" s="106">
        <v>142</v>
      </c>
    </row>
    <row r="27" spans="2:14" x14ac:dyDescent="0.35">
      <c r="B27" t="s">
        <v>272</v>
      </c>
      <c r="C27" s="106">
        <v>30</v>
      </c>
      <c r="D27" s="106">
        <v>38</v>
      </c>
      <c r="E27" s="106">
        <v>43</v>
      </c>
      <c r="F27" s="106">
        <v>44</v>
      </c>
      <c r="G27" s="106">
        <v>17</v>
      </c>
      <c r="H27" s="106">
        <v>36</v>
      </c>
      <c r="I27" s="106">
        <v>36</v>
      </c>
      <c r="J27" s="106">
        <v>40</v>
      </c>
      <c r="K27" s="106">
        <v>43</v>
      </c>
      <c r="L27" s="106">
        <v>46</v>
      </c>
      <c r="M27" s="106">
        <v>57</v>
      </c>
      <c r="N27" s="106"/>
    </row>
    <row r="28" spans="2:14" x14ac:dyDescent="0.35">
      <c r="B28" s="13" t="s">
        <v>273</v>
      </c>
      <c r="C28" s="109">
        <v>1216</v>
      </c>
      <c r="D28" s="109">
        <v>1381</v>
      </c>
      <c r="E28" s="109">
        <v>1592</v>
      </c>
      <c r="F28" s="109">
        <v>1710</v>
      </c>
      <c r="G28" s="109">
        <v>1041</v>
      </c>
      <c r="H28" s="109">
        <v>1359</v>
      </c>
      <c r="I28" s="109">
        <v>1684</v>
      </c>
      <c r="J28" s="109">
        <v>2195</v>
      </c>
      <c r="K28" s="109">
        <v>2618</v>
      </c>
      <c r="L28" s="109">
        <v>2756</v>
      </c>
      <c r="M28" s="109">
        <v>2948</v>
      </c>
      <c r="N28" s="109">
        <v>142</v>
      </c>
    </row>
    <row r="29" spans="2:14" x14ac:dyDescent="0.35">
      <c r="B29" s="13" t="s">
        <v>274</v>
      </c>
      <c r="C29" s="108">
        <v>591</v>
      </c>
      <c r="D29" s="108">
        <v>644</v>
      </c>
      <c r="E29" s="108">
        <v>745</v>
      </c>
      <c r="F29" s="108">
        <v>866</v>
      </c>
      <c r="G29" s="108">
        <v>91</v>
      </c>
      <c r="H29" s="108">
        <v>199</v>
      </c>
      <c r="I29" s="108">
        <v>338</v>
      </c>
      <c r="J29" s="108">
        <v>507</v>
      </c>
      <c r="K29" s="108">
        <v>739</v>
      </c>
      <c r="L29" s="108">
        <v>963</v>
      </c>
      <c r="M29" s="108">
        <v>1195</v>
      </c>
      <c r="N29" s="108"/>
    </row>
    <row r="30" spans="2:14" x14ac:dyDescent="0.35">
      <c r="B30" s="83" t="s">
        <v>38</v>
      </c>
      <c r="C30" s="110">
        <f>C28-C29</f>
        <v>625</v>
      </c>
      <c r="D30" s="110">
        <f t="shared" ref="D30:N30" si="0">D28-D29</f>
        <v>737</v>
      </c>
      <c r="E30" s="110">
        <f t="shared" si="0"/>
        <v>847</v>
      </c>
      <c r="F30" s="110">
        <f t="shared" si="0"/>
        <v>844</v>
      </c>
      <c r="G30" s="110">
        <f t="shared" si="0"/>
        <v>950</v>
      </c>
      <c r="H30" s="110">
        <f t="shared" si="0"/>
        <v>1160</v>
      </c>
      <c r="I30" s="110">
        <f t="shared" si="0"/>
        <v>1346</v>
      </c>
      <c r="J30" s="110">
        <f t="shared" si="0"/>
        <v>1688</v>
      </c>
      <c r="K30" s="110">
        <f t="shared" si="0"/>
        <v>1879</v>
      </c>
      <c r="L30" s="110">
        <f t="shared" si="0"/>
        <v>1793</v>
      </c>
      <c r="M30" s="110">
        <f t="shared" si="0"/>
        <v>1753</v>
      </c>
      <c r="N30" s="110">
        <f t="shared" si="0"/>
        <v>142</v>
      </c>
    </row>
    <row r="31" spans="2:14" x14ac:dyDescent="0.35">
      <c r="B31" s="13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</row>
    <row r="32" spans="2:14" x14ac:dyDescent="0.35">
      <c r="B32" s="13" t="s">
        <v>275</v>
      </c>
      <c r="C32" s="111">
        <v>111</v>
      </c>
      <c r="D32" s="111">
        <v>147</v>
      </c>
      <c r="E32" s="111">
        <v>107</v>
      </c>
      <c r="F32" s="111">
        <v>48</v>
      </c>
      <c r="G32" s="111">
        <v>90</v>
      </c>
      <c r="H32" s="111">
        <v>30</v>
      </c>
      <c r="I32" s="111">
        <v>203</v>
      </c>
      <c r="J32" s="111">
        <v>101</v>
      </c>
      <c r="K32" s="111">
        <v>40</v>
      </c>
      <c r="L32" s="111">
        <v>117</v>
      </c>
      <c r="M32" s="111">
        <v>536</v>
      </c>
      <c r="N32" s="111">
        <v>105</v>
      </c>
    </row>
    <row r="33" spans="2:14" x14ac:dyDescent="0.35">
      <c r="B33" s="13" t="s">
        <v>40</v>
      </c>
      <c r="C33" s="111">
        <v>249</v>
      </c>
      <c r="D33" s="111">
        <v>108</v>
      </c>
      <c r="E33" s="111">
        <v>198</v>
      </c>
      <c r="F33" s="111">
        <v>518</v>
      </c>
      <c r="G33" s="111">
        <v>788</v>
      </c>
      <c r="H33" s="111">
        <v>487</v>
      </c>
      <c r="I33" s="111">
        <v>1079</v>
      </c>
      <c r="J33" s="111">
        <v>1476</v>
      </c>
      <c r="K33" s="111">
        <v>2893</v>
      </c>
      <c r="L33" s="111">
        <v>2781</v>
      </c>
      <c r="M33" s="111">
        <v>1762</v>
      </c>
      <c r="N33" s="111">
        <v>3324</v>
      </c>
    </row>
    <row r="34" spans="2:14" x14ac:dyDescent="0.35">
      <c r="B34" s="13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</row>
    <row r="35" spans="2:14" x14ac:dyDescent="0.35">
      <c r="B35" s="13" t="s">
        <v>276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</row>
    <row r="36" spans="2:14" x14ac:dyDescent="0.35">
      <c r="B36" t="s">
        <v>277</v>
      </c>
      <c r="C36" s="111">
        <v>432</v>
      </c>
      <c r="D36" s="111">
        <v>375</v>
      </c>
      <c r="E36" s="111">
        <v>420</v>
      </c>
      <c r="F36" s="111">
        <v>404</v>
      </c>
      <c r="G36" s="111">
        <v>441</v>
      </c>
      <c r="H36" s="111">
        <v>661</v>
      </c>
      <c r="I36" s="111">
        <v>653</v>
      </c>
      <c r="J36" s="111">
        <v>781</v>
      </c>
      <c r="K36" s="111">
        <v>741</v>
      </c>
      <c r="L36" s="111">
        <v>1091</v>
      </c>
      <c r="M36" s="111">
        <v>1367</v>
      </c>
      <c r="N36" s="111">
        <v>1193</v>
      </c>
    </row>
    <row r="37" spans="2:14" x14ac:dyDescent="0.35">
      <c r="B37" t="s">
        <v>278</v>
      </c>
      <c r="C37" s="111">
        <v>113</v>
      </c>
      <c r="D37" s="111">
        <v>123</v>
      </c>
      <c r="E37" s="111">
        <v>109</v>
      </c>
      <c r="F37" s="111">
        <v>136</v>
      </c>
      <c r="G37" s="111">
        <v>171</v>
      </c>
      <c r="H37" s="111">
        <v>179</v>
      </c>
      <c r="I37" s="111">
        <v>305</v>
      </c>
      <c r="J37" s="111">
        <v>394</v>
      </c>
      <c r="K37" s="111">
        <v>320</v>
      </c>
      <c r="L37" s="111">
        <v>257</v>
      </c>
      <c r="M37" s="111">
        <v>332</v>
      </c>
      <c r="N37" s="111">
        <v>329</v>
      </c>
    </row>
    <row r="38" spans="2:14" x14ac:dyDescent="0.35">
      <c r="B38" t="s">
        <v>279</v>
      </c>
      <c r="C38" s="111">
        <v>61</v>
      </c>
      <c r="D38" s="111">
        <v>103</v>
      </c>
      <c r="E38" s="111">
        <v>109</v>
      </c>
      <c r="F38" s="111">
        <v>226</v>
      </c>
      <c r="G38" s="111">
        <v>88</v>
      </c>
      <c r="H38" s="111">
        <v>121</v>
      </c>
      <c r="I38" s="111">
        <v>186</v>
      </c>
      <c r="J38" s="111">
        <v>110</v>
      </c>
      <c r="K38" s="111">
        <v>123</v>
      </c>
      <c r="L38" s="111">
        <v>211</v>
      </c>
      <c r="M38" s="111">
        <v>185</v>
      </c>
      <c r="N38" s="111">
        <v>198</v>
      </c>
    </row>
    <row r="39" spans="2:14" x14ac:dyDescent="0.35">
      <c r="B39" t="s">
        <v>280</v>
      </c>
      <c r="C39" s="111">
        <v>0</v>
      </c>
      <c r="D39" s="111">
        <v>0</v>
      </c>
      <c r="E39" s="111">
        <v>1</v>
      </c>
      <c r="F39" s="111">
        <v>0</v>
      </c>
      <c r="G39" s="111">
        <v>1</v>
      </c>
      <c r="H39" s="111">
        <v>1</v>
      </c>
      <c r="I39" s="111">
        <v>1</v>
      </c>
      <c r="J39" s="111">
        <v>1</v>
      </c>
      <c r="K39" s="111">
        <v>0</v>
      </c>
      <c r="L39" s="111">
        <v>5</v>
      </c>
      <c r="M39" s="111">
        <v>3</v>
      </c>
      <c r="N39" s="111">
        <v>560</v>
      </c>
    </row>
    <row r="40" spans="2:14" x14ac:dyDescent="0.35">
      <c r="B40" t="s">
        <v>281</v>
      </c>
      <c r="C40" s="112">
        <v>252</v>
      </c>
      <c r="D40" s="112">
        <v>291</v>
      </c>
      <c r="E40" s="112">
        <v>315</v>
      </c>
      <c r="F40" s="112">
        <v>617</v>
      </c>
      <c r="G40" s="112">
        <v>965</v>
      </c>
      <c r="H40" s="112">
        <v>1469</v>
      </c>
      <c r="I40" s="112">
        <v>1416</v>
      </c>
      <c r="J40" s="112">
        <v>1686</v>
      </c>
      <c r="K40" s="112">
        <v>1834</v>
      </c>
      <c r="L40" s="112">
        <v>1745</v>
      </c>
      <c r="M40" s="112">
        <v>1576</v>
      </c>
      <c r="N40" s="112">
        <v>988</v>
      </c>
    </row>
    <row r="41" spans="2:14" x14ac:dyDescent="0.35">
      <c r="B41" s="113" t="s">
        <v>86</v>
      </c>
      <c r="C41" s="114">
        <v>1842</v>
      </c>
      <c r="D41" s="114">
        <v>1883</v>
      </c>
      <c r="E41" s="114">
        <v>2107</v>
      </c>
      <c r="F41" s="114">
        <v>2793</v>
      </c>
      <c r="G41" s="114">
        <v>3494</v>
      </c>
      <c r="H41" s="114">
        <v>4109</v>
      </c>
      <c r="I41" s="114">
        <v>5188</v>
      </c>
      <c r="J41" s="114">
        <v>6238</v>
      </c>
      <c r="K41" s="114">
        <v>7830</v>
      </c>
      <c r="L41" s="114">
        <v>8000</v>
      </c>
      <c r="M41" s="114">
        <v>7515</v>
      </c>
      <c r="N41" s="114">
        <v>9353</v>
      </c>
    </row>
    <row r="44" spans="2:14" x14ac:dyDescent="0.35">
      <c r="B44" s="159" t="str">
        <f>" Raw Cash Flow Statement - "&amp;'Data Sheet'!B1</f>
        <v xml:space="preserve"> Raw Cash Flow Statement - BRITANNIA INDUSTRIES LTD</v>
      </c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</row>
    <row r="45" spans="2:14" x14ac:dyDescent="0.35">
      <c r="B45" s="94" t="s">
        <v>152</v>
      </c>
      <c r="C45" s="103">
        <v>40969</v>
      </c>
      <c r="D45" s="103">
        <v>41334</v>
      </c>
      <c r="E45" s="103">
        <v>41699</v>
      </c>
      <c r="F45" s="103">
        <v>42064</v>
      </c>
      <c r="G45" s="103">
        <v>42430</v>
      </c>
      <c r="H45" s="103">
        <v>42795</v>
      </c>
      <c r="I45" s="103">
        <v>43160</v>
      </c>
      <c r="J45" s="103">
        <v>43525</v>
      </c>
      <c r="K45" s="103">
        <v>43891</v>
      </c>
      <c r="L45" s="103">
        <v>44256</v>
      </c>
      <c r="M45" s="103">
        <v>44621</v>
      </c>
      <c r="N45" s="103">
        <v>44986</v>
      </c>
    </row>
    <row r="46" spans="2:14" x14ac:dyDescent="0.3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2:14" x14ac:dyDescent="0.35">
      <c r="B47" s="13" t="s">
        <v>336</v>
      </c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</row>
    <row r="48" spans="2:14" x14ac:dyDescent="0.35">
      <c r="B48" s="160" t="s">
        <v>88</v>
      </c>
      <c r="C48" s="106">
        <v>316</v>
      </c>
      <c r="D48" s="106">
        <v>425</v>
      </c>
      <c r="E48" s="106">
        <v>631</v>
      </c>
      <c r="F48" s="106">
        <v>861</v>
      </c>
      <c r="G48" s="106">
        <v>1230</v>
      </c>
      <c r="H48" s="106">
        <v>1289</v>
      </c>
      <c r="I48" s="106">
        <v>1517</v>
      </c>
      <c r="J48" s="106">
        <v>1754</v>
      </c>
      <c r="K48" s="106">
        <v>1860</v>
      </c>
      <c r="L48" s="106">
        <v>2540</v>
      </c>
      <c r="M48" s="106">
        <v>2214</v>
      </c>
      <c r="N48" s="106">
        <v>2846</v>
      </c>
    </row>
    <row r="49" spans="2:14" x14ac:dyDescent="0.35">
      <c r="B49" s="160" t="s">
        <v>42</v>
      </c>
      <c r="C49" s="106">
        <v>-26</v>
      </c>
      <c r="D49" s="106">
        <v>-8</v>
      </c>
      <c r="E49" s="106">
        <v>18</v>
      </c>
      <c r="F49" s="106">
        <v>-25</v>
      </c>
      <c r="G49" s="106">
        <v>-32</v>
      </c>
      <c r="H49" s="106">
        <v>-9</v>
      </c>
      <c r="I49" s="106">
        <v>-125</v>
      </c>
      <c r="J49" s="106">
        <v>-87</v>
      </c>
      <c r="K49" s="106">
        <v>79</v>
      </c>
      <c r="L49" s="106">
        <v>61</v>
      </c>
      <c r="M49" s="106">
        <v>-72</v>
      </c>
      <c r="N49" s="106">
        <v>1</v>
      </c>
    </row>
    <row r="50" spans="2:14" x14ac:dyDescent="0.35">
      <c r="B50" s="160" t="s">
        <v>43</v>
      </c>
      <c r="C50" s="106">
        <v>-82</v>
      </c>
      <c r="D50" s="106">
        <v>58</v>
      </c>
      <c r="E50" s="106">
        <v>-43</v>
      </c>
      <c r="F50" s="106">
        <v>17</v>
      </c>
      <c r="G50" s="106">
        <v>-35</v>
      </c>
      <c r="H50" s="106">
        <v>-221</v>
      </c>
      <c r="I50" s="106">
        <v>9</v>
      </c>
      <c r="J50" s="106">
        <v>-127</v>
      </c>
      <c r="K50" s="106">
        <v>43</v>
      </c>
      <c r="L50" s="106">
        <v>-351</v>
      </c>
      <c r="M50" s="106">
        <v>-275</v>
      </c>
      <c r="N50" s="106">
        <v>177</v>
      </c>
    </row>
    <row r="51" spans="2:14" x14ac:dyDescent="0.35">
      <c r="B51" s="160" t="s">
        <v>89</v>
      </c>
      <c r="C51" s="106">
        <v>0</v>
      </c>
      <c r="D51" s="106">
        <v>0</v>
      </c>
      <c r="E51" s="106">
        <v>0</v>
      </c>
      <c r="F51" s="106">
        <v>0</v>
      </c>
      <c r="G51" s="106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402</v>
      </c>
      <c r="M51" s="106">
        <v>52</v>
      </c>
      <c r="N51" s="106">
        <v>292</v>
      </c>
    </row>
    <row r="52" spans="2:14" x14ac:dyDescent="0.35">
      <c r="B52" s="160" t="s">
        <v>90</v>
      </c>
      <c r="C52" s="106">
        <v>-44</v>
      </c>
      <c r="D52" s="106">
        <v>-87</v>
      </c>
      <c r="E52" s="106">
        <v>17</v>
      </c>
      <c r="F52" s="106">
        <v>14</v>
      </c>
      <c r="G52" s="106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-144</v>
      </c>
      <c r="M52" s="106">
        <v>-32</v>
      </c>
      <c r="N52" s="106">
        <v>0</v>
      </c>
    </row>
    <row r="53" spans="2:14" x14ac:dyDescent="0.35">
      <c r="B53" s="160" t="s">
        <v>91</v>
      </c>
      <c r="C53" s="106">
        <v>134</v>
      </c>
      <c r="D53" s="106">
        <v>21</v>
      </c>
      <c r="E53" s="106">
        <v>234</v>
      </c>
      <c r="F53" s="106">
        <v>18</v>
      </c>
      <c r="G53" s="106">
        <v>200</v>
      </c>
      <c r="H53" s="106">
        <v>-221</v>
      </c>
      <c r="I53" s="106">
        <v>345</v>
      </c>
      <c r="J53" s="106">
        <v>211</v>
      </c>
      <c r="K53" s="106">
        <v>6</v>
      </c>
      <c r="L53" s="106">
        <v>0</v>
      </c>
      <c r="M53" s="106">
        <v>0</v>
      </c>
      <c r="N53" s="106">
        <v>-65</v>
      </c>
    </row>
    <row r="54" spans="2:14" x14ac:dyDescent="0.35">
      <c r="B54" s="160" t="s">
        <v>92</v>
      </c>
      <c r="C54" s="106">
        <v>-18</v>
      </c>
      <c r="D54" s="106">
        <v>-16</v>
      </c>
      <c r="E54" s="106">
        <v>226</v>
      </c>
      <c r="F54" s="106">
        <v>25</v>
      </c>
      <c r="G54" s="106">
        <v>133</v>
      </c>
      <c r="H54" s="106">
        <v>-451</v>
      </c>
      <c r="I54" s="106">
        <v>228</v>
      </c>
      <c r="J54" s="106">
        <v>-2</v>
      </c>
      <c r="K54" s="106">
        <v>127</v>
      </c>
      <c r="L54" s="106">
        <v>-32</v>
      </c>
      <c r="M54" s="106">
        <v>-327</v>
      </c>
      <c r="N54" s="106">
        <v>406</v>
      </c>
    </row>
    <row r="55" spans="2:14" x14ac:dyDescent="0.35">
      <c r="B55" s="160" t="s">
        <v>93</v>
      </c>
      <c r="C55" s="106">
        <v>-52</v>
      </c>
      <c r="D55" s="106">
        <v>-89</v>
      </c>
      <c r="E55" s="106">
        <v>-186</v>
      </c>
      <c r="F55" s="106">
        <v>-301</v>
      </c>
      <c r="G55" s="106">
        <v>-403</v>
      </c>
      <c r="H55" s="106">
        <v>-397</v>
      </c>
      <c r="I55" s="106">
        <v>-496</v>
      </c>
      <c r="J55" s="106">
        <v>-596</v>
      </c>
      <c r="K55" s="106">
        <v>-503</v>
      </c>
      <c r="L55" s="106">
        <v>-633</v>
      </c>
      <c r="M55" s="106">
        <v>-587</v>
      </c>
      <c r="N55" s="106">
        <v>-726</v>
      </c>
    </row>
    <row r="56" spans="2:14" ht="3" customHeight="1" x14ac:dyDescent="0.35">
      <c r="B56" s="160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</row>
    <row r="57" spans="2:14" ht="15" thickBot="1" x14ac:dyDescent="0.4">
      <c r="B57" s="118" t="s">
        <v>337</v>
      </c>
      <c r="C57" s="120">
        <v>246</v>
      </c>
      <c r="D57" s="120">
        <v>320</v>
      </c>
      <c r="E57" s="120">
        <v>671</v>
      </c>
      <c r="F57" s="120">
        <v>584</v>
      </c>
      <c r="G57" s="120">
        <v>959</v>
      </c>
      <c r="H57" s="120">
        <v>441</v>
      </c>
      <c r="I57" s="120">
        <v>1249</v>
      </c>
      <c r="J57" s="120">
        <v>1156</v>
      </c>
      <c r="K57" s="120">
        <v>1485</v>
      </c>
      <c r="L57" s="120">
        <v>1876</v>
      </c>
      <c r="M57" s="120">
        <v>1300</v>
      </c>
      <c r="N57" s="120">
        <v>2526</v>
      </c>
    </row>
    <row r="58" spans="2:14" x14ac:dyDescent="0.35"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</row>
    <row r="59" spans="2:14" x14ac:dyDescent="0.35">
      <c r="B59" s="13" t="s">
        <v>338</v>
      </c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</row>
    <row r="60" spans="2:14" x14ac:dyDescent="0.35">
      <c r="B60" t="s">
        <v>94</v>
      </c>
      <c r="C60" s="106">
        <v>-266</v>
      </c>
      <c r="D60" s="106">
        <v>-225</v>
      </c>
      <c r="E60" s="106">
        <v>-110</v>
      </c>
      <c r="F60" s="106">
        <v>-118</v>
      </c>
      <c r="G60" s="106">
        <v>-251</v>
      </c>
      <c r="H60" s="106">
        <v>-360</v>
      </c>
      <c r="I60" s="106">
        <v>-423</v>
      </c>
      <c r="J60" s="106">
        <v>-401</v>
      </c>
      <c r="K60" s="106">
        <v>-244</v>
      </c>
      <c r="L60" s="106">
        <v>-241</v>
      </c>
      <c r="M60" s="106">
        <v>-550</v>
      </c>
      <c r="N60" s="106">
        <v>-711</v>
      </c>
    </row>
    <row r="61" spans="2:14" x14ac:dyDescent="0.35">
      <c r="B61" t="s">
        <v>95</v>
      </c>
      <c r="C61" s="106">
        <v>23</v>
      </c>
      <c r="D61" s="106">
        <v>10</v>
      </c>
      <c r="E61" s="106">
        <v>11</v>
      </c>
      <c r="F61" s="106">
        <v>164</v>
      </c>
      <c r="G61" s="106">
        <v>1</v>
      </c>
      <c r="H61" s="106">
        <v>8</v>
      </c>
      <c r="I61" s="106">
        <v>2</v>
      </c>
      <c r="J61" s="106">
        <v>2</v>
      </c>
      <c r="K61" s="106">
        <v>1</v>
      </c>
      <c r="L61" s="106">
        <v>2</v>
      </c>
      <c r="M61" s="106">
        <v>3</v>
      </c>
      <c r="N61" s="106">
        <v>78</v>
      </c>
    </row>
    <row r="62" spans="2:14" x14ac:dyDescent="0.35">
      <c r="B62" t="s">
        <v>96</v>
      </c>
      <c r="C62" s="106">
        <v>0</v>
      </c>
      <c r="D62" s="106">
        <v>0</v>
      </c>
      <c r="E62" s="106">
        <v>-84</v>
      </c>
      <c r="F62" s="106">
        <v>-277</v>
      </c>
      <c r="G62" s="106">
        <v>-211</v>
      </c>
      <c r="H62" s="106">
        <v>0</v>
      </c>
      <c r="I62" s="106">
        <v>-537</v>
      </c>
      <c r="J62" s="106">
        <v>-334</v>
      </c>
      <c r="K62" s="106">
        <v>-1327</v>
      </c>
      <c r="L62" s="106">
        <v>0</v>
      </c>
      <c r="M62" s="106">
        <v>0</v>
      </c>
      <c r="N62" s="106">
        <v>-1468</v>
      </c>
    </row>
    <row r="63" spans="2:14" x14ac:dyDescent="0.35">
      <c r="B63" t="s">
        <v>97</v>
      </c>
      <c r="C63" s="106">
        <v>149</v>
      </c>
      <c r="D63" s="106">
        <v>155</v>
      </c>
      <c r="E63" s="106">
        <v>0</v>
      </c>
      <c r="F63" s="106">
        <v>0</v>
      </c>
      <c r="G63" s="106">
        <v>0</v>
      </c>
      <c r="H63" s="106">
        <v>359</v>
      </c>
      <c r="I63" s="106">
        <v>0</v>
      </c>
      <c r="J63" s="106">
        <v>0</v>
      </c>
      <c r="K63" s="106">
        <v>0</v>
      </c>
      <c r="L63" s="106">
        <v>179</v>
      </c>
      <c r="M63" s="106">
        <v>1048</v>
      </c>
      <c r="N63" s="106">
        <v>443</v>
      </c>
    </row>
    <row r="64" spans="2:14" x14ac:dyDescent="0.35">
      <c r="B64" t="s">
        <v>98</v>
      </c>
      <c r="C64" s="106">
        <v>29</v>
      </c>
      <c r="D64" s="106">
        <v>28</v>
      </c>
      <c r="E64" s="106">
        <v>13</v>
      </c>
      <c r="F64" s="106">
        <v>30</v>
      </c>
      <c r="G64" s="106">
        <v>66</v>
      </c>
      <c r="H64" s="106">
        <v>75</v>
      </c>
      <c r="I64" s="106">
        <v>109</v>
      </c>
      <c r="J64" s="106">
        <v>117</v>
      </c>
      <c r="K64" s="106">
        <v>128</v>
      </c>
      <c r="L64" s="106">
        <v>233</v>
      </c>
      <c r="M64" s="106">
        <v>207</v>
      </c>
      <c r="N64" s="106">
        <v>175</v>
      </c>
    </row>
    <row r="65" spans="2:14" x14ac:dyDescent="0.35">
      <c r="B65" t="s">
        <v>99</v>
      </c>
      <c r="C65" s="106">
        <v>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</row>
    <row r="66" spans="2:14" x14ac:dyDescent="0.35">
      <c r="B66" t="s">
        <v>100</v>
      </c>
      <c r="C66" s="106">
        <v>0</v>
      </c>
      <c r="D66" s="106">
        <v>0</v>
      </c>
      <c r="E66" s="106">
        <v>0</v>
      </c>
      <c r="F66" s="106">
        <v>0</v>
      </c>
      <c r="G66" s="106">
        <v>0</v>
      </c>
      <c r="H66" s="106">
        <v>-14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-215</v>
      </c>
    </row>
    <row r="67" spans="2:14" x14ac:dyDescent="0.35">
      <c r="B67" t="s">
        <v>101</v>
      </c>
      <c r="C67" s="106">
        <v>0</v>
      </c>
      <c r="D67" s="106">
        <v>0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0</v>
      </c>
      <c r="M67" s="106">
        <v>0</v>
      </c>
      <c r="N67" s="106">
        <v>262</v>
      </c>
    </row>
    <row r="68" spans="2:14" x14ac:dyDescent="0.35">
      <c r="B68" t="s">
        <v>102</v>
      </c>
      <c r="C68" s="106">
        <v>0</v>
      </c>
      <c r="D68" s="106">
        <v>60</v>
      </c>
      <c r="E68" s="106">
        <v>-75</v>
      </c>
      <c r="F68" s="106">
        <v>-250</v>
      </c>
      <c r="G68" s="106">
        <v>-311</v>
      </c>
      <c r="H68" s="106">
        <v>-218</v>
      </c>
      <c r="I68" s="106">
        <v>-107</v>
      </c>
      <c r="J68" s="106">
        <v>-239</v>
      </c>
      <c r="K68" s="106">
        <v>-89</v>
      </c>
      <c r="L68" s="106">
        <v>289</v>
      </c>
      <c r="M68" s="106">
        <v>202</v>
      </c>
      <c r="N68" s="106">
        <v>88</v>
      </c>
    </row>
    <row r="69" spans="2:14" x14ac:dyDescent="0.35">
      <c r="B69" t="s">
        <v>103</v>
      </c>
      <c r="C69" s="163">
        <v>0</v>
      </c>
      <c r="D69" s="163">
        <v>0</v>
      </c>
      <c r="E69" s="163">
        <v>0</v>
      </c>
      <c r="F69" s="163">
        <v>0</v>
      </c>
      <c r="G69" s="163">
        <v>0</v>
      </c>
      <c r="H69" s="163">
        <v>0</v>
      </c>
      <c r="I69" s="163">
        <v>0</v>
      </c>
      <c r="J69" s="163">
        <v>3</v>
      </c>
      <c r="K69" s="163">
        <v>6</v>
      </c>
      <c r="L69" s="163">
        <v>-29</v>
      </c>
      <c r="M69" s="163">
        <v>5</v>
      </c>
      <c r="N69" s="163">
        <v>-169</v>
      </c>
    </row>
    <row r="70" spans="2:14" ht="3" customHeight="1" x14ac:dyDescent="0.35"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</row>
    <row r="71" spans="2:14" ht="15" thickBot="1" x14ac:dyDescent="0.4">
      <c r="B71" s="118" t="s">
        <v>339</v>
      </c>
      <c r="C71" s="120">
        <v>-65</v>
      </c>
      <c r="D71" s="120">
        <v>28</v>
      </c>
      <c r="E71" s="120">
        <v>-246</v>
      </c>
      <c r="F71" s="120">
        <v>-450</v>
      </c>
      <c r="G71" s="120">
        <v>-705</v>
      </c>
      <c r="H71" s="120">
        <v>-150</v>
      </c>
      <c r="I71" s="120">
        <v>-957</v>
      </c>
      <c r="J71" s="120">
        <v>-852</v>
      </c>
      <c r="K71" s="120">
        <v>-1526</v>
      </c>
      <c r="L71" s="120">
        <v>433</v>
      </c>
      <c r="M71" s="120">
        <v>914</v>
      </c>
      <c r="N71" s="120">
        <v>-1517</v>
      </c>
    </row>
    <row r="72" spans="2:14" x14ac:dyDescent="0.35"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</row>
    <row r="73" spans="2:14" x14ac:dyDescent="0.35">
      <c r="B73" s="13" t="s">
        <v>340</v>
      </c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</row>
    <row r="74" spans="2:14" x14ac:dyDescent="0.35">
      <c r="B74" t="s">
        <v>104</v>
      </c>
      <c r="C74" s="163">
        <v>0</v>
      </c>
      <c r="D74" s="163">
        <v>1</v>
      </c>
      <c r="E74" s="163">
        <v>14</v>
      </c>
      <c r="F74" s="163">
        <v>0</v>
      </c>
      <c r="G74" s="163">
        <v>4</v>
      </c>
      <c r="H74" s="163">
        <v>6</v>
      </c>
      <c r="I74" s="163">
        <v>15</v>
      </c>
      <c r="J74" s="163">
        <v>30</v>
      </c>
      <c r="K74" s="163">
        <v>24</v>
      </c>
      <c r="L74" s="163">
        <v>103</v>
      </c>
      <c r="M74" s="163">
        <v>0</v>
      </c>
      <c r="N74" s="163">
        <v>0</v>
      </c>
    </row>
    <row r="75" spans="2:14" x14ac:dyDescent="0.35">
      <c r="B75" t="s">
        <v>341</v>
      </c>
      <c r="C75" s="163">
        <v>0</v>
      </c>
      <c r="D75" s="163">
        <v>0</v>
      </c>
      <c r="E75" s="163">
        <v>0</v>
      </c>
      <c r="F75" s="163">
        <v>0</v>
      </c>
      <c r="G75" s="163">
        <v>0</v>
      </c>
      <c r="H75" s="163">
        <v>0</v>
      </c>
      <c r="I75" s="163">
        <v>0</v>
      </c>
      <c r="J75" s="163">
        <v>0</v>
      </c>
      <c r="K75" s="163">
        <v>721</v>
      </c>
      <c r="L75" s="163">
        <v>0</v>
      </c>
      <c r="M75" s="163">
        <v>699</v>
      </c>
      <c r="N75" s="163">
        <v>0</v>
      </c>
    </row>
    <row r="76" spans="2:14" x14ac:dyDescent="0.35">
      <c r="B76" t="s">
        <v>105</v>
      </c>
      <c r="C76" s="163">
        <v>0</v>
      </c>
      <c r="D76" s="163">
        <v>0</v>
      </c>
      <c r="E76" s="163">
        <v>0</v>
      </c>
      <c r="F76" s="163">
        <v>0</v>
      </c>
      <c r="G76" s="163">
        <v>0</v>
      </c>
      <c r="H76" s="163">
        <v>0</v>
      </c>
      <c r="I76" s="163">
        <v>0</v>
      </c>
      <c r="J76" s="163">
        <v>0</v>
      </c>
      <c r="K76" s="163">
        <v>-869</v>
      </c>
      <c r="L76" s="163">
        <v>0</v>
      </c>
      <c r="M76" s="163">
        <v>0</v>
      </c>
      <c r="N76" s="163">
        <v>-721</v>
      </c>
    </row>
    <row r="77" spans="2:14" x14ac:dyDescent="0.35">
      <c r="B77" t="s">
        <v>106</v>
      </c>
      <c r="C77" s="163">
        <v>0</v>
      </c>
      <c r="D77" s="163">
        <v>0</v>
      </c>
      <c r="E77" s="163">
        <v>0</v>
      </c>
      <c r="F77" s="163">
        <v>17</v>
      </c>
      <c r="G77" s="163">
        <v>0</v>
      </c>
      <c r="H77" s="163">
        <v>0</v>
      </c>
      <c r="I77" s="163">
        <v>0</v>
      </c>
      <c r="J77" s="163">
        <v>0</v>
      </c>
      <c r="K77" s="163">
        <v>641</v>
      </c>
      <c r="L77" s="163">
        <v>1533</v>
      </c>
      <c r="M77" s="163">
        <v>645</v>
      </c>
      <c r="N77" s="163">
        <v>302</v>
      </c>
    </row>
    <row r="78" spans="2:14" x14ac:dyDescent="0.35">
      <c r="B78" t="s">
        <v>107</v>
      </c>
      <c r="C78" s="163">
        <v>-37</v>
      </c>
      <c r="D78" s="163">
        <v>0</v>
      </c>
      <c r="E78" s="163">
        <v>0</v>
      </c>
      <c r="F78" s="163">
        <v>-27</v>
      </c>
      <c r="G78" s="163">
        <v>0</v>
      </c>
      <c r="H78" s="163">
        <v>0</v>
      </c>
      <c r="I78" s="163">
        <v>0</v>
      </c>
      <c r="J78" s="163">
        <v>-42</v>
      </c>
      <c r="K78" s="163">
        <v>0</v>
      </c>
      <c r="L78" s="163">
        <v>-964</v>
      </c>
      <c r="M78" s="163">
        <v>-984</v>
      </c>
      <c r="N78" s="163">
        <v>-70</v>
      </c>
    </row>
    <row r="79" spans="2:14" x14ac:dyDescent="0.35">
      <c r="B79" t="s">
        <v>342</v>
      </c>
      <c r="C79" s="163">
        <v>0</v>
      </c>
      <c r="D79" s="163">
        <v>0</v>
      </c>
      <c r="E79" s="163">
        <v>0</v>
      </c>
      <c r="F79" s="163">
        <v>0</v>
      </c>
      <c r="G79" s="163">
        <v>0</v>
      </c>
      <c r="H79" s="163">
        <v>0</v>
      </c>
      <c r="I79" s="163">
        <v>0</v>
      </c>
      <c r="J79" s="163">
        <v>0</v>
      </c>
      <c r="K79" s="163">
        <v>0</v>
      </c>
      <c r="L79" s="163">
        <v>0</v>
      </c>
      <c r="M79" s="163">
        <v>0</v>
      </c>
      <c r="N79" s="163">
        <v>1010</v>
      </c>
    </row>
    <row r="80" spans="2:14" x14ac:dyDescent="0.35">
      <c r="B80" t="s">
        <v>343</v>
      </c>
      <c r="C80" s="163">
        <v>0</v>
      </c>
      <c r="D80" s="163">
        <v>5</v>
      </c>
      <c r="E80" s="163">
        <v>0</v>
      </c>
      <c r="F80" s="163">
        <v>0</v>
      </c>
      <c r="G80" s="163">
        <v>0</v>
      </c>
      <c r="H80" s="163">
        <v>0</v>
      </c>
      <c r="I80" s="163">
        <v>0</v>
      </c>
      <c r="J80" s="163">
        <v>0</v>
      </c>
      <c r="K80" s="163">
        <v>0</v>
      </c>
      <c r="L80" s="163">
        <v>0</v>
      </c>
      <c r="M80" s="163">
        <v>0</v>
      </c>
      <c r="N80" s="163">
        <v>0</v>
      </c>
    </row>
    <row r="81" spans="2:14" x14ac:dyDescent="0.35">
      <c r="B81" t="s">
        <v>108</v>
      </c>
      <c r="C81" s="163">
        <v>-41</v>
      </c>
      <c r="D81" s="163">
        <v>-42</v>
      </c>
      <c r="E81" s="163">
        <v>-9</v>
      </c>
      <c r="F81" s="163">
        <v>-3</v>
      </c>
      <c r="G81" s="163">
        <v>-5</v>
      </c>
      <c r="H81" s="163">
        <v>-6</v>
      </c>
      <c r="I81" s="163">
        <v>-7</v>
      </c>
      <c r="J81" s="163">
        <v>-9</v>
      </c>
      <c r="K81" s="163">
        <v>-36</v>
      </c>
      <c r="L81" s="163">
        <v>-102</v>
      </c>
      <c r="M81" s="163">
        <v>-119</v>
      </c>
      <c r="N81" s="163">
        <v>-196</v>
      </c>
    </row>
    <row r="82" spans="2:14" x14ac:dyDescent="0.35">
      <c r="B82" t="s">
        <v>109</v>
      </c>
      <c r="C82" s="163">
        <v>-90</v>
      </c>
      <c r="D82" s="163">
        <v>-118</v>
      </c>
      <c r="E82" s="163">
        <v>-119</v>
      </c>
      <c r="F82" s="163">
        <v>-168</v>
      </c>
      <c r="G82" s="163">
        <v>-231</v>
      </c>
      <c r="H82" s="163">
        <v>-288</v>
      </c>
      <c r="I82" s="163">
        <v>-317</v>
      </c>
      <c r="J82" s="163">
        <v>-354</v>
      </c>
      <c r="K82" s="163">
        <v>-433</v>
      </c>
      <c r="L82" s="163">
        <v>-2824</v>
      </c>
      <c r="M82" s="163">
        <v>-2485</v>
      </c>
      <c r="N82" s="163">
        <v>-1359</v>
      </c>
    </row>
    <row r="83" spans="2:14" x14ac:dyDescent="0.35">
      <c r="B83" t="s">
        <v>110</v>
      </c>
      <c r="C83" s="163">
        <v>0</v>
      </c>
      <c r="D83" s="163">
        <v>0</v>
      </c>
      <c r="E83" s="163">
        <v>0</v>
      </c>
      <c r="F83" s="163">
        <v>0</v>
      </c>
      <c r="G83" s="163">
        <v>0</v>
      </c>
      <c r="H83" s="163">
        <v>0</v>
      </c>
      <c r="I83" s="163">
        <v>0</v>
      </c>
      <c r="J83" s="163">
        <v>0</v>
      </c>
      <c r="K83" s="163">
        <v>-2</v>
      </c>
      <c r="L83" s="163">
        <v>-3</v>
      </c>
      <c r="M83" s="163">
        <v>-2</v>
      </c>
      <c r="N83" s="163">
        <v>-6</v>
      </c>
    </row>
    <row r="84" spans="2:14" x14ac:dyDescent="0.35">
      <c r="B84" t="s">
        <v>344</v>
      </c>
      <c r="C84" s="163">
        <v>0</v>
      </c>
      <c r="D84" s="163">
        <v>2</v>
      </c>
      <c r="E84" s="163">
        <v>0</v>
      </c>
      <c r="F84" s="163">
        <v>0</v>
      </c>
      <c r="G84" s="163">
        <v>0</v>
      </c>
      <c r="H84" s="163">
        <v>0</v>
      </c>
      <c r="I84" s="163">
        <v>0</v>
      </c>
      <c r="J84" s="163">
        <v>0</v>
      </c>
      <c r="K84" s="163">
        <v>0</v>
      </c>
      <c r="L84" s="163">
        <v>0</v>
      </c>
      <c r="M84" s="163">
        <v>0</v>
      </c>
      <c r="N84" s="163">
        <v>0</v>
      </c>
    </row>
    <row r="85" spans="2:14" x14ac:dyDescent="0.35">
      <c r="B85" t="s">
        <v>111</v>
      </c>
      <c r="C85" s="163">
        <v>0</v>
      </c>
      <c r="D85" s="163">
        <v>-227</v>
      </c>
      <c r="E85" s="163">
        <v>-243</v>
      </c>
      <c r="F85" s="163">
        <v>0</v>
      </c>
      <c r="G85" s="163">
        <v>-15</v>
      </c>
      <c r="H85" s="163">
        <v>-7</v>
      </c>
      <c r="I85" s="163">
        <v>78</v>
      </c>
      <c r="J85" s="163">
        <v>23</v>
      </c>
      <c r="K85" s="163">
        <v>12</v>
      </c>
      <c r="L85" s="163">
        <v>14</v>
      </c>
      <c r="M85" s="163">
        <v>0</v>
      </c>
      <c r="N85" s="163">
        <v>12</v>
      </c>
    </row>
    <row r="86" spans="2:14" ht="3" customHeight="1" x14ac:dyDescent="0.35"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</row>
    <row r="87" spans="2:14" x14ac:dyDescent="0.35">
      <c r="B87" s="27" t="s">
        <v>345</v>
      </c>
      <c r="C87" s="165">
        <v>-168</v>
      </c>
      <c r="D87" s="165">
        <v>-378</v>
      </c>
      <c r="E87" s="165">
        <v>-357</v>
      </c>
      <c r="F87" s="165">
        <v>-181</v>
      </c>
      <c r="G87" s="165">
        <v>-246</v>
      </c>
      <c r="H87" s="165">
        <v>-295</v>
      </c>
      <c r="I87" s="165">
        <v>-232</v>
      </c>
      <c r="J87" s="165">
        <v>-353</v>
      </c>
      <c r="K87" s="165">
        <v>58</v>
      </c>
      <c r="L87" s="165">
        <v>-2242</v>
      </c>
      <c r="M87" s="165">
        <v>-2246</v>
      </c>
      <c r="N87" s="165">
        <v>-1028</v>
      </c>
    </row>
    <row r="88" spans="2:14" x14ac:dyDescent="0.35"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</row>
    <row r="89" spans="2:14" ht="15" thickBot="1" x14ac:dyDescent="0.4">
      <c r="B89" s="166" t="s">
        <v>52</v>
      </c>
      <c r="C89" s="167">
        <v>1842</v>
      </c>
      <c r="D89" s="167">
        <v>1883</v>
      </c>
      <c r="E89" s="167">
        <v>2107</v>
      </c>
      <c r="F89" s="167">
        <v>2793</v>
      </c>
      <c r="G89" s="167">
        <v>3494</v>
      </c>
      <c r="H89" s="167">
        <v>4109</v>
      </c>
      <c r="I89" s="167">
        <v>5188</v>
      </c>
      <c r="J89" s="167">
        <v>6238</v>
      </c>
      <c r="K89" s="167">
        <v>7830</v>
      </c>
      <c r="L89" s="167">
        <v>8000</v>
      </c>
      <c r="M89" s="167">
        <v>7515</v>
      </c>
      <c r="N89" s="167">
        <v>9353</v>
      </c>
    </row>
    <row r="90" spans="2:14" ht="15" thickTop="1" x14ac:dyDescent="0.35"/>
  </sheetData>
  <mergeCells count="2">
    <mergeCell ref="B2:N2"/>
    <mergeCell ref="B44:N44"/>
  </mergeCells>
  <pageMargins left="0.7" right="0.7" top="0.75" bottom="0.75" header="0.3" footer="0.3"/>
  <pageSetup paperSize="9" scale="58"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953C-FA05-4997-9F97-12C77E375BDD}">
  <sheetPr>
    <tabColor theme="8" tint="-0.499984740745262"/>
    <pageSetUpPr fitToPage="1"/>
  </sheetPr>
  <dimension ref="B2:F6"/>
  <sheetViews>
    <sheetView workbookViewId="0">
      <selection activeCell="A2" sqref="A2:F6"/>
    </sheetView>
  </sheetViews>
  <sheetFormatPr defaultRowHeight="14.5" x14ac:dyDescent="0.35"/>
  <cols>
    <col min="2" max="2" width="16.54296875" bestFit="1" customWidth="1"/>
    <col min="3" max="3" width="5.453125" bestFit="1" customWidth="1"/>
    <col min="4" max="4" width="6.7265625" bestFit="1" customWidth="1"/>
    <col min="5" max="5" width="8.81640625" bestFit="1" customWidth="1"/>
    <col min="6" max="6" width="7.1796875" bestFit="1" customWidth="1"/>
  </cols>
  <sheetData>
    <row r="2" spans="2:6" x14ac:dyDescent="0.35">
      <c r="B2" s="86"/>
      <c r="C2" s="86"/>
      <c r="D2" s="86"/>
      <c r="E2" s="86"/>
      <c r="F2" s="90"/>
    </row>
    <row r="3" spans="2:6" x14ac:dyDescent="0.35">
      <c r="B3" s="86"/>
      <c r="C3" s="86"/>
      <c r="D3" s="86"/>
      <c r="E3" s="86"/>
      <c r="F3" s="90"/>
    </row>
    <row r="4" spans="2:6" x14ac:dyDescent="0.35">
      <c r="B4" s="86"/>
      <c r="C4" s="86"/>
      <c r="D4" s="86"/>
      <c r="E4" s="86"/>
      <c r="F4" s="90"/>
    </row>
    <row r="5" spans="2:6" x14ac:dyDescent="0.35">
      <c r="B5" s="86"/>
      <c r="C5" s="86"/>
      <c r="D5" s="86"/>
      <c r="E5" s="86"/>
      <c r="F5" s="90"/>
    </row>
    <row r="6" spans="2:6" x14ac:dyDescent="0.35">
      <c r="B6" s="86"/>
      <c r="C6" s="86"/>
      <c r="D6" s="86"/>
      <c r="E6" s="86"/>
      <c r="F6" s="9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489E-5E23-47B8-8804-85AF15181994}">
  <dimension ref="B2:G7"/>
  <sheetViews>
    <sheetView showGridLines="0" workbookViewId="0">
      <selection activeCell="D7" sqref="D7"/>
    </sheetView>
  </sheetViews>
  <sheetFormatPr defaultRowHeight="14.5" x14ac:dyDescent="0.35"/>
  <cols>
    <col min="1" max="1" width="2.1796875" customWidth="1"/>
    <col min="3" max="3" width="15.54296875" bestFit="1" customWidth="1"/>
    <col min="4" max="4" width="8.81640625" bestFit="1" customWidth="1"/>
    <col min="5" max="5" width="13.7265625" bestFit="1" customWidth="1"/>
    <col min="6" max="6" width="10.08984375" bestFit="1" customWidth="1"/>
    <col min="7" max="7" width="8.6328125" bestFit="1" customWidth="1"/>
  </cols>
  <sheetData>
    <row r="2" spans="2:7" x14ac:dyDescent="0.35">
      <c r="B2" t="s">
        <v>205</v>
      </c>
      <c r="C2" t="s">
        <v>204</v>
      </c>
      <c r="D2" t="s">
        <v>203</v>
      </c>
      <c r="E2" t="s">
        <v>202</v>
      </c>
      <c r="F2" t="s">
        <v>201</v>
      </c>
      <c r="G2" t="s">
        <v>200</v>
      </c>
    </row>
    <row r="3" spans="2:7" x14ac:dyDescent="0.35">
      <c r="B3">
        <v>1</v>
      </c>
      <c r="C3" t="s">
        <v>186</v>
      </c>
      <c r="D3">
        <v>2715.65</v>
      </c>
      <c r="E3">
        <v>638066.75</v>
      </c>
      <c r="F3">
        <v>1219</v>
      </c>
      <c r="G3">
        <v>0.02</v>
      </c>
    </row>
    <row r="4" spans="2:7" x14ac:dyDescent="0.35">
      <c r="B4">
        <v>2</v>
      </c>
      <c r="C4" t="s">
        <v>185</v>
      </c>
      <c r="D4">
        <v>22968.55</v>
      </c>
      <c r="E4">
        <v>221452.92</v>
      </c>
      <c r="F4">
        <v>270.52</v>
      </c>
      <c r="G4">
        <v>0.11</v>
      </c>
    </row>
    <row r="5" spans="2:7" x14ac:dyDescent="0.35">
      <c r="B5">
        <v>3</v>
      </c>
      <c r="C5" t="s">
        <v>184</v>
      </c>
      <c r="D5">
        <v>5044.7</v>
      </c>
      <c r="E5">
        <v>121510.83</v>
      </c>
      <c r="F5">
        <v>2997.37</v>
      </c>
      <c r="G5">
        <v>0.85</v>
      </c>
    </row>
    <row r="6" spans="2:7" x14ac:dyDescent="0.35">
      <c r="B6">
        <v>4</v>
      </c>
      <c r="C6" t="s">
        <v>183</v>
      </c>
      <c r="D6">
        <v>1070</v>
      </c>
      <c r="E6">
        <v>109429.23</v>
      </c>
      <c r="F6">
        <v>1129.58</v>
      </c>
      <c r="G6">
        <v>0.08</v>
      </c>
    </row>
    <row r="7" spans="2:7" x14ac:dyDescent="0.35">
      <c r="B7">
        <v>5</v>
      </c>
      <c r="C7" t="s">
        <v>329</v>
      </c>
      <c r="D7">
        <v>570.9</v>
      </c>
      <c r="E7">
        <v>106689.9</v>
      </c>
      <c r="F7">
        <v>3883.8</v>
      </c>
      <c r="G7">
        <v>0.13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76D6-BE60-48E2-8F9B-EE7EC4B8AFF3}">
  <sheetPr>
    <pageSetUpPr fitToPage="1"/>
  </sheetPr>
  <dimension ref="B2:T112"/>
  <sheetViews>
    <sheetView showGridLines="0" workbookViewId="0">
      <selection activeCell="I4" sqref="I4:J12"/>
    </sheetView>
  </sheetViews>
  <sheetFormatPr defaultRowHeight="14.5" x14ac:dyDescent="0.35"/>
  <cols>
    <col min="1" max="1" width="2.1796875" customWidth="1"/>
    <col min="2" max="2" width="12.6328125" customWidth="1"/>
    <col min="3" max="3" width="11.81640625" bestFit="1" customWidth="1"/>
    <col min="4" max="4" width="15.54296875" bestFit="1" customWidth="1"/>
    <col min="9" max="9" width="17.54296875" bestFit="1" customWidth="1"/>
    <col min="12" max="12" width="17.26953125" bestFit="1" customWidth="1"/>
    <col min="13" max="13" width="11.81640625" bestFit="1" customWidth="1"/>
    <col min="14" max="14" width="13.54296875" bestFit="1" customWidth="1"/>
    <col min="15" max="15" width="11.81640625" bestFit="1" customWidth="1"/>
  </cols>
  <sheetData>
    <row r="2" spans="2:13" x14ac:dyDescent="0.35">
      <c r="B2" s="13" t="s">
        <v>249</v>
      </c>
    </row>
    <row r="4" spans="2:13" x14ac:dyDescent="0.35">
      <c r="B4" s="139" t="s">
        <v>248</v>
      </c>
      <c r="C4" s="139"/>
      <c r="D4" s="139"/>
      <c r="F4" s="139" t="s">
        <v>247</v>
      </c>
      <c r="G4" s="139"/>
      <c r="I4" s="139" t="s">
        <v>246</v>
      </c>
      <c r="J4" s="139"/>
      <c r="L4" t="s">
        <v>245</v>
      </c>
      <c r="M4" s="61">
        <f>SLOPE(D8:D112,G8:G112)</f>
        <v>0.69795308656667276</v>
      </c>
    </row>
    <row r="5" spans="2:13" x14ac:dyDescent="0.35">
      <c r="B5" s="13"/>
      <c r="L5" t="s">
        <v>244</v>
      </c>
      <c r="M5" s="61">
        <f>_xlfn.COVARIANCE.S(D7:D112,G7:G112)/_xlfn.VAR.S(G7:G112)</f>
        <v>0.69795308656667243</v>
      </c>
    </row>
    <row r="6" spans="2:13" x14ac:dyDescent="0.35">
      <c r="B6" s="102" t="s">
        <v>243</v>
      </c>
      <c r="C6" s="101" t="s">
        <v>242</v>
      </c>
      <c r="D6" s="101" t="s">
        <v>241</v>
      </c>
      <c r="E6" s="13"/>
      <c r="F6" s="101" t="s">
        <v>242</v>
      </c>
      <c r="G6" s="101" t="s">
        <v>241</v>
      </c>
      <c r="I6" s="45" t="s">
        <v>240</v>
      </c>
      <c r="J6" s="61">
        <f>M7</f>
        <v>0.69795308656667276</v>
      </c>
    </row>
    <row r="7" spans="2:13" x14ac:dyDescent="0.35">
      <c r="B7" s="95">
        <v>44361</v>
      </c>
      <c r="C7" s="48">
        <v>2391.0263669999999</v>
      </c>
      <c r="F7" s="48">
        <v>15683.349609000001</v>
      </c>
      <c r="I7" t="s">
        <v>239</v>
      </c>
      <c r="J7" s="62">
        <v>0.75</v>
      </c>
      <c r="L7" t="s">
        <v>238</v>
      </c>
      <c r="M7" s="61">
        <f>M26</f>
        <v>0.69795308656667276</v>
      </c>
    </row>
    <row r="8" spans="2:13" x14ac:dyDescent="0.35">
      <c r="B8" s="95">
        <v>44368</v>
      </c>
      <c r="C8" s="48">
        <v>2375.1059570000002</v>
      </c>
      <c r="D8" s="15">
        <f t="shared" ref="D8:D39" si="0">C8/C7-1</f>
        <v>-6.6584000158789181E-3</v>
      </c>
      <c r="F8" s="48">
        <v>15860.349609000001</v>
      </c>
      <c r="G8" s="15">
        <f t="shared" ref="G8:G39" si="1">F8/F7-1</f>
        <v>1.1285854387791394E-2</v>
      </c>
    </row>
    <row r="9" spans="2:13" x14ac:dyDescent="0.35">
      <c r="B9" s="95">
        <v>44375</v>
      </c>
      <c r="C9" s="48">
        <v>2412.594971</v>
      </c>
      <c r="D9" s="15">
        <f t="shared" si="0"/>
        <v>1.5784143814515206E-2</v>
      </c>
      <c r="F9" s="48">
        <v>15722.200194999999</v>
      </c>
      <c r="G9" s="15">
        <f t="shared" si="1"/>
        <v>-8.7103637313018512E-3</v>
      </c>
      <c r="I9" t="s">
        <v>237</v>
      </c>
      <c r="J9" s="61">
        <v>1</v>
      </c>
      <c r="L9" t="s">
        <v>236</v>
      </c>
    </row>
    <row r="10" spans="2:13" ht="15" thickBot="1" x14ac:dyDescent="0.4">
      <c r="B10" s="95">
        <v>44382</v>
      </c>
      <c r="C10" s="48">
        <v>2377.8215329999998</v>
      </c>
      <c r="D10" s="15">
        <f t="shared" si="0"/>
        <v>-1.4413292914055464E-2</v>
      </c>
      <c r="F10" s="48">
        <v>15689.799805000001</v>
      </c>
      <c r="G10" s="15">
        <f t="shared" si="1"/>
        <v>-2.0608050780515086E-3</v>
      </c>
      <c r="I10" t="s">
        <v>235</v>
      </c>
      <c r="J10" s="62">
        <v>0.25</v>
      </c>
    </row>
    <row r="11" spans="2:13" x14ac:dyDescent="0.35">
      <c r="B11" s="95">
        <v>44389</v>
      </c>
      <c r="C11" s="48">
        <v>2344.7944339999999</v>
      </c>
      <c r="D11" s="15">
        <f t="shared" si="0"/>
        <v>-1.3889645855099553E-2</v>
      </c>
      <c r="F11" s="48">
        <v>15923.400390999999</v>
      </c>
      <c r="G11" s="15">
        <f t="shared" si="1"/>
        <v>1.488869130921322E-2</v>
      </c>
      <c r="L11" s="100" t="s">
        <v>234</v>
      </c>
      <c r="M11" s="100"/>
    </row>
    <row r="12" spans="2:13" x14ac:dyDescent="0.35">
      <c r="B12" s="95">
        <v>44396</v>
      </c>
      <c r="C12" s="48">
        <v>2287.275635</v>
      </c>
      <c r="D12" s="15">
        <f t="shared" si="0"/>
        <v>-2.4530422866058332E-2</v>
      </c>
      <c r="F12" s="48">
        <v>15856.049805000001</v>
      </c>
      <c r="G12" s="15">
        <f t="shared" si="1"/>
        <v>-4.2296610237889665E-3</v>
      </c>
      <c r="I12" s="99" t="s">
        <v>233</v>
      </c>
      <c r="J12" s="98">
        <f>(J6*J7)+(J9*J10)</f>
        <v>0.77346481492500452</v>
      </c>
      <c r="L12" t="s">
        <v>232</v>
      </c>
      <c r="M12">
        <v>0.42580251572435746</v>
      </c>
    </row>
    <row r="13" spans="2:13" x14ac:dyDescent="0.35">
      <c r="B13" s="95">
        <v>44403</v>
      </c>
      <c r="C13" s="48">
        <v>2263.2204590000001</v>
      </c>
      <c r="D13" s="15">
        <f t="shared" si="0"/>
        <v>-1.051695546960163E-2</v>
      </c>
      <c r="F13" s="48">
        <v>15763.049805000001</v>
      </c>
      <c r="G13" s="15">
        <f t="shared" si="1"/>
        <v>-5.8652691650018518E-3</v>
      </c>
      <c r="L13" t="s">
        <v>231</v>
      </c>
      <c r="M13">
        <v>0.1813077823971917</v>
      </c>
    </row>
    <row r="14" spans="2:13" x14ac:dyDescent="0.35">
      <c r="B14" s="95">
        <v>44410</v>
      </c>
      <c r="C14" s="48">
        <v>2300.2729490000002</v>
      </c>
      <c r="D14" s="15">
        <f t="shared" si="0"/>
        <v>1.6371577878176113E-2</v>
      </c>
      <c r="F14" s="48">
        <v>16238.200194999999</v>
      </c>
      <c r="G14" s="15">
        <f t="shared" si="1"/>
        <v>3.0143303223547635E-2</v>
      </c>
      <c r="L14" t="s">
        <v>230</v>
      </c>
      <c r="M14">
        <v>0.1733593142651256</v>
      </c>
    </row>
    <row r="15" spans="2:13" x14ac:dyDescent="0.35">
      <c r="B15" s="95">
        <v>44417</v>
      </c>
      <c r="C15" s="48">
        <v>2332.281982</v>
      </c>
      <c r="D15" s="15">
        <f t="shared" si="0"/>
        <v>1.3915319490200195E-2</v>
      </c>
      <c r="F15" s="48">
        <v>16529.099609000001</v>
      </c>
      <c r="G15" s="15">
        <f t="shared" si="1"/>
        <v>1.79145108760006E-2</v>
      </c>
      <c r="L15" t="s">
        <v>219</v>
      </c>
      <c r="M15">
        <v>2.9383804545751853E-2</v>
      </c>
    </row>
    <row r="16" spans="2:13" ht="15" thickBot="1" x14ac:dyDescent="0.4">
      <c r="B16" s="95">
        <v>44424</v>
      </c>
      <c r="C16" s="48">
        <v>2540.727539</v>
      </c>
      <c r="D16" s="15">
        <f t="shared" si="0"/>
        <v>8.9374080239325027E-2</v>
      </c>
      <c r="F16" s="48">
        <v>16450.5</v>
      </c>
      <c r="G16" s="15">
        <f t="shared" si="1"/>
        <v>-4.7552262893499897E-3</v>
      </c>
      <c r="L16" s="96" t="s">
        <v>229</v>
      </c>
      <c r="M16" s="96">
        <v>105</v>
      </c>
    </row>
    <row r="17" spans="2:20" x14ac:dyDescent="0.35">
      <c r="B17" s="95">
        <v>44431</v>
      </c>
      <c r="C17" s="48">
        <v>2597.5187989999999</v>
      </c>
      <c r="D17" s="15">
        <f t="shared" si="0"/>
        <v>2.2352361332830029E-2</v>
      </c>
      <c r="F17" s="48">
        <v>16705.199218999998</v>
      </c>
      <c r="G17" s="15">
        <f t="shared" si="1"/>
        <v>1.5482764596820742E-2</v>
      </c>
    </row>
    <row r="18" spans="2:20" ht="15" thickBot="1" x14ac:dyDescent="0.4">
      <c r="B18" s="95">
        <v>44438</v>
      </c>
      <c r="C18" s="48">
        <v>2683.6035160000001</v>
      </c>
      <c r="D18" s="15">
        <f t="shared" si="0"/>
        <v>3.314113338973379E-2</v>
      </c>
      <c r="F18" s="48">
        <v>17323.599609000001</v>
      </c>
      <c r="G18" s="15">
        <f t="shared" si="1"/>
        <v>3.7018438504860862E-2</v>
      </c>
      <c r="L18" t="s">
        <v>228</v>
      </c>
    </row>
    <row r="19" spans="2:20" x14ac:dyDescent="0.35">
      <c r="B19" s="95">
        <v>44445</v>
      </c>
      <c r="C19" s="48">
        <v>2726.2333979999999</v>
      </c>
      <c r="D19" s="15">
        <f t="shared" si="0"/>
        <v>1.5885313067237616E-2</v>
      </c>
      <c r="F19" s="48">
        <v>17369.25</v>
      </c>
      <c r="G19" s="15">
        <f t="shared" si="1"/>
        <v>2.6351562048503308E-3</v>
      </c>
      <c r="L19" s="97"/>
      <c r="M19" s="97" t="s">
        <v>227</v>
      </c>
      <c r="N19" s="97" t="s">
        <v>226</v>
      </c>
      <c r="O19" s="97" t="s">
        <v>225</v>
      </c>
      <c r="P19" s="97" t="s">
        <v>224</v>
      </c>
      <c r="Q19" s="97" t="s">
        <v>223</v>
      </c>
    </row>
    <row r="20" spans="2:20" x14ac:dyDescent="0.35">
      <c r="B20" s="95">
        <v>44452</v>
      </c>
      <c r="C20" s="48">
        <v>2640.4882809999999</v>
      </c>
      <c r="D20" s="15">
        <f t="shared" si="0"/>
        <v>-3.1451862141702036E-2</v>
      </c>
      <c r="F20" s="48">
        <v>17585.150390999999</v>
      </c>
      <c r="G20" s="15">
        <f t="shared" si="1"/>
        <v>1.2430035321041366E-2</v>
      </c>
      <c r="L20" t="s">
        <v>222</v>
      </c>
      <c r="M20">
        <v>1</v>
      </c>
      <c r="N20">
        <v>1.9694686028571259E-2</v>
      </c>
      <c r="O20">
        <v>1.9694686028571259E-2</v>
      </c>
      <c r="P20">
        <v>22.810405651090296</v>
      </c>
      <c r="Q20">
        <v>5.9421795776237444E-6</v>
      </c>
    </row>
    <row r="21" spans="2:20" x14ac:dyDescent="0.35">
      <c r="B21" s="95">
        <v>44459</v>
      </c>
      <c r="C21" s="48">
        <v>2664.1552729999999</v>
      </c>
      <c r="D21" s="15">
        <f t="shared" si="0"/>
        <v>8.9631119252826519E-3</v>
      </c>
      <c r="F21" s="48">
        <v>17853.199218999998</v>
      </c>
      <c r="G21" s="15">
        <f t="shared" si="1"/>
        <v>1.5242907910368864E-2</v>
      </c>
      <c r="L21" t="s">
        <v>221</v>
      </c>
      <c r="M21">
        <v>103</v>
      </c>
      <c r="N21">
        <v>8.8931020867043575E-2</v>
      </c>
      <c r="O21">
        <v>8.634079695829473E-4</v>
      </c>
    </row>
    <row r="22" spans="2:20" ht="15" thickBot="1" x14ac:dyDescent="0.4">
      <c r="B22" s="95">
        <v>44466</v>
      </c>
      <c r="C22" s="48">
        <v>2622.8352049999999</v>
      </c>
      <c r="D22" s="15">
        <f t="shared" si="0"/>
        <v>-1.5509632046885602E-2</v>
      </c>
      <c r="F22" s="48">
        <v>17532.050781000002</v>
      </c>
      <c r="G22" s="15">
        <f t="shared" si="1"/>
        <v>-1.7988285128091697E-2</v>
      </c>
      <c r="L22" s="96" t="s">
        <v>37</v>
      </c>
      <c r="M22" s="96">
        <v>104</v>
      </c>
      <c r="N22" s="96">
        <v>0.10862570689561483</v>
      </c>
      <c r="O22" s="96"/>
      <c r="P22" s="96"/>
      <c r="Q22" s="96"/>
    </row>
    <row r="23" spans="2:20" ht="15" thickBot="1" x14ac:dyDescent="0.4">
      <c r="B23" s="95">
        <v>44473</v>
      </c>
      <c r="C23" s="48">
        <v>2560.757568</v>
      </c>
      <c r="D23" s="15">
        <f t="shared" si="0"/>
        <v>-2.3668142352847421E-2</v>
      </c>
      <c r="F23" s="48">
        <v>17895.199218999998</v>
      </c>
      <c r="G23" s="15">
        <f t="shared" si="1"/>
        <v>2.0713403271313213E-2</v>
      </c>
    </row>
    <row r="24" spans="2:20" x14ac:dyDescent="0.35">
      <c r="B24" s="95">
        <v>44480</v>
      </c>
      <c r="C24" s="48">
        <v>2569.9721679999998</v>
      </c>
      <c r="D24" s="15">
        <f t="shared" si="0"/>
        <v>3.5983882719505811E-3</v>
      </c>
      <c r="F24" s="48">
        <v>18338.550781000002</v>
      </c>
      <c r="G24" s="15">
        <f t="shared" si="1"/>
        <v>2.4774888313580767E-2</v>
      </c>
      <c r="L24" s="97"/>
      <c r="M24" s="97" t="s">
        <v>220</v>
      </c>
      <c r="N24" s="97" t="s">
        <v>219</v>
      </c>
      <c r="O24" s="97" t="s">
        <v>218</v>
      </c>
      <c r="P24" s="97" t="s">
        <v>217</v>
      </c>
      <c r="Q24" s="97" t="s">
        <v>216</v>
      </c>
      <c r="R24" s="97" t="s">
        <v>215</v>
      </c>
      <c r="S24" s="97" t="s">
        <v>214</v>
      </c>
      <c r="T24" s="97" t="s">
        <v>213</v>
      </c>
    </row>
    <row r="25" spans="2:20" x14ac:dyDescent="0.35">
      <c r="B25" s="95">
        <v>44487</v>
      </c>
      <c r="C25" s="48">
        <v>2380.3923340000001</v>
      </c>
      <c r="D25" s="15">
        <f t="shared" si="0"/>
        <v>-7.376727124151472E-2</v>
      </c>
      <c r="F25" s="48">
        <v>18114.900390999999</v>
      </c>
      <c r="G25" s="15">
        <f t="shared" si="1"/>
        <v>-1.2195641447944716E-2</v>
      </c>
      <c r="L25" t="s">
        <v>212</v>
      </c>
      <c r="M25">
        <v>3.7458786062642625E-4</v>
      </c>
      <c r="N25">
        <v>2.8814634853243835E-3</v>
      </c>
      <c r="O25">
        <v>0.12999916970464634</v>
      </c>
      <c r="P25">
        <v>0.89682062679794494</v>
      </c>
      <c r="Q25">
        <v>-5.3401153542913917E-3</v>
      </c>
      <c r="R25">
        <v>6.0892910755442438E-3</v>
      </c>
      <c r="S25">
        <v>-5.3401153542913917E-3</v>
      </c>
      <c r="T25">
        <v>6.0892910755442438E-3</v>
      </c>
    </row>
    <row r="26" spans="2:20" ht="15" thickBot="1" x14ac:dyDescent="0.4">
      <c r="B26" s="95">
        <v>44494</v>
      </c>
      <c r="C26" s="48">
        <v>2321.2727049999999</v>
      </c>
      <c r="D26" s="15">
        <f t="shared" si="0"/>
        <v>-2.4836086117222544E-2</v>
      </c>
      <c r="F26" s="48">
        <v>17671.650390999999</v>
      </c>
      <c r="G26" s="15">
        <f t="shared" si="1"/>
        <v>-2.4468806917658736E-2</v>
      </c>
      <c r="L26" s="96" t="s">
        <v>211</v>
      </c>
      <c r="M26" s="96">
        <v>0.69795308656667276</v>
      </c>
      <c r="N26" s="96">
        <v>0.1461368452940365</v>
      </c>
      <c r="O26" s="96">
        <v>4.7760240421390465</v>
      </c>
      <c r="P26" s="96">
        <v>5.9421795776240079E-6</v>
      </c>
      <c r="Q26" s="96">
        <v>0.40812512106470394</v>
      </c>
      <c r="R26" s="96">
        <v>0.98778105206864164</v>
      </c>
      <c r="S26" s="96">
        <v>0.40812512106470394</v>
      </c>
      <c r="T26" s="96">
        <v>0.98778105206864164</v>
      </c>
    </row>
    <row r="27" spans="2:20" x14ac:dyDescent="0.35">
      <c r="B27" s="95">
        <v>44501</v>
      </c>
      <c r="C27" s="48">
        <v>2364.523193</v>
      </c>
      <c r="D27" s="15">
        <f t="shared" si="0"/>
        <v>1.8632230459970867E-2</v>
      </c>
      <c r="F27" s="48">
        <v>17916.800781000002</v>
      </c>
      <c r="G27" s="15">
        <f t="shared" si="1"/>
        <v>1.3872523764099309E-2</v>
      </c>
    </row>
    <row r="28" spans="2:20" x14ac:dyDescent="0.35">
      <c r="B28" s="95">
        <v>44508</v>
      </c>
      <c r="C28" s="48">
        <v>2347.0539549999999</v>
      </c>
      <c r="D28" s="15">
        <f t="shared" si="0"/>
        <v>-7.3880594835002977E-3</v>
      </c>
      <c r="F28" s="48">
        <v>18102.75</v>
      </c>
      <c r="G28" s="15">
        <f t="shared" si="1"/>
        <v>1.0378483372834646E-2</v>
      </c>
    </row>
    <row r="29" spans="2:20" x14ac:dyDescent="0.35">
      <c r="B29" s="95">
        <v>44515</v>
      </c>
      <c r="C29" s="48">
        <v>2341.6374510000001</v>
      </c>
      <c r="D29" s="15">
        <f t="shared" si="0"/>
        <v>-2.3077884462182618E-3</v>
      </c>
      <c r="F29" s="48">
        <v>17764.800781000002</v>
      </c>
      <c r="G29" s="15">
        <f t="shared" si="1"/>
        <v>-1.8668391211279944E-2</v>
      </c>
    </row>
    <row r="30" spans="2:20" x14ac:dyDescent="0.35">
      <c r="B30" s="95">
        <v>44522</v>
      </c>
      <c r="C30" s="48">
        <v>2278.8854980000001</v>
      </c>
      <c r="D30" s="15">
        <f t="shared" si="0"/>
        <v>-2.6798321393946667E-2</v>
      </c>
      <c r="F30" s="48">
        <v>17026.449218999998</v>
      </c>
      <c r="G30" s="15">
        <f t="shared" si="1"/>
        <v>-4.1562614245001406E-2</v>
      </c>
    </row>
    <row r="31" spans="2:20" x14ac:dyDescent="0.35">
      <c r="B31" s="95">
        <v>44529</v>
      </c>
      <c r="C31" s="48">
        <v>2287.2294919999999</v>
      </c>
      <c r="D31" s="15">
        <f t="shared" si="0"/>
        <v>3.6614362622968688E-3</v>
      </c>
      <c r="F31" s="48">
        <v>17196.699218999998</v>
      </c>
      <c r="G31" s="15">
        <f t="shared" si="1"/>
        <v>9.9991488424970854E-3</v>
      </c>
    </row>
    <row r="32" spans="2:20" x14ac:dyDescent="0.35">
      <c r="B32" s="95">
        <v>44536</v>
      </c>
      <c r="C32" s="48">
        <v>2276.6408689999998</v>
      </c>
      <c r="D32" s="15">
        <f t="shared" si="0"/>
        <v>-4.6294536849212919E-3</v>
      </c>
      <c r="F32" s="48">
        <v>17511.300781000002</v>
      </c>
      <c r="G32" s="15">
        <f t="shared" si="1"/>
        <v>1.8294299271828462E-2</v>
      </c>
    </row>
    <row r="33" spans="2:7" x14ac:dyDescent="0.35">
      <c r="B33" s="95">
        <v>44543</v>
      </c>
      <c r="C33" s="48">
        <v>2176.5595699999999</v>
      </c>
      <c r="D33" s="15">
        <f t="shared" si="0"/>
        <v>-4.3960073089595375E-2</v>
      </c>
      <c r="F33" s="48">
        <v>16985.199218999998</v>
      </c>
      <c r="G33" s="15">
        <f t="shared" si="1"/>
        <v>-3.0043545512668635E-2</v>
      </c>
    </row>
    <row r="34" spans="2:7" x14ac:dyDescent="0.35">
      <c r="B34" s="95">
        <v>44550</v>
      </c>
      <c r="C34" s="48">
        <v>2241.6538089999999</v>
      </c>
      <c r="D34" s="15">
        <f t="shared" si="0"/>
        <v>2.9906941164031586E-2</v>
      </c>
      <c r="F34" s="48">
        <v>17003.75</v>
      </c>
      <c r="G34" s="15">
        <f t="shared" si="1"/>
        <v>1.0921732951623131E-3</v>
      </c>
    </row>
    <row r="35" spans="2:7" x14ac:dyDescent="0.35">
      <c r="B35" s="95">
        <v>44557</v>
      </c>
      <c r="C35" s="48">
        <v>2303.3322750000002</v>
      </c>
      <c r="D35" s="15">
        <f t="shared" si="0"/>
        <v>2.7514715141280011E-2</v>
      </c>
      <c r="F35" s="48">
        <v>17354.050781000002</v>
      </c>
      <c r="G35" s="15">
        <f t="shared" si="1"/>
        <v>2.0601383871204915E-2</v>
      </c>
    </row>
    <row r="36" spans="2:7" x14ac:dyDescent="0.35">
      <c r="B36" s="95">
        <v>44564</v>
      </c>
      <c r="C36" s="48">
        <v>2357.984375</v>
      </c>
      <c r="D36" s="15">
        <f t="shared" si="0"/>
        <v>2.3727405981839755E-2</v>
      </c>
      <c r="F36" s="48">
        <v>17812.699218999998</v>
      </c>
      <c r="G36" s="15">
        <f t="shared" si="1"/>
        <v>2.6428898001275014E-2</v>
      </c>
    </row>
    <row r="37" spans="2:7" x14ac:dyDescent="0.35">
      <c r="B37" s="95">
        <v>44571</v>
      </c>
      <c r="C37" s="48">
        <v>2306.796875</v>
      </c>
      <c r="D37" s="15">
        <f t="shared" si="0"/>
        <v>-2.1708159113649761E-2</v>
      </c>
      <c r="F37" s="48">
        <v>18255.75</v>
      </c>
      <c r="G37" s="15">
        <f t="shared" si="1"/>
        <v>2.4872748119354027E-2</v>
      </c>
    </row>
    <row r="38" spans="2:7" x14ac:dyDescent="0.35">
      <c r="B38" s="95">
        <v>44578</v>
      </c>
      <c r="C38" s="48">
        <v>2269.4189449999999</v>
      </c>
      <c r="D38" s="15">
        <f t="shared" si="0"/>
        <v>-1.6203390252988781E-2</v>
      </c>
      <c r="F38" s="48">
        <v>17617.150390999999</v>
      </c>
      <c r="G38" s="15">
        <f t="shared" si="1"/>
        <v>-3.4980738068827621E-2</v>
      </c>
    </row>
    <row r="39" spans="2:7" x14ac:dyDescent="0.35">
      <c r="B39" s="95">
        <v>44585</v>
      </c>
      <c r="C39" s="48">
        <v>2228.5766600000002</v>
      </c>
      <c r="D39" s="15">
        <f t="shared" si="0"/>
        <v>-1.79968027014068E-2</v>
      </c>
      <c r="F39" s="48">
        <v>17101.949218999998</v>
      </c>
      <c r="G39" s="15">
        <f t="shared" si="1"/>
        <v>-2.9244296640800638E-2</v>
      </c>
    </row>
    <row r="40" spans="2:7" x14ac:dyDescent="0.35">
      <c r="B40" s="95">
        <v>44592</v>
      </c>
      <c r="C40" s="48">
        <v>2251.0717770000001</v>
      </c>
      <c r="D40" s="15">
        <f t="shared" ref="D40:D71" si="2">C40/C39-1</f>
        <v>1.0093939061535329E-2</v>
      </c>
      <c r="F40" s="48">
        <v>17516.300781000002</v>
      </c>
      <c r="G40" s="15">
        <f t="shared" ref="G40:G71" si="3">F40/F39-1</f>
        <v>2.4228323724623468E-2</v>
      </c>
    </row>
    <row r="41" spans="2:7" x14ac:dyDescent="0.35">
      <c r="B41" s="95">
        <v>44599</v>
      </c>
      <c r="C41" s="48">
        <v>2203.6416020000001</v>
      </c>
      <c r="D41" s="15">
        <f t="shared" si="2"/>
        <v>-2.1070041161997066E-2</v>
      </c>
      <c r="F41" s="48">
        <v>17374.75</v>
      </c>
      <c r="G41" s="15">
        <f t="shared" si="3"/>
        <v>-8.0810887395552644E-3</v>
      </c>
    </row>
    <row r="42" spans="2:7" x14ac:dyDescent="0.35">
      <c r="B42" s="95">
        <v>44606</v>
      </c>
      <c r="C42" s="48">
        <v>2256.8784179999998</v>
      </c>
      <c r="D42" s="15">
        <f t="shared" si="2"/>
        <v>2.4158563693698065E-2</v>
      </c>
      <c r="F42" s="48">
        <v>17276.300781000002</v>
      </c>
      <c r="G42" s="15">
        <f t="shared" si="3"/>
        <v>-5.66622362911684E-3</v>
      </c>
    </row>
    <row r="43" spans="2:7" x14ac:dyDescent="0.35">
      <c r="B43" s="95">
        <v>44613</v>
      </c>
      <c r="C43" s="48">
        <v>2118.4433589999999</v>
      </c>
      <c r="D43" s="15">
        <f t="shared" si="2"/>
        <v>-6.1339174452595624E-2</v>
      </c>
      <c r="F43" s="48">
        <v>16658.400390999999</v>
      </c>
      <c r="G43" s="15">
        <f t="shared" si="3"/>
        <v>-3.5765780987070617E-2</v>
      </c>
    </row>
    <row r="44" spans="2:7" x14ac:dyDescent="0.35">
      <c r="B44" s="95">
        <v>44620</v>
      </c>
      <c r="C44" s="48">
        <v>1970.8831789999999</v>
      </c>
      <c r="D44" s="15">
        <f t="shared" si="2"/>
        <v>-6.9655003695569651E-2</v>
      </c>
      <c r="F44" s="48">
        <v>16245.349609000001</v>
      </c>
      <c r="G44" s="15">
        <f t="shared" si="3"/>
        <v>-2.479534482933643E-2</v>
      </c>
    </row>
    <row r="45" spans="2:7" x14ac:dyDescent="0.35">
      <c r="B45" s="95">
        <v>44627</v>
      </c>
      <c r="C45" s="48">
        <v>2043.9799800000001</v>
      </c>
      <c r="D45" s="15">
        <f t="shared" si="2"/>
        <v>3.7088347893398987E-2</v>
      </c>
      <c r="F45" s="48">
        <v>16630.449218999998</v>
      </c>
      <c r="G45" s="15">
        <f t="shared" si="3"/>
        <v>2.3705221449137115E-2</v>
      </c>
    </row>
    <row r="46" spans="2:7" x14ac:dyDescent="0.35">
      <c r="B46" s="95">
        <v>44634</v>
      </c>
      <c r="C46" s="48">
        <v>2051.4458009999998</v>
      </c>
      <c r="D46" s="15">
        <f t="shared" si="2"/>
        <v>3.6525900806523293E-3</v>
      </c>
      <c r="F46" s="48">
        <v>17287.050781000002</v>
      </c>
      <c r="G46" s="15">
        <f t="shared" si="3"/>
        <v>3.9481889716475482E-2</v>
      </c>
    </row>
    <row r="47" spans="2:7" x14ac:dyDescent="0.35">
      <c r="B47" s="95">
        <v>44641</v>
      </c>
      <c r="C47" s="48">
        <v>1905.984009</v>
      </c>
      <c r="D47" s="15">
        <f t="shared" si="2"/>
        <v>-7.0906963239824705E-2</v>
      </c>
      <c r="F47" s="48">
        <v>17153</v>
      </c>
      <c r="G47" s="15">
        <f t="shared" si="3"/>
        <v>-7.7544043051771538E-3</v>
      </c>
    </row>
    <row r="48" spans="2:7" x14ac:dyDescent="0.35">
      <c r="B48" s="95">
        <v>44648</v>
      </c>
      <c r="C48" s="48">
        <v>2028.1210940000001</v>
      </c>
      <c r="D48" s="15">
        <f t="shared" si="2"/>
        <v>6.4080855045620666E-2</v>
      </c>
      <c r="F48" s="48">
        <v>17670.449218999998</v>
      </c>
      <c r="G48" s="15">
        <f t="shared" si="3"/>
        <v>3.0166689150585846E-2</v>
      </c>
    </row>
    <row r="49" spans="2:7" x14ac:dyDescent="0.35">
      <c r="B49" s="95">
        <v>44655</v>
      </c>
      <c r="C49" s="48">
        <v>2130.4958499999998</v>
      </c>
      <c r="D49" s="15">
        <f t="shared" si="2"/>
        <v>5.0477634842843289E-2</v>
      </c>
      <c r="F49" s="48">
        <v>17784.349609000001</v>
      </c>
      <c r="G49" s="15">
        <f t="shared" si="3"/>
        <v>6.4458117950692007E-3</v>
      </c>
    </row>
    <row r="50" spans="2:7" x14ac:dyDescent="0.35">
      <c r="B50" s="95">
        <v>44662</v>
      </c>
      <c r="C50" s="48">
        <v>2100.3395999999998</v>
      </c>
      <c r="D50" s="15">
        <f t="shared" si="2"/>
        <v>-1.4154568759192854E-2</v>
      </c>
      <c r="F50" s="48">
        <v>17475.650390999999</v>
      </c>
      <c r="G50" s="15">
        <f t="shared" si="3"/>
        <v>-1.7357914390289553E-2</v>
      </c>
    </row>
    <row r="51" spans="2:7" x14ac:dyDescent="0.35">
      <c r="B51" s="95">
        <v>44669</v>
      </c>
      <c r="C51" s="48">
        <v>2075.7463379999999</v>
      </c>
      <c r="D51" s="15">
        <f t="shared" si="2"/>
        <v>-1.1709183600594808E-2</v>
      </c>
      <c r="F51" s="48">
        <v>17171.949218999998</v>
      </c>
      <c r="G51" s="15">
        <f t="shared" si="3"/>
        <v>-1.7378533285170805E-2</v>
      </c>
    </row>
    <row r="52" spans="2:7" x14ac:dyDescent="0.35">
      <c r="B52" s="95">
        <v>44676</v>
      </c>
      <c r="C52" s="48">
        <v>2181.0490719999998</v>
      </c>
      <c r="D52" s="15">
        <f t="shared" si="2"/>
        <v>5.0730058905684938E-2</v>
      </c>
      <c r="F52" s="48">
        <v>17102.550781000002</v>
      </c>
      <c r="G52" s="15">
        <f t="shared" si="3"/>
        <v>-4.041383835634127E-3</v>
      </c>
    </row>
    <row r="53" spans="2:7" x14ac:dyDescent="0.35">
      <c r="B53" s="95">
        <v>44683</v>
      </c>
      <c r="C53" s="48">
        <v>2097.460693</v>
      </c>
      <c r="D53" s="15">
        <f t="shared" si="2"/>
        <v>-3.8324850216850059E-2</v>
      </c>
      <c r="F53" s="48">
        <v>16411.25</v>
      </c>
      <c r="G53" s="15">
        <f t="shared" si="3"/>
        <v>-4.0420916730619982E-2</v>
      </c>
    </row>
    <row r="54" spans="2:7" x14ac:dyDescent="0.35">
      <c r="B54" s="95">
        <v>44690</v>
      </c>
      <c r="C54" s="48">
        <v>2141.280029</v>
      </c>
      <c r="D54" s="15">
        <f t="shared" si="2"/>
        <v>2.0891612484677857E-2</v>
      </c>
      <c r="F54" s="48">
        <v>15782.150390999999</v>
      </c>
      <c r="G54" s="15">
        <f t="shared" si="3"/>
        <v>-3.8333436453652281E-2</v>
      </c>
    </row>
    <row r="55" spans="2:7" x14ac:dyDescent="0.35">
      <c r="B55" s="95">
        <v>44697</v>
      </c>
      <c r="C55" s="48">
        <v>2269.9555660000001</v>
      </c>
      <c r="D55" s="15">
        <f t="shared" si="2"/>
        <v>6.009281142928935E-2</v>
      </c>
      <c r="F55" s="48">
        <v>16266.150390999999</v>
      </c>
      <c r="G55" s="15">
        <f t="shared" si="3"/>
        <v>3.0667557209187901E-2</v>
      </c>
    </row>
    <row r="56" spans="2:7" x14ac:dyDescent="0.35">
      <c r="B56" s="95">
        <v>44704</v>
      </c>
      <c r="C56" s="48">
        <v>2274.4941410000001</v>
      </c>
      <c r="D56" s="15">
        <f t="shared" si="2"/>
        <v>1.9994113840728911E-3</v>
      </c>
      <c r="F56" s="48">
        <v>16352.450194999999</v>
      </c>
      <c r="G56" s="15">
        <f t="shared" si="3"/>
        <v>5.3054842064996777E-3</v>
      </c>
    </row>
    <row r="57" spans="2:7" x14ac:dyDescent="0.35">
      <c r="B57" s="95">
        <v>44711</v>
      </c>
      <c r="C57" s="48">
        <v>2236.7741700000001</v>
      </c>
      <c r="D57" s="15">
        <f t="shared" si="2"/>
        <v>-1.6583894554863976E-2</v>
      </c>
      <c r="F57" s="48">
        <v>16584.300781000002</v>
      </c>
      <c r="G57" s="15">
        <f t="shared" si="3"/>
        <v>1.4178339223494207E-2</v>
      </c>
    </row>
    <row r="58" spans="2:7" x14ac:dyDescent="0.35">
      <c r="B58" s="95">
        <v>44718</v>
      </c>
      <c r="C58" s="48">
        <v>2146.9401859999998</v>
      </c>
      <c r="D58" s="15">
        <f t="shared" si="2"/>
        <v>-4.0162294971423207E-2</v>
      </c>
      <c r="F58" s="48">
        <v>16201.799805000001</v>
      </c>
      <c r="G58" s="15">
        <f t="shared" si="3"/>
        <v>-2.3064039964724836E-2</v>
      </c>
    </row>
    <row r="59" spans="2:7" x14ac:dyDescent="0.35">
      <c r="B59" s="95">
        <v>44725</v>
      </c>
      <c r="C59" s="48">
        <v>2059.6435550000001</v>
      </c>
      <c r="D59" s="15">
        <f t="shared" si="2"/>
        <v>-4.0660951604172824E-2</v>
      </c>
      <c r="F59" s="48">
        <v>15293.5</v>
      </c>
      <c r="G59" s="15">
        <f t="shared" si="3"/>
        <v>-5.606166079892505E-2</v>
      </c>
    </row>
    <row r="60" spans="2:7" x14ac:dyDescent="0.35">
      <c r="B60" s="95">
        <v>44732</v>
      </c>
      <c r="C60" s="48">
        <v>2288.544922</v>
      </c>
      <c r="D60" s="15">
        <f t="shared" si="2"/>
        <v>0.11113639855028223</v>
      </c>
      <c r="F60" s="48">
        <v>15699.25</v>
      </c>
      <c r="G60" s="15">
        <f t="shared" si="3"/>
        <v>2.6530879131657192E-2</v>
      </c>
    </row>
    <row r="61" spans="2:7" x14ac:dyDescent="0.35">
      <c r="B61" s="95">
        <v>44739</v>
      </c>
      <c r="C61" s="48">
        <v>2267.138672</v>
      </c>
      <c r="D61" s="15">
        <f t="shared" si="2"/>
        <v>-9.3536507823026582E-3</v>
      </c>
      <c r="F61" s="48">
        <v>15752.049805000001</v>
      </c>
      <c r="G61" s="15">
        <f t="shared" si="3"/>
        <v>3.3632055671448668E-3</v>
      </c>
    </row>
    <row r="62" spans="2:7" x14ac:dyDescent="0.35">
      <c r="B62" s="95">
        <v>44746</v>
      </c>
      <c r="C62" s="48">
        <v>2480.2089839999999</v>
      </c>
      <c r="D62" s="15">
        <f t="shared" si="2"/>
        <v>9.3982037636910709E-2</v>
      </c>
      <c r="F62" s="48">
        <v>16220.599609000001</v>
      </c>
      <c r="G62" s="15">
        <f t="shared" si="3"/>
        <v>2.9745322659611828E-2</v>
      </c>
    </row>
    <row r="63" spans="2:7" x14ac:dyDescent="0.35">
      <c r="B63" s="95">
        <v>44753</v>
      </c>
      <c r="C63" s="48">
        <v>2551.3813479999999</v>
      </c>
      <c r="D63" s="15">
        <f t="shared" si="2"/>
        <v>2.8696115714094139E-2</v>
      </c>
      <c r="F63" s="48">
        <v>16049.200194999999</v>
      </c>
      <c r="G63" s="15">
        <f t="shared" si="3"/>
        <v>-1.0566774233481513E-2</v>
      </c>
    </row>
    <row r="64" spans="2:7" x14ac:dyDescent="0.35">
      <c r="B64" s="95">
        <v>44760</v>
      </c>
      <c r="C64" s="48">
        <v>2623.0009770000001</v>
      </c>
      <c r="D64" s="15">
        <f t="shared" si="2"/>
        <v>2.8070922857589276E-2</v>
      </c>
      <c r="F64" s="48">
        <v>16719.449218999998</v>
      </c>
      <c r="G64" s="15">
        <f t="shared" si="3"/>
        <v>4.1762144895470144E-2</v>
      </c>
    </row>
    <row r="65" spans="2:7" x14ac:dyDescent="0.35">
      <c r="B65" s="95">
        <v>44767</v>
      </c>
      <c r="C65" s="48">
        <v>2619.8220209999999</v>
      </c>
      <c r="D65" s="15">
        <f t="shared" si="2"/>
        <v>-1.2119537994362828E-3</v>
      </c>
      <c r="F65" s="48">
        <v>17158.25</v>
      </c>
      <c r="G65" s="15">
        <f t="shared" si="3"/>
        <v>2.6244930395275645E-2</v>
      </c>
    </row>
    <row r="66" spans="2:7" x14ac:dyDescent="0.35">
      <c r="B66" s="95">
        <v>44774</v>
      </c>
      <c r="C66" s="48">
        <v>2627.7687989999999</v>
      </c>
      <c r="D66" s="15">
        <f t="shared" si="2"/>
        <v>3.0333274307567937E-3</v>
      </c>
      <c r="F66" s="48">
        <v>17397.5</v>
      </c>
      <c r="G66" s="15">
        <f t="shared" si="3"/>
        <v>1.3943729692713402E-2</v>
      </c>
    </row>
    <row r="67" spans="2:7" x14ac:dyDescent="0.35">
      <c r="B67" s="95">
        <v>44781</v>
      </c>
      <c r="C67" s="48">
        <v>2577.655029</v>
      </c>
      <c r="D67" s="15">
        <f t="shared" si="2"/>
        <v>-1.9070844443799917E-2</v>
      </c>
      <c r="F67" s="48">
        <v>17698.150390999999</v>
      </c>
      <c r="G67" s="15">
        <f t="shared" si="3"/>
        <v>1.7281241040379314E-2</v>
      </c>
    </row>
    <row r="68" spans="2:7" x14ac:dyDescent="0.35">
      <c r="B68" s="95">
        <v>44788</v>
      </c>
      <c r="C68" s="48">
        <v>2616.991211</v>
      </c>
      <c r="D68" s="15">
        <f t="shared" si="2"/>
        <v>1.5260452449007644E-2</v>
      </c>
      <c r="F68" s="48">
        <v>17758.449218999998</v>
      </c>
      <c r="G68" s="15">
        <f t="shared" si="3"/>
        <v>3.4070694771959342E-3</v>
      </c>
    </row>
    <row r="69" spans="2:7" x14ac:dyDescent="0.35">
      <c r="B69" s="95">
        <v>44795</v>
      </c>
      <c r="C69" s="48">
        <v>2554.4111330000001</v>
      </c>
      <c r="D69" s="15">
        <f t="shared" si="2"/>
        <v>-2.3912987455577683E-2</v>
      </c>
      <c r="F69" s="48">
        <v>17558.900390999999</v>
      </c>
      <c r="G69" s="15">
        <f t="shared" si="3"/>
        <v>-1.1236838619134604E-2</v>
      </c>
    </row>
    <row r="70" spans="2:7" x14ac:dyDescent="0.35">
      <c r="B70" s="95">
        <v>44802</v>
      </c>
      <c r="C70" s="48">
        <v>2586.2475589999999</v>
      </c>
      <c r="D70" s="15">
        <f t="shared" si="2"/>
        <v>1.24633132030747E-2</v>
      </c>
      <c r="F70" s="48">
        <v>17539.449218999998</v>
      </c>
      <c r="G70" s="15">
        <f t="shared" si="3"/>
        <v>-1.1077670905844661E-3</v>
      </c>
    </row>
    <row r="71" spans="2:7" x14ac:dyDescent="0.35">
      <c r="B71" s="95">
        <v>44809</v>
      </c>
      <c r="C71" s="48">
        <v>2571.4467770000001</v>
      </c>
      <c r="D71" s="15">
        <f t="shared" si="2"/>
        <v>-5.7228790602407154E-3</v>
      </c>
      <c r="F71" s="48">
        <v>17833.349609000001</v>
      </c>
      <c r="G71" s="15">
        <f t="shared" si="3"/>
        <v>1.6756534730955508E-2</v>
      </c>
    </row>
    <row r="72" spans="2:7" x14ac:dyDescent="0.35">
      <c r="B72" s="95">
        <v>44816</v>
      </c>
      <c r="C72" s="48">
        <v>2511.3002929999998</v>
      </c>
      <c r="D72" s="15">
        <f t="shared" ref="D72:D103" si="4">C72/C71-1</f>
        <v>-2.3390133732486107E-2</v>
      </c>
      <c r="F72" s="48">
        <v>17530.849609000001</v>
      </c>
      <c r="G72" s="15">
        <f t="shared" ref="G72:G103" si="5">F72/F71-1</f>
        <v>-1.6962601341440453E-2</v>
      </c>
    </row>
    <row r="73" spans="2:7" x14ac:dyDescent="0.35">
      <c r="B73" s="95">
        <v>44823</v>
      </c>
      <c r="C73" s="48">
        <v>2664.1748050000001</v>
      </c>
      <c r="D73" s="15">
        <f t="shared" si="4"/>
        <v>6.0874644273376077E-2</v>
      </c>
      <c r="F73" s="48">
        <v>17327.349609000001</v>
      </c>
      <c r="G73" s="15">
        <f t="shared" si="5"/>
        <v>-1.1608108251383698E-2</v>
      </c>
    </row>
    <row r="74" spans="2:7" x14ac:dyDescent="0.35">
      <c r="B74" s="95">
        <v>44830</v>
      </c>
      <c r="C74" s="48">
        <v>2678.4785160000001</v>
      </c>
      <c r="D74" s="15">
        <f t="shared" si="4"/>
        <v>5.3689085915666901E-3</v>
      </c>
      <c r="F74" s="48">
        <v>17094.349609000001</v>
      </c>
      <c r="G74" s="15">
        <f t="shared" si="5"/>
        <v>-1.3446949779265527E-2</v>
      </c>
    </row>
    <row r="75" spans="2:7" x14ac:dyDescent="0.35">
      <c r="B75" s="95">
        <v>44837</v>
      </c>
      <c r="C75" s="48">
        <v>2582.3735350000002</v>
      </c>
      <c r="D75" s="15">
        <f t="shared" si="4"/>
        <v>-3.5880437504319351E-2</v>
      </c>
      <c r="F75" s="48">
        <v>17314.650390999999</v>
      </c>
      <c r="G75" s="15">
        <f t="shared" si="5"/>
        <v>1.2887345060733635E-2</v>
      </c>
    </row>
    <row r="76" spans="2:7" x14ac:dyDescent="0.35">
      <c r="B76" s="95">
        <v>44844</v>
      </c>
      <c r="C76" s="48">
        <v>2558.6328130000002</v>
      </c>
      <c r="D76" s="15">
        <f t="shared" si="4"/>
        <v>-9.1933725614176121E-3</v>
      </c>
      <c r="F76" s="48">
        <v>17185.699218999998</v>
      </c>
      <c r="G76" s="15">
        <f t="shared" si="5"/>
        <v>-7.4475180894804094E-3</v>
      </c>
    </row>
    <row r="77" spans="2:7" x14ac:dyDescent="0.35">
      <c r="B77" s="95">
        <v>44851</v>
      </c>
      <c r="C77" s="48">
        <v>2636.2121579999998</v>
      </c>
      <c r="D77" s="15">
        <f t="shared" si="4"/>
        <v>3.0320624595225887E-2</v>
      </c>
      <c r="F77" s="48">
        <v>17576.300781000002</v>
      </c>
      <c r="G77" s="15">
        <f t="shared" si="5"/>
        <v>2.2728290366455628E-2</v>
      </c>
    </row>
    <row r="78" spans="2:7" x14ac:dyDescent="0.35">
      <c r="B78" s="95">
        <v>44858</v>
      </c>
      <c r="C78" s="48">
        <v>2507.4262699999999</v>
      </c>
      <c r="D78" s="15">
        <f t="shared" si="4"/>
        <v>-4.8852626526730392E-2</v>
      </c>
      <c r="F78" s="48">
        <v>17786.800781000002</v>
      </c>
      <c r="G78" s="15">
        <f t="shared" si="5"/>
        <v>1.197635399068453E-2</v>
      </c>
    </row>
    <row r="79" spans="2:7" x14ac:dyDescent="0.35">
      <c r="B79" s="95">
        <v>44865</v>
      </c>
      <c r="C79" s="48">
        <v>2503.55249</v>
      </c>
      <c r="D79" s="15">
        <f t="shared" si="4"/>
        <v>-1.5449227944795973E-3</v>
      </c>
      <c r="F79" s="48">
        <v>18117.150390999999</v>
      </c>
      <c r="G79" s="15">
        <f t="shared" si="5"/>
        <v>1.8572739081492262E-2</v>
      </c>
    </row>
    <row r="80" spans="2:7" x14ac:dyDescent="0.35">
      <c r="B80" s="95">
        <v>44872</v>
      </c>
      <c r="C80" s="48">
        <v>2503.0500489999999</v>
      </c>
      <c r="D80" s="15">
        <f t="shared" si="4"/>
        <v>-2.0069121858123928E-4</v>
      </c>
      <c r="F80" s="48">
        <v>18349.699218999998</v>
      </c>
      <c r="G80" s="15">
        <f t="shared" si="5"/>
        <v>1.2835839134808014E-2</v>
      </c>
    </row>
    <row r="81" spans="2:7" x14ac:dyDescent="0.35">
      <c r="B81" s="95">
        <v>44879</v>
      </c>
      <c r="C81" s="48">
        <v>2483.6999510000001</v>
      </c>
      <c r="D81" s="15">
        <f t="shared" si="4"/>
        <v>-7.7306077070774526E-3</v>
      </c>
      <c r="F81" s="48">
        <v>18307.650390999999</v>
      </c>
      <c r="G81" s="15">
        <f t="shared" si="5"/>
        <v>-2.2915268254892762E-3</v>
      </c>
    </row>
    <row r="82" spans="2:7" x14ac:dyDescent="0.35">
      <c r="B82" s="95">
        <v>44886</v>
      </c>
      <c r="C82" s="48">
        <v>2537.4499510000001</v>
      </c>
      <c r="D82" s="15">
        <f t="shared" si="4"/>
        <v>2.1641100398765545E-2</v>
      </c>
      <c r="F82" s="48">
        <v>18512.75</v>
      </c>
      <c r="G82" s="15">
        <f t="shared" si="5"/>
        <v>1.1202945469224623E-2</v>
      </c>
    </row>
    <row r="83" spans="2:7" x14ac:dyDescent="0.35">
      <c r="B83" s="95">
        <v>44893</v>
      </c>
      <c r="C83" s="48">
        <v>2615.1000979999999</v>
      </c>
      <c r="D83" s="15">
        <f t="shared" si="4"/>
        <v>3.0601646731750476E-2</v>
      </c>
      <c r="F83" s="48">
        <v>18696.099609000001</v>
      </c>
      <c r="G83" s="15">
        <f t="shared" si="5"/>
        <v>9.9039639707769744E-3</v>
      </c>
    </row>
    <row r="84" spans="2:7" x14ac:dyDescent="0.35">
      <c r="B84" s="95">
        <v>44900</v>
      </c>
      <c r="C84" s="48">
        <v>2722.25</v>
      </c>
      <c r="D84" s="15">
        <f t="shared" si="4"/>
        <v>4.0973537526134196E-2</v>
      </c>
      <c r="F84" s="48">
        <v>18496.599609000001</v>
      </c>
      <c r="G84" s="15">
        <f t="shared" si="5"/>
        <v>-1.0670674855838058E-2</v>
      </c>
    </row>
    <row r="85" spans="2:7" x14ac:dyDescent="0.35">
      <c r="B85" s="95">
        <v>44907</v>
      </c>
      <c r="C85" s="48">
        <v>2671.3000489999999</v>
      </c>
      <c r="D85" s="15">
        <f t="shared" si="4"/>
        <v>-1.8716117549820943E-2</v>
      </c>
      <c r="F85" s="48">
        <v>18269</v>
      </c>
      <c r="G85" s="15">
        <f t="shared" si="5"/>
        <v>-1.2304943276668867E-2</v>
      </c>
    </row>
    <row r="86" spans="2:7" x14ac:dyDescent="0.35">
      <c r="B86" s="95">
        <v>44914</v>
      </c>
      <c r="C86" s="48">
        <v>2621.1000979999999</v>
      </c>
      <c r="D86" s="15">
        <f t="shared" si="4"/>
        <v>-1.8792329606998837E-2</v>
      </c>
      <c r="F86" s="48">
        <v>17806.800781000002</v>
      </c>
      <c r="G86" s="15">
        <f t="shared" si="5"/>
        <v>-2.529964524604511E-2</v>
      </c>
    </row>
    <row r="87" spans="2:7" x14ac:dyDescent="0.35">
      <c r="B87" s="95">
        <v>44921</v>
      </c>
      <c r="C87" s="48">
        <v>2561.0500489999999</v>
      </c>
      <c r="D87" s="15">
        <f t="shared" si="4"/>
        <v>-2.2910246367859211E-2</v>
      </c>
      <c r="F87" s="48">
        <v>18105.300781000002</v>
      </c>
      <c r="G87" s="15">
        <f t="shared" si="5"/>
        <v>1.6763258244484991E-2</v>
      </c>
    </row>
    <row r="88" spans="2:7" x14ac:dyDescent="0.35">
      <c r="B88" s="95">
        <v>44928</v>
      </c>
      <c r="C88" s="48">
        <v>2576.4499510000001</v>
      </c>
      <c r="D88" s="15">
        <f t="shared" si="4"/>
        <v>6.013120284788398E-3</v>
      </c>
      <c r="F88" s="48">
        <v>17859.449218999998</v>
      </c>
      <c r="G88" s="15">
        <f t="shared" si="5"/>
        <v>-1.3578982474458767E-2</v>
      </c>
    </row>
    <row r="89" spans="2:7" x14ac:dyDescent="0.35">
      <c r="B89" s="95">
        <v>44935</v>
      </c>
      <c r="C89" s="48">
        <v>2624</v>
      </c>
      <c r="D89" s="15">
        <f t="shared" si="4"/>
        <v>1.8455646297939721E-2</v>
      </c>
      <c r="F89" s="48">
        <v>17956.599609000001</v>
      </c>
      <c r="G89" s="15">
        <f t="shared" si="5"/>
        <v>5.4397192661825855E-3</v>
      </c>
    </row>
    <row r="90" spans="2:7" x14ac:dyDescent="0.35">
      <c r="B90" s="95">
        <v>44942</v>
      </c>
      <c r="C90" s="48">
        <v>2548.75</v>
      </c>
      <c r="D90" s="15">
        <f t="shared" si="4"/>
        <v>-2.8677591463414642E-2</v>
      </c>
      <c r="F90" s="48">
        <v>18027.650390999999</v>
      </c>
      <c r="G90" s="15">
        <f t="shared" si="5"/>
        <v>3.9568060516528281E-3</v>
      </c>
    </row>
    <row r="91" spans="2:7" x14ac:dyDescent="0.35">
      <c r="B91" s="95">
        <v>44949</v>
      </c>
      <c r="C91" s="48">
        <v>2612.1499020000001</v>
      </c>
      <c r="D91" s="15">
        <f t="shared" si="4"/>
        <v>2.4874900245218212E-2</v>
      </c>
      <c r="F91" s="48">
        <v>17604.349609000001</v>
      </c>
      <c r="G91" s="15">
        <f t="shared" si="5"/>
        <v>-2.3480640727941093E-2</v>
      </c>
    </row>
    <row r="92" spans="2:7" x14ac:dyDescent="0.35">
      <c r="B92" s="95">
        <v>44956</v>
      </c>
      <c r="C92" s="48">
        <v>2648.75</v>
      </c>
      <c r="D92" s="15">
        <f t="shared" si="4"/>
        <v>1.4011484552236775E-2</v>
      </c>
      <c r="F92" s="48">
        <v>17854.050781000002</v>
      </c>
      <c r="G92" s="15">
        <f t="shared" si="5"/>
        <v>1.4184061186352848E-2</v>
      </c>
    </row>
    <row r="93" spans="2:7" x14ac:dyDescent="0.35">
      <c r="B93" s="95">
        <v>44963</v>
      </c>
      <c r="C93" s="48">
        <v>2577.5</v>
      </c>
      <c r="D93" s="15">
        <f t="shared" si="4"/>
        <v>-2.6899480887210947E-2</v>
      </c>
      <c r="F93" s="48">
        <v>17856.5</v>
      </c>
      <c r="G93" s="15">
        <f t="shared" si="5"/>
        <v>1.371800175793414E-4</v>
      </c>
    </row>
    <row r="94" spans="2:7" x14ac:dyDescent="0.35">
      <c r="B94" s="95">
        <v>44970</v>
      </c>
      <c r="C94" s="48">
        <v>2515.5</v>
      </c>
      <c r="D94" s="15">
        <f t="shared" si="4"/>
        <v>-2.4054316197866132E-2</v>
      </c>
      <c r="F94" s="48">
        <v>17944.199218999998</v>
      </c>
      <c r="G94" s="15">
        <f t="shared" si="5"/>
        <v>4.9113330719905424E-3</v>
      </c>
    </row>
    <row r="95" spans="2:7" x14ac:dyDescent="0.35">
      <c r="B95" s="95">
        <v>44977</v>
      </c>
      <c r="C95" s="48">
        <v>2484.1999510000001</v>
      </c>
      <c r="D95" s="15">
        <f t="shared" si="4"/>
        <v>-1.2442873782548158E-2</v>
      </c>
      <c r="F95" s="48">
        <v>17465.800781000002</v>
      </c>
      <c r="G95" s="15">
        <f t="shared" si="5"/>
        <v>-2.6660339208308015E-2</v>
      </c>
    </row>
    <row r="96" spans="2:7" x14ac:dyDescent="0.35">
      <c r="B96" s="95">
        <v>44984</v>
      </c>
      <c r="C96" s="48">
        <v>2471</v>
      </c>
      <c r="D96" s="15">
        <f t="shared" si="4"/>
        <v>-5.3135622173595687E-3</v>
      </c>
      <c r="F96" s="48">
        <v>17594.349609000001</v>
      </c>
      <c r="G96" s="15">
        <f t="shared" si="5"/>
        <v>7.3600305884538031E-3</v>
      </c>
    </row>
    <row r="97" spans="2:7" x14ac:dyDescent="0.35">
      <c r="B97" s="95">
        <v>44991</v>
      </c>
      <c r="C97" s="48">
        <v>2465.4499510000001</v>
      </c>
      <c r="D97" s="15">
        <f t="shared" si="4"/>
        <v>-2.24607405908539E-3</v>
      </c>
      <c r="F97" s="48">
        <v>17412.900390999999</v>
      </c>
      <c r="G97" s="15">
        <f t="shared" si="5"/>
        <v>-1.0312925571695164E-2</v>
      </c>
    </row>
    <row r="98" spans="2:7" x14ac:dyDescent="0.35">
      <c r="B98" s="95">
        <v>44998</v>
      </c>
      <c r="C98" s="48">
        <v>2447.3999020000001</v>
      </c>
      <c r="D98" s="15">
        <f t="shared" si="4"/>
        <v>-7.3211987096629683E-3</v>
      </c>
      <c r="F98" s="48">
        <v>17100.050781000002</v>
      </c>
      <c r="G98" s="15">
        <f t="shared" si="5"/>
        <v>-1.7966542217268788E-2</v>
      </c>
    </row>
    <row r="99" spans="2:7" x14ac:dyDescent="0.35">
      <c r="B99" s="95">
        <v>45005</v>
      </c>
      <c r="C99" s="48">
        <v>2480.8000489999999</v>
      </c>
      <c r="D99" s="15">
        <f t="shared" si="4"/>
        <v>1.3647196346091794E-2</v>
      </c>
      <c r="F99" s="48">
        <v>16945.050781000002</v>
      </c>
      <c r="G99" s="15">
        <f t="shared" si="5"/>
        <v>-9.0643005675878907E-3</v>
      </c>
    </row>
    <row r="100" spans="2:7" x14ac:dyDescent="0.35">
      <c r="B100" s="95">
        <v>45012</v>
      </c>
      <c r="C100" s="48">
        <v>2560.3500979999999</v>
      </c>
      <c r="D100" s="15">
        <f t="shared" si="4"/>
        <v>3.2066288063830939E-2</v>
      </c>
      <c r="F100" s="48">
        <v>17359.75</v>
      </c>
      <c r="G100" s="15">
        <f t="shared" si="5"/>
        <v>2.4473176525678486E-2</v>
      </c>
    </row>
    <row r="101" spans="2:7" x14ac:dyDescent="0.35">
      <c r="B101" s="95">
        <v>45019</v>
      </c>
      <c r="C101" s="48">
        <v>2565.25</v>
      </c>
      <c r="D101" s="15">
        <f t="shared" si="4"/>
        <v>1.9137624982723533E-3</v>
      </c>
      <c r="F101" s="48">
        <v>17599.150390999999</v>
      </c>
      <c r="G101" s="15">
        <f t="shared" si="5"/>
        <v>1.3790543700226143E-2</v>
      </c>
    </row>
    <row r="102" spans="2:7" x14ac:dyDescent="0.35">
      <c r="B102" s="95">
        <v>45026</v>
      </c>
      <c r="C102" s="48">
        <v>2536.1999510000001</v>
      </c>
      <c r="D102" s="15">
        <f t="shared" si="4"/>
        <v>-1.1324451417990433E-2</v>
      </c>
      <c r="F102" s="48">
        <v>17828</v>
      </c>
      <c r="G102" s="15">
        <f t="shared" si="5"/>
        <v>1.3003446411653519E-2</v>
      </c>
    </row>
    <row r="103" spans="2:7" x14ac:dyDescent="0.35">
      <c r="B103" s="95">
        <v>45033</v>
      </c>
      <c r="C103" s="48">
        <v>2497.9499510000001</v>
      </c>
      <c r="D103" s="15">
        <f t="shared" si="4"/>
        <v>-1.5081618460294655E-2</v>
      </c>
      <c r="F103" s="48">
        <v>17624.050781000002</v>
      </c>
      <c r="G103" s="15">
        <f t="shared" si="5"/>
        <v>-1.1439826060130054E-2</v>
      </c>
    </row>
    <row r="104" spans="2:7" x14ac:dyDescent="0.35">
      <c r="B104" s="95">
        <v>45040</v>
      </c>
      <c r="C104" s="48">
        <v>2457.3000489999999</v>
      </c>
      <c r="D104" s="15">
        <f t="shared" ref="D104:D112" si="6">C104/C103-1</f>
        <v>-1.6273305229244861E-2</v>
      </c>
      <c r="F104" s="48">
        <v>18065</v>
      </c>
      <c r="G104" s="15">
        <f t="shared" ref="G104:G112" si="7">F104/F103-1</f>
        <v>2.5019742877464557E-2</v>
      </c>
    </row>
    <row r="105" spans="2:7" x14ac:dyDescent="0.35">
      <c r="B105" s="95">
        <v>45047</v>
      </c>
      <c r="C105" s="48">
        <v>2500.75</v>
      </c>
      <c r="D105" s="15">
        <f t="shared" si="6"/>
        <v>1.7681988415571004E-2</v>
      </c>
      <c r="F105" s="48">
        <v>18069</v>
      </c>
      <c r="G105" s="15">
        <f t="shared" si="7"/>
        <v>2.2142264046509652E-4</v>
      </c>
    </row>
    <row r="106" spans="2:7" x14ac:dyDescent="0.35">
      <c r="B106" s="95">
        <v>45054</v>
      </c>
      <c r="C106" s="48">
        <v>2623.3999020000001</v>
      </c>
      <c r="D106" s="15">
        <f t="shared" si="6"/>
        <v>4.9045247225832256E-2</v>
      </c>
      <c r="F106" s="48">
        <v>18314.800781000002</v>
      </c>
      <c r="G106" s="15">
        <f t="shared" si="7"/>
        <v>1.3603452376999448E-2</v>
      </c>
    </row>
    <row r="107" spans="2:7" x14ac:dyDescent="0.35">
      <c r="B107" s="95">
        <v>45061</v>
      </c>
      <c r="C107" s="48">
        <v>2641.4499510000001</v>
      </c>
      <c r="D107" s="15">
        <f t="shared" si="6"/>
        <v>6.8804031692764056E-3</v>
      </c>
      <c r="F107" s="48">
        <v>18203.400390999999</v>
      </c>
      <c r="G107" s="15">
        <f t="shared" si="7"/>
        <v>-6.0825335384249168E-3</v>
      </c>
    </row>
    <row r="108" spans="2:7" x14ac:dyDescent="0.35">
      <c r="B108" s="95">
        <v>45068</v>
      </c>
      <c r="C108" s="48">
        <v>2652.3500979999999</v>
      </c>
      <c r="D108" s="15">
        <f t="shared" si="6"/>
        <v>4.1265771459622069E-3</v>
      </c>
      <c r="F108" s="48">
        <v>18499.349609000001</v>
      </c>
      <c r="G108" s="15">
        <f t="shared" si="7"/>
        <v>1.6257908502980811E-2</v>
      </c>
    </row>
    <row r="109" spans="2:7" x14ac:dyDescent="0.35">
      <c r="B109" s="95">
        <v>45075</v>
      </c>
      <c r="C109" s="48">
        <v>2716.6999510000001</v>
      </c>
      <c r="D109" s="15">
        <f t="shared" si="6"/>
        <v>2.4261447630357313E-2</v>
      </c>
      <c r="F109" s="48">
        <v>18534.099609000001</v>
      </c>
      <c r="G109" s="15">
        <f t="shared" si="7"/>
        <v>1.8784444174779757E-3</v>
      </c>
    </row>
    <row r="110" spans="2:7" x14ac:dyDescent="0.35">
      <c r="B110" s="95">
        <v>45082</v>
      </c>
      <c r="C110" s="48">
        <v>2636.1999510000001</v>
      </c>
      <c r="D110" s="15">
        <f t="shared" si="6"/>
        <v>-2.9631538797786017E-2</v>
      </c>
      <c r="F110" s="48">
        <v>18563.400390999999</v>
      </c>
      <c r="G110" s="15">
        <f t="shared" si="7"/>
        <v>1.5809120819534339E-3</v>
      </c>
    </row>
    <row r="111" spans="2:7" x14ac:dyDescent="0.35">
      <c r="B111" s="95">
        <v>45089</v>
      </c>
      <c r="C111" s="48">
        <v>2715.6499020000001</v>
      </c>
      <c r="D111" s="15">
        <f t="shared" si="6"/>
        <v>3.0138059508673543E-2</v>
      </c>
      <c r="F111" s="48">
        <v>18826</v>
      </c>
      <c r="G111" s="15">
        <f t="shared" si="7"/>
        <v>1.4146094113625551E-2</v>
      </c>
    </row>
    <row r="112" spans="2:7" x14ac:dyDescent="0.35">
      <c r="B112" s="95">
        <v>45093</v>
      </c>
      <c r="C112" s="48">
        <v>2715.6499020000001</v>
      </c>
      <c r="D112" s="15">
        <f t="shared" si="6"/>
        <v>0</v>
      </c>
      <c r="F112" s="48">
        <v>18826</v>
      </c>
      <c r="G112" s="15">
        <f t="shared" si="7"/>
        <v>0</v>
      </c>
    </row>
  </sheetData>
  <mergeCells count="3">
    <mergeCell ref="B4:D4"/>
    <mergeCell ref="F4:G4"/>
    <mergeCell ref="I4:J4"/>
  </mergeCells>
  <pageMargins left="0.25" right="0.25" top="0.75" bottom="0.75" header="0.3" footer="0.3"/>
  <pageSetup paperSize="9" scale="4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8110-91DA-4A68-A5DE-11B83C2F4D60}">
  <sheetPr>
    <pageSetUpPr fitToPage="1"/>
  </sheetPr>
  <dimension ref="B2:T112"/>
  <sheetViews>
    <sheetView showGridLines="0" workbookViewId="0">
      <selection activeCell="I4" sqref="I4:J12"/>
    </sheetView>
  </sheetViews>
  <sheetFormatPr defaultRowHeight="14.5" x14ac:dyDescent="0.35"/>
  <cols>
    <col min="1" max="1" width="2.1796875" customWidth="1"/>
    <col min="2" max="2" width="12.6328125" customWidth="1"/>
    <col min="3" max="3" width="11.81640625" bestFit="1" customWidth="1"/>
    <col min="4" max="4" width="15.54296875" bestFit="1" customWidth="1"/>
    <col min="9" max="9" width="17.54296875" bestFit="1" customWidth="1"/>
    <col min="12" max="12" width="17.26953125" bestFit="1" customWidth="1"/>
    <col min="13" max="13" width="11.81640625" bestFit="1" customWidth="1"/>
    <col min="14" max="14" width="13.54296875" bestFit="1" customWidth="1"/>
    <col min="15" max="15" width="11.81640625" bestFit="1" customWidth="1"/>
  </cols>
  <sheetData>
    <row r="2" spans="2:13" x14ac:dyDescent="0.35">
      <c r="B2" s="13" t="s">
        <v>249</v>
      </c>
    </row>
    <row r="4" spans="2:13" x14ac:dyDescent="0.35">
      <c r="B4" s="139" t="s">
        <v>250</v>
      </c>
      <c r="C4" s="139"/>
      <c r="D4" s="139"/>
      <c r="F4" s="139" t="s">
        <v>247</v>
      </c>
      <c r="G4" s="139"/>
      <c r="I4" s="139" t="s">
        <v>246</v>
      </c>
      <c r="J4" s="139"/>
      <c r="L4" t="s">
        <v>245</v>
      </c>
      <c r="M4" s="61">
        <f>SLOPE(D8:D112,G8:G112)</f>
        <v>0.47346270589594369</v>
      </c>
    </row>
    <row r="5" spans="2:13" x14ac:dyDescent="0.35">
      <c r="B5" s="13"/>
      <c r="L5" t="s">
        <v>244</v>
      </c>
      <c r="M5" s="61">
        <f>_xlfn.COVARIANCE.S(D7:D112,G7:G112)/_xlfn.VAR.S(G7:G112)</f>
        <v>0.47346270589594353</v>
      </c>
    </row>
    <row r="6" spans="2:13" x14ac:dyDescent="0.35">
      <c r="B6" s="102" t="s">
        <v>243</v>
      </c>
      <c r="C6" s="101" t="s">
        <v>242</v>
      </c>
      <c r="D6" s="101" t="s">
        <v>241</v>
      </c>
      <c r="E6" s="13"/>
      <c r="F6" s="101" t="s">
        <v>242</v>
      </c>
      <c r="G6" s="101" t="s">
        <v>241</v>
      </c>
      <c r="I6" s="45" t="s">
        <v>240</v>
      </c>
      <c r="J6" s="61">
        <f>M7</f>
        <v>0.47346270589594341</v>
      </c>
    </row>
    <row r="7" spans="2:13" x14ac:dyDescent="0.35">
      <c r="B7" s="95">
        <v>44361</v>
      </c>
      <c r="C7" s="48">
        <v>17228.625</v>
      </c>
      <c r="F7" s="48">
        <v>15683.349609000001</v>
      </c>
      <c r="I7" t="s">
        <v>239</v>
      </c>
      <c r="J7" s="62">
        <v>0.75</v>
      </c>
      <c r="L7" t="s">
        <v>238</v>
      </c>
      <c r="M7" s="61">
        <f>M26</f>
        <v>0.47346270589594341</v>
      </c>
    </row>
    <row r="8" spans="2:13" x14ac:dyDescent="0.35">
      <c r="B8" s="95">
        <v>44368</v>
      </c>
      <c r="C8" s="48">
        <v>17068.775390999999</v>
      </c>
      <c r="D8" s="15">
        <f t="shared" ref="D8:D39" si="0">C8/C7-1</f>
        <v>-9.2781408266765508E-3</v>
      </c>
      <c r="F8" s="48">
        <v>15860.349609000001</v>
      </c>
      <c r="G8" s="15">
        <f t="shared" ref="G8:G39" si="1">F8/F7-1</f>
        <v>1.1285854387791394E-2</v>
      </c>
    </row>
    <row r="9" spans="2:13" x14ac:dyDescent="0.35">
      <c r="B9" s="95">
        <v>44375</v>
      </c>
      <c r="C9" s="48">
        <v>17161.695313</v>
      </c>
      <c r="D9" s="15">
        <f t="shared" si="0"/>
        <v>5.4438540476076103E-3</v>
      </c>
      <c r="F9" s="48">
        <v>15722.200194999999</v>
      </c>
      <c r="G9" s="15">
        <f t="shared" si="1"/>
        <v>-8.7103637313018512E-3</v>
      </c>
      <c r="I9" t="s">
        <v>237</v>
      </c>
      <c r="J9" s="61">
        <v>1</v>
      </c>
      <c r="L9" t="s">
        <v>236</v>
      </c>
    </row>
    <row r="10" spans="2:13" ht="15" thickBot="1" x14ac:dyDescent="0.4">
      <c r="B10" s="95">
        <v>44382</v>
      </c>
      <c r="C10" s="48">
        <v>17194.841797000001</v>
      </c>
      <c r="D10" s="15">
        <f t="shared" si="0"/>
        <v>1.931422472865707E-3</v>
      </c>
      <c r="F10" s="48">
        <v>15689.799805000001</v>
      </c>
      <c r="G10" s="15">
        <f t="shared" si="1"/>
        <v>-2.0608050780515086E-3</v>
      </c>
      <c r="I10" t="s">
        <v>235</v>
      </c>
      <c r="J10" s="62">
        <v>0.25</v>
      </c>
    </row>
    <row r="11" spans="2:13" x14ac:dyDescent="0.35">
      <c r="B11" s="95">
        <v>44389</v>
      </c>
      <c r="C11" s="48">
        <v>17212.585938</v>
      </c>
      <c r="D11" s="15">
        <f t="shared" si="0"/>
        <v>1.0319455805110067E-3</v>
      </c>
      <c r="F11" s="48">
        <v>15923.400390999999</v>
      </c>
      <c r="G11" s="15">
        <f t="shared" si="1"/>
        <v>1.488869130921322E-2</v>
      </c>
      <c r="L11" s="100" t="s">
        <v>234</v>
      </c>
      <c r="M11" s="100"/>
    </row>
    <row r="12" spans="2:13" x14ac:dyDescent="0.35">
      <c r="B12" s="95">
        <v>44396</v>
      </c>
      <c r="C12" s="48">
        <v>17690.085938</v>
      </c>
      <c r="D12" s="15">
        <f t="shared" si="0"/>
        <v>2.7741328451167169E-2</v>
      </c>
      <c r="F12" s="48">
        <v>15856.049805000001</v>
      </c>
      <c r="G12" s="15">
        <f t="shared" si="1"/>
        <v>-4.2296610237889665E-3</v>
      </c>
      <c r="I12" s="99" t="s">
        <v>233</v>
      </c>
      <c r="J12" s="98">
        <f>(J6*J7)+(J9*J10)</f>
        <v>0.60509702942195753</v>
      </c>
      <c r="L12" t="s">
        <v>232</v>
      </c>
      <c r="M12">
        <v>0.37000178596957478</v>
      </c>
    </row>
    <row r="13" spans="2:13" x14ac:dyDescent="0.35">
      <c r="B13" s="95">
        <v>44403</v>
      </c>
      <c r="C13" s="48">
        <v>17259.824218999998</v>
      </c>
      <c r="D13" s="15">
        <f t="shared" si="0"/>
        <v>-2.4322194957558607E-2</v>
      </c>
      <c r="F13" s="48">
        <v>15763.049805000001</v>
      </c>
      <c r="G13" s="15">
        <f t="shared" si="1"/>
        <v>-5.8652691650018518E-3</v>
      </c>
      <c r="L13" t="s">
        <v>231</v>
      </c>
      <c r="M13">
        <v>0.13690132162067503</v>
      </c>
    </row>
    <row r="14" spans="2:13" x14ac:dyDescent="0.35">
      <c r="B14" s="95">
        <v>44410</v>
      </c>
      <c r="C14" s="48">
        <v>17569.873047000001</v>
      </c>
      <c r="D14" s="15">
        <f t="shared" si="0"/>
        <v>1.7963614464780786E-2</v>
      </c>
      <c r="F14" s="48">
        <v>16238.200194999999</v>
      </c>
      <c r="G14" s="15">
        <f t="shared" si="1"/>
        <v>3.0143303223547635E-2</v>
      </c>
      <c r="L14" t="s">
        <v>230</v>
      </c>
      <c r="M14">
        <v>0.12852172280145827</v>
      </c>
    </row>
    <row r="15" spans="2:13" x14ac:dyDescent="0.35">
      <c r="B15" s="95">
        <v>44417</v>
      </c>
      <c r="C15" s="48">
        <v>17812.546875</v>
      </c>
      <c r="D15" s="15">
        <f t="shared" si="0"/>
        <v>1.3811928370275561E-2</v>
      </c>
      <c r="F15" s="48">
        <v>16529.099609000001</v>
      </c>
      <c r="G15" s="15">
        <f t="shared" si="1"/>
        <v>1.79145108760006E-2</v>
      </c>
      <c r="L15" t="s">
        <v>219</v>
      </c>
      <c r="M15">
        <v>2.3552763301128321E-2</v>
      </c>
    </row>
    <row r="16" spans="2:13" ht="15" thickBot="1" x14ac:dyDescent="0.4">
      <c r="B16" s="95">
        <v>44424</v>
      </c>
      <c r="C16" s="48">
        <v>19081.683593999998</v>
      </c>
      <c r="D16" s="15">
        <f t="shared" si="0"/>
        <v>7.1249593216859752E-2</v>
      </c>
      <c r="F16" s="48">
        <v>16450.5</v>
      </c>
      <c r="G16" s="15">
        <f t="shared" si="1"/>
        <v>-4.7552262893499897E-3</v>
      </c>
      <c r="L16" s="96" t="s">
        <v>229</v>
      </c>
      <c r="M16" s="96">
        <v>105</v>
      </c>
    </row>
    <row r="17" spans="2:20" x14ac:dyDescent="0.35">
      <c r="B17" s="95">
        <v>44431</v>
      </c>
      <c r="C17" s="48">
        <v>19458.123047000001</v>
      </c>
      <c r="D17" s="15">
        <f t="shared" si="0"/>
        <v>1.9727790325501982E-2</v>
      </c>
      <c r="F17" s="48">
        <v>16705.199218999998</v>
      </c>
      <c r="G17" s="15">
        <f t="shared" si="1"/>
        <v>1.5482764596820742E-2</v>
      </c>
    </row>
    <row r="18" spans="2:20" ht="15" thickBot="1" x14ac:dyDescent="0.4">
      <c r="B18" s="95">
        <v>44438</v>
      </c>
      <c r="C18" s="48">
        <v>19759.6875</v>
      </c>
      <c r="D18" s="15">
        <f t="shared" si="0"/>
        <v>1.5498126529038148E-2</v>
      </c>
      <c r="F18" s="48">
        <v>17323.599609000001</v>
      </c>
      <c r="G18" s="15">
        <f t="shared" si="1"/>
        <v>3.7018438504860862E-2</v>
      </c>
      <c r="L18" t="s">
        <v>228</v>
      </c>
    </row>
    <row r="19" spans="2:20" x14ac:dyDescent="0.35">
      <c r="B19" s="95">
        <v>44445</v>
      </c>
      <c r="C19" s="48">
        <v>19945.470702999999</v>
      </c>
      <c r="D19" s="15">
        <f t="shared" si="0"/>
        <v>9.4021326501241287E-3</v>
      </c>
      <c r="F19" s="48">
        <v>17369.25</v>
      </c>
      <c r="G19" s="15">
        <f t="shared" si="1"/>
        <v>2.6351562048503308E-3</v>
      </c>
      <c r="L19" s="97"/>
      <c r="M19" s="97" t="s">
        <v>227</v>
      </c>
      <c r="N19" s="97" t="s">
        <v>226</v>
      </c>
      <c r="O19" s="97" t="s">
        <v>225</v>
      </c>
      <c r="P19" s="97" t="s">
        <v>224</v>
      </c>
      <c r="Q19" s="97" t="s">
        <v>223</v>
      </c>
    </row>
    <row r="20" spans="2:20" x14ac:dyDescent="0.35">
      <c r="B20" s="95">
        <v>44452</v>
      </c>
      <c r="C20" s="48">
        <v>19671.011718999998</v>
      </c>
      <c r="D20" s="15">
        <f t="shared" si="0"/>
        <v>-1.3760466628582435E-2</v>
      </c>
      <c r="F20" s="48">
        <v>17585.150390999999</v>
      </c>
      <c r="G20" s="15">
        <f t="shared" si="1"/>
        <v>1.2430035321041366E-2</v>
      </c>
      <c r="L20" t="s">
        <v>222</v>
      </c>
      <c r="M20">
        <v>1</v>
      </c>
      <c r="N20">
        <v>9.0629200535686169E-3</v>
      </c>
      <c r="O20">
        <v>9.0629200535686169E-3</v>
      </c>
      <c r="P20">
        <v>16.337455357256758</v>
      </c>
      <c r="Q20">
        <v>1.0240862216712099E-4</v>
      </c>
    </row>
    <row r="21" spans="2:20" x14ac:dyDescent="0.35">
      <c r="B21" s="95">
        <v>44459</v>
      </c>
      <c r="C21" s="48">
        <v>19367.353515999999</v>
      </c>
      <c r="D21" s="15">
        <f t="shared" si="0"/>
        <v>-1.5436837074663479E-2</v>
      </c>
      <c r="F21" s="48">
        <v>17853.199218999998</v>
      </c>
      <c r="G21" s="15">
        <f t="shared" si="1"/>
        <v>1.5242907910368864E-2</v>
      </c>
      <c r="L21" t="s">
        <v>221</v>
      </c>
      <c r="M21">
        <v>103</v>
      </c>
      <c r="N21">
        <v>5.7137463889254635E-2</v>
      </c>
      <c r="O21">
        <v>5.5473265911897701E-4</v>
      </c>
    </row>
    <row r="22" spans="2:20" ht="15" thickBot="1" x14ac:dyDescent="0.4">
      <c r="B22" s="95">
        <v>44466</v>
      </c>
      <c r="C22" s="48">
        <v>19060.916015999999</v>
      </c>
      <c r="D22" s="15">
        <f t="shared" si="0"/>
        <v>-1.5822373446472304E-2</v>
      </c>
      <c r="F22" s="48">
        <v>17532.050781000002</v>
      </c>
      <c r="G22" s="15">
        <f t="shared" si="1"/>
        <v>-1.7988285128091697E-2</v>
      </c>
      <c r="L22" s="96" t="s">
        <v>37</v>
      </c>
      <c r="M22" s="96">
        <v>104</v>
      </c>
      <c r="N22" s="96">
        <v>6.6200383942823252E-2</v>
      </c>
      <c r="O22" s="96"/>
      <c r="P22" s="96"/>
      <c r="Q22" s="96"/>
    </row>
    <row r="23" spans="2:20" ht="15" thickBot="1" x14ac:dyDescent="0.4">
      <c r="B23" s="95">
        <v>44473</v>
      </c>
      <c r="C23" s="48">
        <v>18511.511718999998</v>
      </c>
      <c r="D23" s="15">
        <f t="shared" si="0"/>
        <v>-2.8823604098503153E-2</v>
      </c>
      <c r="F23" s="48">
        <v>17895.199218999998</v>
      </c>
      <c r="G23" s="15">
        <f t="shared" si="1"/>
        <v>2.0713403271313213E-2</v>
      </c>
    </row>
    <row r="24" spans="2:20" x14ac:dyDescent="0.35">
      <c r="B24" s="95">
        <v>44480</v>
      </c>
      <c r="C24" s="48">
        <v>18841.982422000001</v>
      </c>
      <c r="D24" s="15">
        <f t="shared" si="0"/>
        <v>1.7852172638110897E-2</v>
      </c>
      <c r="F24" s="48">
        <v>18338.550781000002</v>
      </c>
      <c r="G24" s="15">
        <f t="shared" si="1"/>
        <v>2.4774888313580767E-2</v>
      </c>
      <c r="L24" s="97"/>
      <c r="M24" s="97" t="s">
        <v>220</v>
      </c>
      <c r="N24" s="97" t="s">
        <v>219</v>
      </c>
      <c r="O24" s="97" t="s">
        <v>218</v>
      </c>
      <c r="P24" s="97" t="s">
        <v>217</v>
      </c>
      <c r="Q24" s="97" t="s">
        <v>216</v>
      </c>
      <c r="R24" s="97" t="s">
        <v>215</v>
      </c>
      <c r="S24" s="97" t="s">
        <v>214</v>
      </c>
      <c r="T24" s="97" t="s">
        <v>213</v>
      </c>
    </row>
    <row r="25" spans="2:20" x14ac:dyDescent="0.35">
      <c r="B25" s="95">
        <v>44487</v>
      </c>
      <c r="C25" s="48">
        <v>18531.253906000002</v>
      </c>
      <c r="D25" s="15">
        <f t="shared" si="0"/>
        <v>-1.6491285738447048E-2</v>
      </c>
      <c r="F25" s="48">
        <v>18114.900390999999</v>
      </c>
      <c r="G25" s="15">
        <f t="shared" si="1"/>
        <v>-1.2195641447944716E-2</v>
      </c>
      <c r="L25" t="s">
        <v>212</v>
      </c>
      <c r="M25">
        <v>2.1396854581990292E-3</v>
      </c>
      <c r="N25">
        <v>2.3096541948820302E-3</v>
      </c>
      <c r="O25">
        <v>0.92640944386409219</v>
      </c>
      <c r="P25">
        <v>0.35639885773112434</v>
      </c>
      <c r="Q25">
        <v>-2.4409688933361155E-3</v>
      </c>
      <c r="R25">
        <v>6.7203398097341743E-3</v>
      </c>
      <c r="S25">
        <v>-2.4409688933361155E-3</v>
      </c>
      <c r="T25">
        <v>6.7203398097341743E-3</v>
      </c>
    </row>
    <row r="26" spans="2:20" ht="15" thickBot="1" x14ac:dyDescent="0.4">
      <c r="B26" s="95">
        <v>44494</v>
      </c>
      <c r="C26" s="48">
        <v>18524.869140999999</v>
      </c>
      <c r="D26" s="15">
        <f t="shared" si="0"/>
        <v>-3.4454036582676206E-4</v>
      </c>
      <c r="F26" s="48">
        <v>17671.650390999999</v>
      </c>
      <c r="G26" s="15">
        <f t="shared" si="1"/>
        <v>-2.4468806917658736E-2</v>
      </c>
      <c r="L26" s="96" t="s">
        <v>211</v>
      </c>
      <c r="M26" s="96">
        <v>0.47346270589594341</v>
      </c>
      <c r="N26" s="96">
        <v>0.11713685753064484</v>
      </c>
      <c r="O26" s="96">
        <v>4.0419618203610943</v>
      </c>
      <c r="P26" s="96">
        <v>1.0240862216712048E-4</v>
      </c>
      <c r="Q26" s="96">
        <v>0.24114937632397837</v>
      </c>
      <c r="R26" s="96">
        <v>0.70577603546790846</v>
      </c>
      <c r="S26" s="96">
        <v>0.24114937632397837</v>
      </c>
      <c r="T26" s="96">
        <v>0.70577603546790846</v>
      </c>
    </row>
    <row r="27" spans="2:20" x14ac:dyDescent="0.35">
      <c r="B27" s="95">
        <v>44501</v>
      </c>
      <c r="C27" s="48">
        <v>18525.740234000001</v>
      </c>
      <c r="D27" s="15">
        <f t="shared" si="0"/>
        <v>4.7022896268344994E-5</v>
      </c>
      <c r="F27" s="48">
        <v>17916.800781000002</v>
      </c>
      <c r="G27" s="15">
        <f t="shared" si="1"/>
        <v>1.3872523764099309E-2</v>
      </c>
    </row>
    <row r="28" spans="2:20" x14ac:dyDescent="0.35">
      <c r="B28" s="95">
        <v>44508</v>
      </c>
      <c r="C28" s="48">
        <v>18774.064452999999</v>
      </c>
      <c r="D28" s="15">
        <f t="shared" si="0"/>
        <v>1.3404280523390488E-2</v>
      </c>
      <c r="F28" s="48">
        <v>18102.75</v>
      </c>
      <c r="G28" s="15">
        <f t="shared" si="1"/>
        <v>1.0378483372834646E-2</v>
      </c>
    </row>
    <row r="29" spans="2:20" x14ac:dyDescent="0.35">
      <c r="B29" s="95">
        <v>44515</v>
      </c>
      <c r="C29" s="48">
        <v>19032.054688</v>
      </c>
      <c r="D29" s="15">
        <f t="shared" si="0"/>
        <v>1.3741842404231042E-2</v>
      </c>
      <c r="F29" s="48">
        <v>17764.800781000002</v>
      </c>
      <c r="G29" s="15">
        <f t="shared" si="1"/>
        <v>-1.8668391211279944E-2</v>
      </c>
    </row>
    <row r="30" spans="2:20" x14ac:dyDescent="0.35">
      <c r="B30" s="95">
        <v>44522</v>
      </c>
      <c r="C30" s="48">
        <v>18852.330077999999</v>
      </c>
      <c r="D30" s="15">
        <f t="shared" si="0"/>
        <v>-9.4432583841470574E-3</v>
      </c>
      <c r="F30" s="48">
        <v>17026.449218999998</v>
      </c>
      <c r="G30" s="15">
        <f t="shared" si="1"/>
        <v>-4.1562614245001406E-2</v>
      </c>
    </row>
    <row r="31" spans="2:20" x14ac:dyDescent="0.35">
      <c r="B31" s="95">
        <v>44529</v>
      </c>
      <c r="C31" s="48">
        <v>18949.523438</v>
      </c>
      <c r="D31" s="15">
        <f t="shared" si="0"/>
        <v>5.1555091385453444E-3</v>
      </c>
      <c r="F31" s="48">
        <v>17196.699218999998</v>
      </c>
      <c r="G31" s="15">
        <f t="shared" si="1"/>
        <v>9.9991488424970854E-3</v>
      </c>
    </row>
    <row r="32" spans="2:20" x14ac:dyDescent="0.35">
      <c r="B32" s="95">
        <v>44536</v>
      </c>
      <c r="C32" s="48">
        <v>18899.40625</v>
      </c>
      <c r="D32" s="15">
        <f t="shared" si="0"/>
        <v>-2.6447730025493943E-3</v>
      </c>
      <c r="F32" s="48">
        <v>17511.300781000002</v>
      </c>
      <c r="G32" s="15">
        <f t="shared" si="1"/>
        <v>1.8294299271828462E-2</v>
      </c>
    </row>
    <row r="33" spans="2:7" x14ac:dyDescent="0.35">
      <c r="B33" s="95">
        <v>44543</v>
      </c>
      <c r="C33" s="48">
        <v>18712.476563</v>
      </c>
      <c r="D33" s="15">
        <f t="shared" si="0"/>
        <v>-9.8907703515818124E-3</v>
      </c>
      <c r="F33" s="48">
        <v>16985.199218999998</v>
      </c>
      <c r="G33" s="15">
        <f t="shared" si="1"/>
        <v>-3.0043545512668635E-2</v>
      </c>
    </row>
    <row r="34" spans="2:7" x14ac:dyDescent="0.35">
      <c r="B34" s="95">
        <v>44550</v>
      </c>
      <c r="C34" s="48">
        <v>18854.244140999999</v>
      </c>
      <c r="D34" s="15">
        <f t="shared" si="0"/>
        <v>7.5760991615783091E-3</v>
      </c>
      <c r="F34" s="48">
        <v>17003.75</v>
      </c>
      <c r="G34" s="15">
        <f t="shared" si="1"/>
        <v>1.0921732951623131E-3</v>
      </c>
    </row>
    <row r="35" spans="2:7" x14ac:dyDescent="0.35">
      <c r="B35" s="95">
        <v>44557</v>
      </c>
      <c r="C35" s="48">
        <v>19326.476563</v>
      </c>
      <c r="D35" s="15">
        <f t="shared" si="0"/>
        <v>2.504647857895792E-2</v>
      </c>
      <c r="F35" s="48">
        <v>17354.050781000002</v>
      </c>
      <c r="G35" s="15">
        <f t="shared" si="1"/>
        <v>2.0601383871204915E-2</v>
      </c>
    </row>
    <row r="36" spans="2:7" x14ac:dyDescent="0.35">
      <c r="B36" s="95">
        <v>44564</v>
      </c>
      <c r="C36" s="48">
        <v>19519.832031000002</v>
      </c>
      <c r="D36" s="15">
        <f t="shared" si="0"/>
        <v>1.0004693166377532E-2</v>
      </c>
      <c r="F36" s="48">
        <v>17812.699218999998</v>
      </c>
      <c r="G36" s="15">
        <f t="shared" si="1"/>
        <v>2.6428898001275014E-2</v>
      </c>
    </row>
    <row r="37" spans="2:7" x14ac:dyDescent="0.35">
      <c r="B37" s="95">
        <v>44571</v>
      </c>
      <c r="C37" s="48">
        <v>19026.808593999998</v>
      </c>
      <c r="D37" s="15">
        <f t="shared" si="0"/>
        <v>-2.5257565547542549E-2</v>
      </c>
      <c r="F37" s="48">
        <v>18255.75</v>
      </c>
      <c r="G37" s="15">
        <f t="shared" si="1"/>
        <v>2.4872748119354027E-2</v>
      </c>
    </row>
    <row r="38" spans="2:7" x14ac:dyDescent="0.35">
      <c r="B38" s="95">
        <v>44578</v>
      </c>
      <c r="C38" s="48">
        <v>18609.101563</v>
      </c>
      <c r="D38" s="15">
        <f t="shared" si="0"/>
        <v>-2.1953604512094604E-2</v>
      </c>
      <c r="F38" s="48">
        <v>17617.150390999999</v>
      </c>
      <c r="G38" s="15">
        <f t="shared" si="1"/>
        <v>-3.4980738068827621E-2</v>
      </c>
    </row>
    <row r="39" spans="2:7" x14ac:dyDescent="0.35">
      <c r="B39" s="95">
        <v>44585</v>
      </c>
      <c r="C39" s="48">
        <v>18030.605468999998</v>
      </c>
      <c r="D39" s="15">
        <f t="shared" si="0"/>
        <v>-3.1086728826834387E-2</v>
      </c>
      <c r="F39" s="48">
        <v>17101.949218999998</v>
      </c>
      <c r="G39" s="15">
        <f t="shared" si="1"/>
        <v>-2.9244296640800638E-2</v>
      </c>
    </row>
    <row r="40" spans="2:7" x14ac:dyDescent="0.35">
      <c r="B40" s="95">
        <v>44592</v>
      </c>
      <c r="C40" s="48">
        <v>17978.869140999999</v>
      </c>
      <c r="D40" s="15">
        <f t="shared" ref="D40:D71" si="2">C40/C39-1</f>
        <v>-2.86936165781837E-3</v>
      </c>
      <c r="F40" s="48">
        <v>17516.300781000002</v>
      </c>
      <c r="G40" s="15">
        <f t="shared" ref="G40:G71" si="3">F40/F39-1</f>
        <v>2.4228323724623468E-2</v>
      </c>
    </row>
    <row r="41" spans="2:7" x14ac:dyDescent="0.35">
      <c r="B41" s="95">
        <v>44599</v>
      </c>
      <c r="C41" s="48">
        <v>17472.357422000001</v>
      </c>
      <c r="D41" s="15">
        <f t="shared" si="2"/>
        <v>-2.8172612806047992E-2</v>
      </c>
      <c r="F41" s="48">
        <v>17374.75</v>
      </c>
      <c r="G41" s="15">
        <f t="shared" si="3"/>
        <v>-8.0810887395552644E-3</v>
      </c>
    </row>
    <row r="42" spans="2:7" x14ac:dyDescent="0.35">
      <c r="B42" s="95">
        <v>44606</v>
      </c>
      <c r="C42" s="48">
        <v>17662.724609000001</v>
      </c>
      <c r="D42" s="15">
        <f t="shared" si="2"/>
        <v>1.089533497982953E-2</v>
      </c>
      <c r="F42" s="48">
        <v>17276.300781000002</v>
      </c>
      <c r="G42" s="15">
        <f t="shared" si="3"/>
        <v>-5.66622362911684E-3</v>
      </c>
    </row>
    <row r="43" spans="2:7" x14ac:dyDescent="0.35">
      <c r="B43" s="95">
        <v>44613</v>
      </c>
      <c r="C43" s="48">
        <v>17374.183593999998</v>
      </c>
      <c r="D43" s="15">
        <f t="shared" si="2"/>
        <v>-1.6336155456614931E-2</v>
      </c>
      <c r="F43" s="48">
        <v>16658.400390999999</v>
      </c>
      <c r="G43" s="15">
        <f t="shared" si="3"/>
        <v>-3.5765780987070617E-2</v>
      </c>
    </row>
    <row r="44" spans="2:7" x14ac:dyDescent="0.35">
      <c r="B44" s="95">
        <v>44620</v>
      </c>
      <c r="C44" s="48">
        <v>17057.15625</v>
      </c>
      <c r="D44" s="15">
        <f t="shared" si="2"/>
        <v>-1.8247035452617189E-2</v>
      </c>
      <c r="F44" s="48">
        <v>16245.349609000001</v>
      </c>
      <c r="G44" s="15">
        <f t="shared" si="3"/>
        <v>-2.479534482933643E-2</v>
      </c>
    </row>
    <row r="45" spans="2:7" x14ac:dyDescent="0.35">
      <c r="B45" s="95">
        <v>44627</v>
      </c>
      <c r="C45" s="48">
        <v>16993.994140999999</v>
      </c>
      <c r="D45" s="15">
        <f t="shared" si="2"/>
        <v>-3.7029683069239594E-3</v>
      </c>
      <c r="F45" s="48">
        <v>16630.449218999998</v>
      </c>
      <c r="G45" s="15">
        <f t="shared" si="3"/>
        <v>2.3705221449137115E-2</v>
      </c>
    </row>
    <row r="46" spans="2:7" x14ac:dyDescent="0.35">
      <c r="B46" s="95">
        <v>44634</v>
      </c>
      <c r="C46" s="48">
        <v>17932.330077999999</v>
      </c>
      <c r="D46" s="15">
        <f t="shared" si="2"/>
        <v>5.5215738525892233E-2</v>
      </c>
      <c r="F46" s="48">
        <v>17287.050781000002</v>
      </c>
      <c r="G46" s="15">
        <f t="shared" si="3"/>
        <v>3.9481889716475482E-2</v>
      </c>
    </row>
    <row r="47" spans="2:7" x14ac:dyDescent="0.35">
      <c r="B47" s="95">
        <v>44641</v>
      </c>
      <c r="C47" s="48">
        <v>16830.943359000001</v>
      </c>
      <c r="D47" s="15">
        <f t="shared" si="2"/>
        <v>-6.1419052304374944E-2</v>
      </c>
      <c r="F47" s="48">
        <v>17153</v>
      </c>
      <c r="G47" s="15">
        <f t="shared" si="3"/>
        <v>-7.7544043051771538E-3</v>
      </c>
    </row>
    <row r="48" spans="2:7" x14ac:dyDescent="0.35">
      <c r="B48" s="95">
        <v>44648</v>
      </c>
      <c r="C48" s="48">
        <v>17219.324218999998</v>
      </c>
      <c r="D48" s="15">
        <f t="shared" si="2"/>
        <v>2.3075406512631291E-2</v>
      </c>
      <c r="F48" s="48">
        <v>17670.449218999998</v>
      </c>
      <c r="G48" s="15">
        <f t="shared" si="3"/>
        <v>3.0166689150585846E-2</v>
      </c>
    </row>
    <row r="49" spans="2:7" x14ac:dyDescent="0.35">
      <c r="B49" s="95">
        <v>44655</v>
      </c>
      <c r="C49" s="48">
        <v>18097.689452999999</v>
      </c>
      <c r="D49" s="15">
        <f t="shared" si="2"/>
        <v>5.1010435881728933E-2</v>
      </c>
      <c r="F49" s="48">
        <v>17784.349609000001</v>
      </c>
      <c r="G49" s="15">
        <f t="shared" si="3"/>
        <v>6.4458117950692007E-3</v>
      </c>
    </row>
    <row r="50" spans="2:7" x14ac:dyDescent="0.35">
      <c r="B50" s="95">
        <v>44662</v>
      </c>
      <c r="C50" s="48">
        <v>18093.203125</v>
      </c>
      <c r="D50" s="15">
        <f t="shared" si="2"/>
        <v>-2.4789507034306268E-4</v>
      </c>
      <c r="F50" s="48">
        <v>17475.650390999999</v>
      </c>
      <c r="G50" s="15">
        <f t="shared" si="3"/>
        <v>-1.7357914390289553E-2</v>
      </c>
    </row>
    <row r="51" spans="2:7" x14ac:dyDescent="0.35">
      <c r="B51" s="95">
        <v>44669</v>
      </c>
      <c r="C51" s="48">
        <v>17901.615234000001</v>
      </c>
      <c r="D51" s="15">
        <f t="shared" si="2"/>
        <v>-1.058894269170485E-2</v>
      </c>
      <c r="F51" s="48">
        <v>17171.949218999998</v>
      </c>
      <c r="G51" s="15">
        <f t="shared" si="3"/>
        <v>-1.7378533285170805E-2</v>
      </c>
    </row>
    <row r="52" spans="2:7" x14ac:dyDescent="0.35">
      <c r="B52" s="95">
        <v>44676</v>
      </c>
      <c r="C52" s="48">
        <v>18131.066406000002</v>
      </c>
      <c r="D52" s="15">
        <f t="shared" si="2"/>
        <v>1.2817344636265604E-2</v>
      </c>
      <c r="F52" s="48">
        <v>17102.550781000002</v>
      </c>
      <c r="G52" s="15">
        <f t="shared" si="3"/>
        <v>-4.041383835634127E-3</v>
      </c>
    </row>
    <row r="53" spans="2:7" x14ac:dyDescent="0.35">
      <c r="B53" s="95">
        <v>44683</v>
      </c>
      <c r="C53" s="48">
        <v>16810.724609000001</v>
      </c>
      <c r="D53" s="15">
        <f t="shared" si="2"/>
        <v>-7.2822070551959883E-2</v>
      </c>
      <c r="F53" s="48">
        <v>16411.25</v>
      </c>
      <c r="G53" s="15">
        <f t="shared" si="3"/>
        <v>-4.0420916730619982E-2</v>
      </c>
    </row>
    <row r="54" spans="2:7" x14ac:dyDescent="0.35">
      <c r="B54" s="95">
        <v>44690</v>
      </c>
      <c r="C54" s="48">
        <v>16224.663086</v>
      </c>
      <c r="D54" s="15">
        <f t="shared" si="2"/>
        <v>-3.4862359394445042E-2</v>
      </c>
      <c r="F54" s="48">
        <v>15782.150390999999</v>
      </c>
      <c r="G54" s="15">
        <f t="shared" si="3"/>
        <v>-3.8333436453652281E-2</v>
      </c>
    </row>
    <row r="55" spans="2:7" x14ac:dyDescent="0.35">
      <c r="B55" s="95">
        <v>44697</v>
      </c>
      <c r="C55" s="48">
        <v>16678.724609000001</v>
      </c>
      <c r="D55" s="15">
        <f t="shared" si="2"/>
        <v>2.7985883009910006E-2</v>
      </c>
      <c r="F55" s="48">
        <v>16266.150390999999</v>
      </c>
      <c r="G55" s="15">
        <f t="shared" si="3"/>
        <v>3.0667557209187901E-2</v>
      </c>
    </row>
    <row r="56" spans="2:7" x14ac:dyDescent="0.35">
      <c r="B56" s="95">
        <v>44704</v>
      </c>
      <c r="C56" s="48">
        <v>17449.308593999998</v>
      </c>
      <c r="D56" s="15">
        <f t="shared" si="2"/>
        <v>4.6201613316655177E-2</v>
      </c>
      <c r="F56" s="48">
        <v>16352.450194999999</v>
      </c>
      <c r="G56" s="15">
        <f t="shared" si="3"/>
        <v>5.3054842064996777E-3</v>
      </c>
    </row>
    <row r="57" spans="2:7" x14ac:dyDescent="0.35">
      <c r="B57" s="95">
        <v>44711</v>
      </c>
      <c r="C57" s="48">
        <v>16984.367188</v>
      </c>
      <c r="D57" s="15">
        <f t="shared" si="2"/>
        <v>-2.6645262389357383E-2</v>
      </c>
      <c r="F57" s="48">
        <v>16584.300781000002</v>
      </c>
      <c r="G57" s="15">
        <f t="shared" si="3"/>
        <v>1.4178339223494207E-2</v>
      </c>
    </row>
    <row r="58" spans="2:7" x14ac:dyDescent="0.35">
      <c r="B58" s="95">
        <v>44718</v>
      </c>
      <c r="C58" s="48">
        <v>16592.572265999999</v>
      </c>
      <c r="D58" s="15">
        <f t="shared" si="2"/>
        <v>-2.3067972899032507E-2</v>
      </c>
      <c r="F58" s="48">
        <v>16201.799805000001</v>
      </c>
      <c r="G58" s="15">
        <f t="shared" si="3"/>
        <v>-2.3064039964724836E-2</v>
      </c>
    </row>
    <row r="59" spans="2:7" x14ac:dyDescent="0.35">
      <c r="B59" s="95">
        <v>44725</v>
      </c>
      <c r="C59" s="48">
        <v>16461.511718999998</v>
      </c>
      <c r="D59" s="15">
        <f t="shared" si="2"/>
        <v>-7.8987479999443888E-3</v>
      </c>
      <c r="F59" s="48">
        <v>15293.5</v>
      </c>
      <c r="G59" s="15">
        <f t="shared" si="3"/>
        <v>-5.606166079892505E-2</v>
      </c>
    </row>
    <row r="60" spans="2:7" x14ac:dyDescent="0.35">
      <c r="B60" s="95">
        <v>44732</v>
      </c>
      <c r="C60" s="48">
        <v>17044.357422000001</v>
      </c>
      <c r="D60" s="15">
        <f t="shared" si="2"/>
        <v>3.5406572187855589E-2</v>
      </c>
      <c r="F60" s="48">
        <v>15699.25</v>
      </c>
      <c r="G60" s="15">
        <f t="shared" si="3"/>
        <v>2.6530879131657192E-2</v>
      </c>
    </row>
    <row r="61" spans="2:7" x14ac:dyDescent="0.35">
      <c r="B61" s="95">
        <v>44739</v>
      </c>
      <c r="C61" s="48">
        <v>17601.634765999999</v>
      </c>
      <c r="D61" s="15">
        <f t="shared" si="2"/>
        <v>3.2695708626756081E-2</v>
      </c>
      <c r="F61" s="48">
        <v>15752.049805000001</v>
      </c>
      <c r="G61" s="15">
        <f t="shared" si="3"/>
        <v>3.3632055671448668E-3</v>
      </c>
    </row>
    <row r="62" spans="2:7" x14ac:dyDescent="0.35">
      <c r="B62" s="95">
        <v>44746</v>
      </c>
      <c r="C62" s="48">
        <v>18218.951172000001</v>
      </c>
      <c r="D62" s="15">
        <f t="shared" si="2"/>
        <v>3.5071538195556418E-2</v>
      </c>
      <c r="F62" s="48">
        <v>16220.599609000001</v>
      </c>
      <c r="G62" s="15">
        <f t="shared" si="3"/>
        <v>2.9745322659611828E-2</v>
      </c>
    </row>
    <row r="63" spans="2:7" x14ac:dyDescent="0.35">
      <c r="B63" s="95">
        <v>44753</v>
      </c>
      <c r="C63" s="48">
        <v>18567.470702999999</v>
      </c>
      <c r="D63" s="15">
        <f t="shared" si="2"/>
        <v>1.9129505738816777E-2</v>
      </c>
      <c r="F63" s="48">
        <v>16049.200194999999</v>
      </c>
      <c r="G63" s="15">
        <f t="shared" si="3"/>
        <v>-1.0566774233481513E-2</v>
      </c>
    </row>
    <row r="64" spans="2:7" x14ac:dyDescent="0.35">
      <c r="B64" s="95">
        <v>44760</v>
      </c>
      <c r="C64" s="48">
        <v>18782.556640999999</v>
      </c>
      <c r="D64" s="15">
        <f t="shared" si="2"/>
        <v>1.1584019247449229E-2</v>
      </c>
      <c r="F64" s="48">
        <v>16719.449218999998</v>
      </c>
      <c r="G64" s="15">
        <f t="shared" si="3"/>
        <v>4.1762144895470144E-2</v>
      </c>
    </row>
    <row r="65" spans="2:7" x14ac:dyDescent="0.35">
      <c r="B65" s="95">
        <v>44767</v>
      </c>
      <c r="C65" s="48">
        <v>19148.681640999999</v>
      </c>
      <c r="D65" s="15">
        <f t="shared" si="2"/>
        <v>1.9492820226656216E-2</v>
      </c>
      <c r="F65" s="48">
        <v>17158.25</v>
      </c>
      <c r="G65" s="15">
        <f t="shared" si="3"/>
        <v>2.6244930395275645E-2</v>
      </c>
    </row>
    <row r="66" spans="2:7" x14ac:dyDescent="0.35">
      <c r="B66" s="95">
        <v>44774</v>
      </c>
      <c r="C66" s="48">
        <v>19704.970702999999</v>
      </c>
      <c r="D66" s="15">
        <f t="shared" si="2"/>
        <v>2.9051037164297799E-2</v>
      </c>
      <c r="F66" s="48">
        <v>17397.5</v>
      </c>
      <c r="G66" s="15">
        <f t="shared" si="3"/>
        <v>1.3943729692713402E-2</v>
      </c>
    </row>
    <row r="67" spans="2:7" x14ac:dyDescent="0.35">
      <c r="B67" s="95">
        <v>44781</v>
      </c>
      <c r="C67" s="48">
        <v>19330.832031000002</v>
      </c>
      <c r="D67" s="15">
        <f t="shared" si="2"/>
        <v>-1.8987019957509288E-2</v>
      </c>
      <c r="F67" s="48">
        <v>17698.150390999999</v>
      </c>
      <c r="G67" s="15">
        <f t="shared" si="3"/>
        <v>1.7281241040379314E-2</v>
      </c>
    </row>
    <row r="68" spans="2:7" x14ac:dyDescent="0.35">
      <c r="B68" s="95">
        <v>44788</v>
      </c>
      <c r="C68" s="48">
        <v>19229.595702999999</v>
      </c>
      <c r="D68" s="15">
        <f t="shared" si="2"/>
        <v>-5.2370393492454648E-3</v>
      </c>
      <c r="F68" s="48">
        <v>17758.449218999998</v>
      </c>
      <c r="G68" s="15">
        <f t="shared" si="3"/>
        <v>3.4070694771959342E-3</v>
      </c>
    </row>
    <row r="69" spans="2:7" x14ac:dyDescent="0.35">
      <c r="B69" s="95">
        <v>44795</v>
      </c>
      <c r="C69" s="48">
        <v>19315.845702999999</v>
      </c>
      <c r="D69" s="15">
        <f t="shared" si="2"/>
        <v>4.4852737068488135E-3</v>
      </c>
      <c r="F69" s="48">
        <v>17558.900390999999</v>
      </c>
      <c r="G69" s="15">
        <f t="shared" si="3"/>
        <v>-1.1236838619134604E-2</v>
      </c>
    </row>
    <row r="70" spans="2:7" x14ac:dyDescent="0.35">
      <c r="B70" s="95">
        <v>44802</v>
      </c>
      <c r="C70" s="48">
        <v>19349.181640999999</v>
      </c>
      <c r="D70" s="15">
        <f t="shared" si="2"/>
        <v>1.7258337280474656E-3</v>
      </c>
      <c r="F70" s="48">
        <v>17539.449218999998</v>
      </c>
      <c r="G70" s="15">
        <f t="shared" si="3"/>
        <v>-1.1077670905844661E-3</v>
      </c>
    </row>
    <row r="71" spans="2:7" x14ac:dyDescent="0.35">
      <c r="B71" s="95">
        <v>44809</v>
      </c>
      <c r="C71" s="48">
        <v>18844.179688</v>
      </c>
      <c r="D71" s="15">
        <f t="shared" si="2"/>
        <v>-2.6099395952225879E-2</v>
      </c>
      <c r="F71" s="48">
        <v>17833.349609000001</v>
      </c>
      <c r="G71" s="15">
        <f t="shared" si="3"/>
        <v>1.6756534730955508E-2</v>
      </c>
    </row>
    <row r="72" spans="2:7" x14ac:dyDescent="0.35">
      <c r="B72" s="95">
        <v>44816</v>
      </c>
      <c r="C72" s="48">
        <v>18204.162109000001</v>
      </c>
      <c r="D72" s="15">
        <f t="shared" ref="D72:D103" si="4">C72/C71-1</f>
        <v>-3.396367417402435E-2</v>
      </c>
      <c r="F72" s="48">
        <v>17530.849609000001</v>
      </c>
      <c r="G72" s="15">
        <f t="shared" ref="G72:G103" si="5">F72/F71-1</f>
        <v>-1.6962601341440453E-2</v>
      </c>
    </row>
    <row r="73" spans="2:7" x14ac:dyDescent="0.35">
      <c r="B73" s="95">
        <v>44823</v>
      </c>
      <c r="C73" s="48">
        <v>18294.865234000001</v>
      </c>
      <c r="D73" s="15">
        <f t="shared" si="4"/>
        <v>4.982548741156112E-3</v>
      </c>
      <c r="F73" s="48">
        <v>17327.349609000001</v>
      </c>
      <c r="G73" s="15">
        <f t="shared" si="5"/>
        <v>-1.1608108251383698E-2</v>
      </c>
    </row>
    <row r="74" spans="2:7" x14ac:dyDescent="0.35">
      <c r="B74" s="95">
        <v>44830</v>
      </c>
      <c r="C74" s="48">
        <v>18936.712890999999</v>
      </c>
      <c r="D74" s="15">
        <f t="shared" si="4"/>
        <v>3.5083486475055325E-2</v>
      </c>
      <c r="F74" s="48">
        <v>17094.349609000001</v>
      </c>
      <c r="G74" s="15">
        <f t="shared" si="5"/>
        <v>-1.3446949779265527E-2</v>
      </c>
    </row>
    <row r="75" spans="2:7" x14ac:dyDescent="0.35">
      <c r="B75" s="95">
        <v>44837</v>
      </c>
      <c r="C75" s="48">
        <v>19110.998047000001</v>
      </c>
      <c r="D75" s="15">
        <f t="shared" si="4"/>
        <v>9.2035590866899053E-3</v>
      </c>
      <c r="F75" s="48">
        <v>17314.650390999999</v>
      </c>
      <c r="G75" s="15">
        <f t="shared" si="5"/>
        <v>1.2887345060733635E-2</v>
      </c>
    </row>
    <row r="76" spans="2:7" x14ac:dyDescent="0.35">
      <c r="B76" s="95">
        <v>44844</v>
      </c>
      <c r="C76" s="48">
        <v>18722.269531000002</v>
      </c>
      <c r="D76" s="15">
        <f t="shared" si="4"/>
        <v>-2.034056594239575E-2</v>
      </c>
      <c r="F76" s="48">
        <v>17185.699218999998</v>
      </c>
      <c r="G76" s="15">
        <f t="shared" si="5"/>
        <v>-7.4475180894804094E-3</v>
      </c>
    </row>
    <row r="77" spans="2:7" x14ac:dyDescent="0.35">
      <c r="B77" s="95">
        <v>44851</v>
      </c>
      <c r="C77" s="48">
        <v>20074.361327999999</v>
      </c>
      <c r="D77" s="15">
        <f t="shared" si="4"/>
        <v>7.2218370468453585E-2</v>
      </c>
      <c r="F77" s="48">
        <v>17576.300781000002</v>
      </c>
      <c r="G77" s="15">
        <f t="shared" si="5"/>
        <v>2.2728290366455628E-2</v>
      </c>
    </row>
    <row r="78" spans="2:7" x14ac:dyDescent="0.35">
      <c r="B78" s="95">
        <v>44858</v>
      </c>
      <c r="C78" s="48">
        <v>20061.996093999998</v>
      </c>
      <c r="D78" s="15">
        <f t="shared" si="4"/>
        <v>-6.1597147714753664E-4</v>
      </c>
      <c r="F78" s="48">
        <v>17786.800781000002</v>
      </c>
      <c r="G78" s="15">
        <f t="shared" si="5"/>
        <v>1.197635399068453E-2</v>
      </c>
    </row>
    <row r="79" spans="2:7" x14ac:dyDescent="0.35">
      <c r="B79" s="95">
        <v>44865</v>
      </c>
      <c r="C79" s="48">
        <v>20203.296875</v>
      </c>
      <c r="D79" s="15">
        <f t="shared" si="4"/>
        <v>7.0432064854335508E-3</v>
      </c>
      <c r="F79" s="48">
        <v>18117.150390999999</v>
      </c>
      <c r="G79" s="15">
        <f t="shared" si="5"/>
        <v>1.8572739081492262E-2</v>
      </c>
    </row>
    <row r="80" spans="2:7" x14ac:dyDescent="0.35">
      <c r="B80" s="95">
        <v>44872</v>
      </c>
      <c r="C80" s="48">
        <v>20221.25</v>
      </c>
      <c r="D80" s="15">
        <f t="shared" si="4"/>
        <v>8.8862353065821686E-4</v>
      </c>
      <c r="F80" s="48">
        <v>18349.699218999998</v>
      </c>
      <c r="G80" s="15">
        <f t="shared" si="5"/>
        <v>1.2835839134808014E-2</v>
      </c>
    </row>
    <row r="81" spans="2:7" x14ac:dyDescent="0.35">
      <c r="B81" s="95">
        <v>44879</v>
      </c>
      <c r="C81" s="48">
        <v>19825.830077999999</v>
      </c>
      <c r="D81" s="15">
        <f t="shared" si="4"/>
        <v>-1.9554672535080697E-2</v>
      </c>
      <c r="F81" s="48">
        <v>18307.650390999999</v>
      </c>
      <c r="G81" s="15">
        <f t="shared" si="5"/>
        <v>-2.2915268254892762E-3</v>
      </c>
    </row>
    <row r="82" spans="2:7" x14ac:dyDescent="0.35">
      <c r="B82" s="95">
        <v>44886</v>
      </c>
      <c r="C82" s="48">
        <v>19432.050781000002</v>
      </c>
      <c r="D82" s="15">
        <f t="shared" si="4"/>
        <v>-1.9861932410939032E-2</v>
      </c>
      <c r="F82" s="48">
        <v>18512.75</v>
      </c>
      <c r="G82" s="15">
        <f t="shared" si="5"/>
        <v>1.1202945469224623E-2</v>
      </c>
    </row>
    <row r="83" spans="2:7" x14ac:dyDescent="0.35">
      <c r="B83" s="95">
        <v>44893</v>
      </c>
      <c r="C83" s="48">
        <v>19652.794922000001</v>
      </c>
      <c r="D83" s="15">
        <f t="shared" si="4"/>
        <v>1.1359796425389979E-2</v>
      </c>
      <c r="F83" s="48">
        <v>18696.099609000001</v>
      </c>
      <c r="G83" s="15">
        <f t="shared" si="5"/>
        <v>9.9039639707769744E-3</v>
      </c>
    </row>
    <row r="84" spans="2:7" x14ac:dyDescent="0.35">
      <c r="B84" s="95">
        <v>44900</v>
      </c>
      <c r="C84" s="48">
        <v>20140.902343999998</v>
      </c>
      <c r="D84" s="15">
        <f t="shared" si="4"/>
        <v>2.4836539735811014E-2</v>
      </c>
      <c r="F84" s="48">
        <v>18496.599609000001</v>
      </c>
      <c r="G84" s="15">
        <f t="shared" si="5"/>
        <v>-1.0670674855838058E-2</v>
      </c>
    </row>
    <row r="85" spans="2:7" x14ac:dyDescent="0.35">
      <c r="B85" s="95">
        <v>44907</v>
      </c>
      <c r="C85" s="48">
        <v>19640.357422000001</v>
      </c>
      <c r="D85" s="15">
        <f t="shared" si="4"/>
        <v>-2.4852159722084655E-2</v>
      </c>
      <c r="F85" s="48">
        <v>18269</v>
      </c>
      <c r="G85" s="15">
        <f t="shared" si="5"/>
        <v>-1.2304943276668867E-2</v>
      </c>
    </row>
    <row r="86" spans="2:7" x14ac:dyDescent="0.35">
      <c r="B86" s="95">
        <v>44914</v>
      </c>
      <c r="C86" s="48">
        <v>20032.445313</v>
      </c>
      <c r="D86" s="15">
        <f t="shared" si="4"/>
        <v>1.9963378597214643E-2</v>
      </c>
      <c r="F86" s="48">
        <v>17806.800781000002</v>
      </c>
      <c r="G86" s="15">
        <f t="shared" si="5"/>
        <v>-2.529964524604511E-2</v>
      </c>
    </row>
    <row r="87" spans="2:7" x14ac:dyDescent="0.35">
      <c r="B87" s="95">
        <v>44921</v>
      </c>
      <c r="C87" s="48">
        <v>19508.320313</v>
      </c>
      <c r="D87" s="15">
        <f t="shared" si="4"/>
        <v>-2.6163805357295566E-2</v>
      </c>
      <c r="F87" s="48">
        <v>18105.300781000002</v>
      </c>
      <c r="G87" s="15">
        <f t="shared" si="5"/>
        <v>1.6763258244484991E-2</v>
      </c>
    </row>
    <row r="88" spans="2:7" x14ac:dyDescent="0.35">
      <c r="B88" s="95">
        <v>44928</v>
      </c>
      <c r="C88" s="48">
        <v>19786.177734000001</v>
      </c>
      <c r="D88" s="15">
        <f t="shared" si="4"/>
        <v>1.4243021261796773E-2</v>
      </c>
      <c r="F88" s="48">
        <v>17859.449218999998</v>
      </c>
      <c r="G88" s="15">
        <f t="shared" si="5"/>
        <v>-1.3578982474458767E-2</v>
      </c>
    </row>
    <row r="89" spans="2:7" x14ac:dyDescent="0.35">
      <c r="B89" s="95">
        <v>44935</v>
      </c>
      <c r="C89" s="48">
        <v>19685.78125</v>
      </c>
      <c r="D89" s="15">
        <f t="shared" si="4"/>
        <v>-5.0740716751715986E-3</v>
      </c>
      <c r="F89" s="48">
        <v>17956.599609000001</v>
      </c>
      <c r="G89" s="15">
        <f t="shared" si="5"/>
        <v>5.4397192661825855E-3</v>
      </c>
    </row>
    <row r="90" spans="2:7" x14ac:dyDescent="0.35">
      <c r="B90" s="95">
        <v>44942</v>
      </c>
      <c r="C90" s="48">
        <v>19104.392577999999</v>
      </c>
      <c r="D90" s="15">
        <f t="shared" si="4"/>
        <v>-2.9533431496400531E-2</v>
      </c>
      <c r="F90" s="48">
        <v>18027.650390999999</v>
      </c>
      <c r="G90" s="15">
        <f t="shared" si="5"/>
        <v>3.9568060516528281E-3</v>
      </c>
    </row>
    <row r="91" spans="2:7" x14ac:dyDescent="0.35">
      <c r="B91" s="95">
        <v>44949</v>
      </c>
      <c r="C91" s="48">
        <v>19120.611327999999</v>
      </c>
      <c r="D91" s="15">
        <f t="shared" si="4"/>
        <v>8.4895397400264194E-4</v>
      </c>
      <c r="F91" s="48">
        <v>17604.349609000001</v>
      </c>
      <c r="G91" s="15">
        <f t="shared" si="5"/>
        <v>-2.3480640727941093E-2</v>
      </c>
    </row>
    <row r="92" spans="2:7" x14ac:dyDescent="0.35">
      <c r="B92" s="95">
        <v>44956</v>
      </c>
      <c r="C92" s="48">
        <v>18909.617188</v>
      </c>
      <c r="D92" s="15">
        <f t="shared" si="4"/>
        <v>-1.103490554671871E-2</v>
      </c>
      <c r="F92" s="48">
        <v>17854.050781000002</v>
      </c>
      <c r="G92" s="15">
        <f t="shared" si="5"/>
        <v>1.4184061186352848E-2</v>
      </c>
    </row>
    <row r="93" spans="2:7" x14ac:dyDescent="0.35">
      <c r="B93" s="95">
        <v>44963</v>
      </c>
      <c r="C93" s="48">
        <v>18929.070313</v>
      </c>
      <c r="D93" s="15">
        <f t="shared" si="4"/>
        <v>1.0287424016359736E-3</v>
      </c>
      <c r="F93" s="48">
        <v>17856.5</v>
      </c>
      <c r="G93" s="15">
        <f t="shared" si="5"/>
        <v>1.371800175793414E-4</v>
      </c>
    </row>
    <row r="94" spans="2:7" x14ac:dyDescent="0.35">
      <c r="B94" s="95">
        <v>44970</v>
      </c>
      <c r="C94" s="48">
        <v>18926.533202999999</v>
      </c>
      <c r="D94" s="15">
        <f t="shared" si="4"/>
        <v>-1.3403246741905406E-4</v>
      </c>
      <c r="F94" s="48">
        <v>17944.199218999998</v>
      </c>
      <c r="G94" s="15">
        <f t="shared" si="5"/>
        <v>4.9113330719905424E-3</v>
      </c>
    </row>
    <row r="95" spans="2:7" x14ac:dyDescent="0.35">
      <c r="B95" s="95">
        <v>44977</v>
      </c>
      <c r="C95" s="48">
        <v>18587.828125</v>
      </c>
      <c r="D95" s="15">
        <f t="shared" si="4"/>
        <v>-1.7895780192133226E-2</v>
      </c>
      <c r="F95" s="48">
        <v>17465.800781000002</v>
      </c>
      <c r="G95" s="15">
        <f t="shared" si="5"/>
        <v>-2.6660339208308015E-2</v>
      </c>
    </row>
    <row r="96" spans="2:7" x14ac:dyDescent="0.35">
      <c r="B96" s="95">
        <v>44984</v>
      </c>
      <c r="C96" s="48">
        <v>18357.980468999998</v>
      </c>
      <c r="D96" s="15">
        <f t="shared" si="4"/>
        <v>-1.2365492862012495E-2</v>
      </c>
      <c r="F96" s="48">
        <v>17594.349609000001</v>
      </c>
      <c r="G96" s="15">
        <f t="shared" si="5"/>
        <v>7.3600305884538031E-3</v>
      </c>
    </row>
    <row r="97" spans="2:7" x14ac:dyDescent="0.35">
      <c r="B97" s="95">
        <v>44991</v>
      </c>
      <c r="C97" s="48">
        <v>18393.650390999999</v>
      </c>
      <c r="D97" s="15">
        <f t="shared" si="4"/>
        <v>1.9430199340408905E-3</v>
      </c>
      <c r="F97" s="48">
        <v>17412.900390999999</v>
      </c>
      <c r="G97" s="15">
        <f t="shared" si="5"/>
        <v>-1.0312925571695164E-2</v>
      </c>
    </row>
    <row r="98" spans="2:7" x14ac:dyDescent="0.35">
      <c r="B98" s="95">
        <v>44998</v>
      </c>
      <c r="C98" s="48">
        <v>18764.195313</v>
      </c>
      <c r="D98" s="15">
        <f t="shared" si="4"/>
        <v>2.0145262855561841E-2</v>
      </c>
      <c r="F98" s="48">
        <v>17100.050781000002</v>
      </c>
      <c r="G98" s="15">
        <f t="shared" si="5"/>
        <v>-1.7966542217268788E-2</v>
      </c>
    </row>
    <row r="99" spans="2:7" x14ac:dyDescent="0.35">
      <c r="B99" s="95">
        <v>45005</v>
      </c>
      <c r="C99" s="48">
        <v>18858.671875</v>
      </c>
      <c r="D99" s="15">
        <f t="shared" si="4"/>
        <v>5.0349381054750619E-3</v>
      </c>
      <c r="F99" s="48">
        <v>16945.050781000002</v>
      </c>
      <c r="G99" s="15">
        <f t="shared" si="5"/>
        <v>-9.0643005675878907E-3</v>
      </c>
    </row>
    <row r="100" spans="2:7" x14ac:dyDescent="0.35">
      <c r="B100" s="95">
        <v>45012</v>
      </c>
      <c r="C100" s="48">
        <v>19606.328125</v>
      </c>
      <c r="D100" s="15">
        <f t="shared" si="4"/>
        <v>3.9645222895634102E-2</v>
      </c>
      <c r="F100" s="48">
        <v>17359.75</v>
      </c>
      <c r="G100" s="15">
        <f t="shared" si="5"/>
        <v>2.4473176525678486E-2</v>
      </c>
    </row>
    <row r="101" spans="2:7" x14ac:dyDescent="0.35">
      <c r="B101" s="95">
        <v>45019</v>
      </c>
      <c r="C101" s="48">
        <v>19610.060547000001</v>
      </c>
      <c r="D101" s="15">
        <f t="shared" si="4"/>
        <v>1.9036823092033472E-4</v>
      </c>
      <c r="F101" s="48">
        <v>17599.150390999999</v>
      </c>
      <c r="G101" s="15">
        <f t="shared" si="5"/>
        <v>1.3790543700226143E-2</v>
      </c>
    </row>
    <row r="102" spans="2:7" x14ac:dyDescent="0.35">
      <c r="B102" s="95">
        <v>45026</v>
      </c>
      <c r="C102" s="48">
        <v>19368.369140999999</v>
      </c>
      <c r="D102" s="15">
        <f t="shared" si="4"/>
        <v>-1.2324867912607007E-2</v>
      </c>
      <c r="F102" s="48">
        <v>17828</v>
      </c>
      <c r="G102" s="15">
        <f t="shared" si="5"/>
        <v>1.3003446411653519E-2</v>
      </c>
    </row>
    <row r="103" spans="2:7" x14ac:dyDescent="0.35">
      <c r="B103" s="95">
        <v>45033</v>
      </c>
      <c r="C103" s="48">
        <v>20394.730468999998</v>
      </c>
      <c r="D103" s="15">
        <f t="shared" si="4"/>
        <v>5.2991623637910878E-2</v>
      </c>
      <c r="F103" s="48">
        <v>17624.050781000002</v>
      </c>
      <c r="G103" s="15">
        <f t="shared" si="5"/>
        <v>-1.1439826060130054E-2</v>
      </c>
    </row>
    <row r="104" spans="2:7" x14ac:dyDescent="0.35">
      <c r="B104" s="95">
        <v>45040</v>
      </c>
      <c r="C104" s="48">
        <v>21761.400390999999</v>
      </c>
      <c r="D104" s="15">
        <f t="shared" ref="D104:D112" si="6">C104/C103-1</f>
        <v>6.7010933244611381E-2</v>
      </c>
      <c r="F104" s="48">
        <v>18065</v>
      </c>
      <c r="G104" s="15">
        <f t="shared" ref="G104:G112" si="7">F104/F103-1</f>
        <v>2.5019742877464557E-2</v>
      </c>
    </row>
    <row r="105" spans="2:7" x14ac:dyDescent="0.35">
      <c r="B105" s="95">
        <v>45047</v>
      </c>
      <c r="C105" s="48">
        <v>22019.849609000001</v>
      </c>
      <c r="D105" s="15">
        <f t="shared" si="6"/>
        <v>1.1876497530319385E-2</v>
      </c>
      <c r="F105" s="48">
        <v>18069</v>
      </c>
      <c r="G105" s="15">
        <f t="shared" si="7"/>
        <v>2.2142264046509652E-4</v>
      </c>
    </row>
    <row r="106" spans="2:7" x14ac:dyDescent="0.35">
      <c r="B106" s="95">
        <v>45054</v>
      </c>
      <c r="C106" s="48">
        <v>21794.150390999999</v>
      </c>
      <c r="D106" s="15">
        <f t="shared" si="6"/>
        <v>-1.0249807424104862E-2</v>
      </c>
      <c r="F106" s="48">
        <v>18314.800781000002</v>
      </c>
      <c r="G106" s="15">
        <f t="shared" si="7"/>
        <v>1.3603452376999448E-2</v>
      </c>
    </row>
    <row r="107" spans="2:7" x14ac:dyDescent="0.35">
      <c r="B107" s="95">
        <v>45061</v>
      </c>
      <c r="C107" s="48">
        <v>21690.150390999999</v>
      </c>
      <c r="D107" s="15">
        <f t="shared" si="6"/>
        <v>-4.7719226551243832E-3</v>
      </c>
      <c r="F107" s="48">
        <v>18203.400390999999</v>
      </c>
      <c r="G107" s="15">
        <f t="shared" si="7"/>
        <v>-6.0825335384249168E-3</v>
      </c>
    </row>
    <row r="108" spans="2:7" x14ac:dyDescent="0.35">
      <c r="B108" s="95">
        <v>45068</v>
      </c>
      <c r="C108" s="48">
        <v>21581.75</v>
      </c>
      <c r="D108" s="15">
        <f t="shared" si="6"/>
        <v>-4.9976781647848023E-3</v>
      </c>
      <c r="F108" s="48">
        <v>18499.349609000001</v>
      </c>
      <c r="G108" s="15">
        <f t="shared" si="7"/>
        <v>1.6257908502980811E-2</v>
      </c>
    </row>
    <row r="109" spans="2:7" x14ac:dyDescent="0.35">
      <c r="B109" s="95">
        <v>45075</v>
      </c>
      <c r="C109" s="48">
        <v>22046.449218999998</v>
      </c>
      <c r="D109" s="15">
        <f t="shared" si="6"/>
        <v>2.1532045316065673E-2</v>
      </c>
      <c r="F109" s="48">
        <v>18534.099609000001</v>
      </c>
      <c r="G109" s="15">
        <f t="shared" si="7"/>
        <v>1.8784444174779757E-3</v>
      </c>
    </row>
    <row r="110" spans="2:7" x14ac:dyDescent="0.35">
      <c r="B110" s="95">
        <v>45082</v>
      </c>
      <c r="C110" s="48">
        <v>22073.449218999998</v>
      </c>
      <c r="D110" s="15">
        <f t="shared" si="6"/>
        <v>1.2246870111278785E-3</v>
      </c>
      <c r="F110" s="48">
        <v>18563.400390999999</v>
      </c>
      <c r="G110" s="15">
        <f t="shared" si="7"/>
        <v>1.5809120819534339E-3</v>
      </c>
    </row>
    <row r="111" spans="2:7" x14ac:dyDescent="0.35">
      <c r="B111" s="95">
        <v>45089</v>
      </c>
      <c r="C111" s="48">
        <v>22968.550781000002</v>
      </c>
      <c r="D111" s="15">
        <f t="shared" si="6"/>
        <v>4.0551050862931426E-2</v>
      </c>
      <c r="F111" s="48">
        <v>18826</v>
      </c>
      <c r="G111" s="15">
        <f t="shared" si="7"/>
        <v>1.4146094113625551E-2</v>
      </c>
    </row>
    <row r="112" spans="2:7" x14ac:dyDescent="0.35">
      <c r="B112" s="95">
        <v>45093</v>
      </c>
      <c r="C112" s="48">
        <v>22968.550781000002</v>
      </c>
      <c r="D112" s="15">
        <f t="shared" si="6"/>
        <v>0</v>
      </c>
      <c r="F112" s="48">
        <v>18826</v>
      </c>
      <c r="G112" s="15">
        <f t="shared" si="7"/>
        <v>0</v>
      </c>
    </row>
  </sheetData>
  <mergeCells count="3">
    <mergeCell ref="B4:D4"/>
    <mergeCell ref="F4:G4"/>
    <mergeCell ref="I4:J4"/>
  </mergeCells>
  <pageMargins left="0.25" right="0.25" top="0.75" bottom="0.75" header="0.3" footer="0.3"/>
  <pageSetup paperSize="9" scale="4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12FE-8CA7-40AA-9380-9F608E3BD6B0}">
  <sheetPr>
    <pageSetUpPr fitToPage="1"/>
  </sheetPr>
  <dimension ref="B2:T112"/>
  <sheetViews>
    <sheetView showGridLines="0" workbookViewId="0">
      <selection activeCell="I4" sqref="I4:J12"/>
    </sheetView>
  </sheetViews>
  <sheetFormatPr defaultRowHeight="14.5" x14ac:dyDescent="0.35"/>
  <cols>
    <col min="1" max="1" width="2.1796875" customWidth="1"/>
    <col min="2" max="2" width="12.6328125" customWidth="1"/>
    <col min="3" max="3" width="11.81640625" bestFit="1" customWidth="1"/>
    <col min="4" max="4" width="15.54296875" bestFit="1" customWidth="1"/>
    <col min="9" max="9" width="17.54296875" bestFit="1" customWidth="1"/>
    <col min="12" max="12" width="17.26953125" bestFit="1" customWidth="1"/>
    <col min="13" max="13" width="11.81640625" bestFit="1" customWidth="1"/>
    <col min="14" max="14" width="13.54296875" bestFit="1" customWidth="1"/>
    <col min="15" max="15" width="11.81640625" bestFit="1" customWidth="1"/>
  </cols>
  <sheetData>
    <row r="2" spans="2:13" x14ac:dyDescent="0.35">
      <c r="B2" s="13" t="s">
        <v>249</v>
      </c>
    </row>
    <row r="4" spans="2:13" x14ac:dyDescent="0.35">
      <c r="B4" s="139" t="s">
        <v>251</v>
      </c>
      <c r="C4" s="139"/>
      <c r="D4" s="139"/>
      <c r="F4" s="139" t="s">
        <v>247</v>
      </c>
      <c r="G4" s="139"/>
      <c r="I4" s="139" t="s">
        <v>246</v>
      </c>
      <c r="J4" s="139"/>
      <c r="L4" t="s">
        <v>245</v>
      </c>
      <c r="M4" s="61">
        <f>SLOPE(D8:D112,G8:G112)</f>
        <v>0.58328452244698548</v>
      </c>
    </row>
    <row r="5" spans="2:13" x14ac:dyDescent="0.35">
      <c r="B5" s="13"/>
      <c r="L5" t="s">
        <v>244</v>
      </c>
      <c r="M5" s="61">
        <f>_xlfn.COVARIANCE.S(D7:D112,G7:G112)/_xlfn.VAR.S(G7:G112)</f>
        <v>0.58328452244698514</v>
      </c>
    </row>
    <row r="6" spans="2:13" x14ac:dyDescent="0.35">
      <c r="B6" s="102" t="s">
        <v>243</v>
      </c>
      <c r="C6" s="101" t="s">
        <v>242</v>
      </c>
      <c r="D6" s="101" t="s">
        <v>241</v>
      </c>
      <c r="E6" s="13"/>
      <c r="F6" s="101" t="s">
        <v>242</v>
      </c>
      <c r="G6" s="101" t="s">
        <v>241</v>
      </c>
      <c r="I6" s="45" t="s">
        <v>240</v>
      </c>
      <c r="J6" s="61">
        <f>M7</f>
        <v>0.58328452244698514</v>
      </c>
    </row>
    <row r="7" spans="2:13" x14ac:dyDescent="0.35">
      <c r="B7" s="95">
        <v>44361</v>
      </c>
      <c r="C7" s="48">
        <v>3443.8991700000001</v>
      </c>
      <c r="F7" s="48">
        <v>15683.349609000001</v>
      </c>
      <c r="I7" t="s">
        <v>239</v>
      </c>
      <c r="J7" s="62">
        <v>0.75</v>
      </c>
      <c r="L7" t="s">
        <v>238</v>
      </c>
      <c r="M7" s="61">
        <f>M26</f>
        <v>0.58328452244698514</v>
      </c>
    </row>
    <row r="8" spans="2:13" x14ac:dyDescent="0.35">
      <c r="B8" s="95">
        <v>44368</v>
      </c>
      <c r="C8" s="48">
        <v>3492.2861330000001</v>
      </c>
      <c r="D8" s="15">
        <f t="shared" ref="D8:D39" si="0">C8/C7-1</f>
        <v>1.4050052168048888E-2</v>
      </c>
      <c r="F8" s="48">
        <v>15860.349609000001</v>
      </c>
      <c r="G8" s="15">
        <f t="shared" ref="G8:G39" si="1">F8/F7-1</f>
        <v>1.1285854387791394E-2</v>
      </c>
    </row>
    <row r="9" spans="2:13" x14ac:dyDescent="0.35">
      <c r="B9" s="95">
        <v>44375</v>
      </c>
      <c r="C9" s="48">
        <v>3373.578857</v>
      </c>
      <c r="D9" s="15">
        <f t="shared" si="0"/>
        <v>-3.3991280061014484E-2</v>
      </c>
      <c r="F9" s="48">
        <v>15722.200194999999</v>
      </c>
      <c r="G9" s="15">
        <f t="shared" si="1"/>
        <v>-8.7103637313018512E-3</v>
      </c>
      <c r="I9" t="s">
        <v>237</v>
      </c>
      <c r="J9" s="61">
        <v>1</v>
      </c>
      <c r="L9" t="s">
        <v>236</v>
      </c>
    </row>
    <row r="10" spans="2:13" ht="15" thickBot="1" x14ac:dyDescent="0.4">
      <c r="B10" s="95">
        <v>44382</v>
      </c>
      <c r="C10" s="48">
        <v>3307.5876459999999</v>
      </c>
      <c r="D10" s="15">
        <f t="shared" si="0"/>
        <v>-1.9561188220951653E-2</v>
      </c>
      <c r="F10" s="48">
        <v>15689.799805000001</v>
      </c>
      <c r="G10" s="15">
        <f t="shared" si="1"/>
        <v>-2.0608050780515086E-3</v>
      </c>
      <c r="I10" t="s">
        <v>235</v>
      </c>
      <c r="J10" s="62">
        <v>0.25</v>
      </c>
    </row>
    <row r="11" spans="2:13" x14ac:dyDescent="0.35">
      <c r="B11" s="95">
        <v>44389</v>
      </c>
      <c r="C11" s="48">
        <v>3274.3308109999998</v>
      </c>
      <c r="D11" s="15">
        <f t="shared" si="0"/>
        <v>-1.0054710126946698E-2</v>
      </c>
      <c r="F11" s="48">
        <v>15923.400390999999</v>
      </c>
      <c r="G11" s="15">
        <f t="shared" si="1"/>
        <v>1.488869130921322E-2</v>
      </c>
      <c r="L11" s="100" t="s">
        <v>234</v>
      </c>
      <c r="M11" s="100"/>
    </row>
    <row r="12" spans="2:13" x14ac:dyDescent="0.35">
      <c r="B12" s="95">
        <v>44396</v>
      </c>
      <c r="C12" s="48">
        <v>3273.188721</v>
      </c>
      <c r="D12" s="15">
        <f t="shared" si="0"/>
        <v>-3.488010423879917E-4</v>
      </c>
      <c r="F12" s="48">
        <v>15856.049805000001</v>
      </c>
      <c r="G12" s="15">
        <f t="shared" si="1"/>
        <v>-4.2296610237889665E-3</v>
      </c>
      <c r="I12" s="99" t="s">
        <v>233</v>
      </c>
      <c r="J12" s="98">
        <f>(J6*J7)+(J9*J10)</f>
        <v>0.68746339183523886</v>
      </c>
      <c r="L12" t="s">
        <v>232</v>
      </c>
      <c r="M12">
        <v>0.39724263966389922</v>
      </c>
    </row>
    <row r="13" spans="2:13" x14ac:dyDescent="0.35">
      <c r="B13" s="95">
        <v>44403</v>
      </c>
      <c r="C13" s="48">
        <v>3257.5830080000001</v>
      </c>
      <c r="D13" s="15">
        <f t="shared" si="0"/>
        <v>-4.7677400633447942E-3</v>
      </c>
      <c r="F13" s="48">
        <v>15763.049805000001</v>
      </c>
      <c r="G13" s="15">
        <f t="shared" si="1"/>
        <v>-5.8652691650018518E-3</v>
      </c>
      <c r="L13" t="s">
        <v>231</v>
      </c>
      <c r="M13">
        <v>0.15780171476714247</v>
      </c>
    </row>
    <row r="14" spans="2:13" x14ac:dyDescent="0.35">
      <c r="B14" s="95">
        <v>44410</v>
      </c>
      <c r="C14" s="48">
        <v>3429.435547</v>
      </c>
      <c r="D14" s="15">
        <f t="shared" si="0"/>
        <v>5.2754615485764544E-2</v>
      </c>
      <c r="F14" s="48">
        <v>16238.200194999999</v>
      </c>
      <c r="G14" s="15">
        <f t="shared" si="1"/>
        <v>3.0143303223547635E-2</v>
      </c>
      <c r="L14" t="s">
        <v>230</v>
      </c>
      <c r="M14">
        <v>0.14962503238624095</v>
      </c>
    </row>
    <row r="15" spans="2:13" x14ac:dyDescent="0.35">
      <c r="B15" s="95">
        <v>44417</v>
      </c>
      <c r="C15" s="48">
        <v>3406.169922</v>
      </c>
      <c r="D15" s="15">
        <f t="shared" si="0"/>
        <v>-6.784097464771488E-3</v>
      </c>
      <c r="F15" s="48">
        <v>16529.099609000001</v>
      </c>
      <c r="G15" s="15">
        <f t="shared" si="1"/>
        <v>1.79145108760006E-2</v>
      </c>
      <c r="L15" t="s">
        <v>219</v>
      </c>
      <c r="M15">
        <v>2.6696938199307844E-2</v>
      </c>
    </row>
    <row r="16" spans="2:13" ht="15" thickBot="1" x14ac:dyDescent="0.4">
      <c r="B16" s="95">
        <v>44424</v>
      </c>
      <c r="C16" s="48">
        <v>3707.2446289999998</v>
      </c>
      <c r="D16" s="15">
        <f t="shared" si="0"/>
        <v>8.8390982803117968E-2</v>
      </c>
      <c r="F16" s="48">
        <v>16450.5</v>
      </c>
      <c r="G16" s="15">
        <f t="shared" si="1"/>
        <v>-4.7552262893499897E-3</v>
      </c>
      <c r="L16" s="96" t="s">
        <v>229</v>
      </c>
      <c r="M16" s="96">
        <v>105</v>
      </c>
    </row>
    <row r="17" spans="2:20" x14ac:dyDescent="0.35">
      <c r="B17" s="95">
        <v>44431</v>
      </c>
      <c r="C17" s="48">
        <v>3750.6359859999998</v>
      </c>
      <c r="D17" s="15">
        <f t="shared" si="0"/>
        <v>1.1704476327397018E-2</v>
      </c>
      <c r="F17" s="48">
        <v>16705.199218999998</v>
      </c>
      <c r="G17" s="15">
        <f t="shared" si="1"/>
        <v>1.5482764596820742E-2</v>
      </c>
    </row>
    <row r="18" spans="2:20" ht="15" thickBot="1" x14ac:dyDescent="0.4">
      <c r="B18" s="95">
        <v>44438</v>
      </c>
      <c r="C18" s="48">
        <v>3924.4392090000001</v>
      </c>
      <c r="D18" s="15">
        <f t="shared" si="0"/>
        <v>4.6339667098795001E-2</v>
      </c>
      <c r="F18" s="48">
        <v>17323.599609000001</v>
      </c>
      <c r="G18" s="15">
        <f t="shared" si="1"/>
        <v>3.7018438504860862E-2</v>
      </c>
      <c r="L18" t="s">
        <v>228</v>
      </c>
    </row>
    <row r="19" spans="2:20" x14ac:dyDescent="0.35">
      <c r="B19" s="95">
        <v>44445</v>
      </c>
      <c r="C19" s="48">
        <v>3873.6254880000001</v>
      </c>
      <c r="D19" s="15">
        <f t="shared" si="0"/>
        <v>-1.2948020925758752E-2</v>
      </c>
      <c r="F19" s="48">
        <v>17369.25</v>
      </c>
      <c r="G19" s="15">
        <f t="shared" si="1"/>
        <v>2.6351562048503308E-3</v>
      </c>
      <c r="L19" s="97"/>
      <c r="M19" s="97" t="s">
        <v>227</v>
      </c>
      <c r="N19" s="97" t="s">
        <v>226</v>
      </c>
      <c r="O19" s="97" t="s">
        <v>225</v>
      </c>
      <c r="P19" s="97" t="s">
        <v>224</v>
      </c>
      <c r="Q19" s="97" t="s">
        <v>223</v>
      </c>
    </row>
    <row r="20" spans="2:20" x14ac:dyDescent="0.35">
      <c r="B20" s="95">
        <v>44452</v>
      </c>
      <c r="C20" s="48">
        <v>3855.5935060000002</v>
      </c>
      <c r="D20" s="15">
        <f t="shared" si="0"/>
        <v>-4.6550659210242706E-3</v>
      </c>
      <c r="F20" s="48">
        <v>17585.150390999999</v>
      </c>
      <c r="G20" s="15">
        <f t="shared" si="1"/>
        <v>1.2430035321041366E-2</v>
      </c>
      <c r="L20" t="s">
        <v>222</v>
      </c>
      <c r="M20">
        <v>1</v>
      </c>
      <c r="N20">
        <v>1.3754902058718127E-2</v>
      </c>
      <c r="O20">
        <v>1.3754902058718127E-2</v>
      </c>
      <c r="P20">
        <v>19.298990399299804</v>
      </c>
      <c r="Q20">
        <v>2.7190586671403893E-5</v>
      </c>
    </row>
    <row r="21" spans="2:20" x14ac:dyDescent="0.35">
      <c r="B21" s="95">
        <v>44459</v>
      </c>
      <c r="C21" s="48">
        <v>3847.076904</v>
      </c>
      <c r="D21" s="15">
        <f t="shared" si="0"/>
        <v>-2.2088952029685194E-3</v>
      </c>
      <c r="F21" s="48">
        <v>17853.199218999998</v>
      </c>
      <c r="G21" s="15">
        <f t="shared" si="1"/>
        <v>1.5242907910368864E-2</v>
      </c>
      <c r="L21" t="s">
        <v>221</v>
      </c>
      <c r="M21">
        <v>103</v>
      </c>
      <c r="N21">
        <v>7.341083044941922E-2</v>
      </c>
      <c r="O21">
        <v>7.1272650921766229E-4</v>
      </c>
    </row>
    <row r="22" spans="2:20" ht="15" thickBot="1" x14ac:dyDescent="0.4">
      <c r="B22" s="95">
        <v>44466</v>
      </c>
      <c r="C22" s="48">
        <v>3731.1762699999999</v>
      </c>
      <c r="D22" s="15">
        <f t="shared" si="0"/>
        <v>-3.0126934525143589E-2</v>
      </c>
      <c r="F22" s="48">
        <v>17532.050781000002</v>
      </c>
      <c r="G22" s="15">
        <f t="shared" si="1"/>
        <v>-1.7988285128091697E-2</v>
      </c>
      <c r="L22" s="96" t="s">
        <v>37</v>
      </c>
      <c r="M22" s="96">
        <v>104</v>
      </c>
      <c r="N22" s="96">
        <v>8.7165732508137347E-2</v>
      </c>
      <c r="O22" s="96"/>
      <c r="P22" s="96"/>
      <c r="Q22" s="96"/>
    </row>
    <row r="23" spans="2:20" ht="15" thickBot="1" x14ac:dyDescent="0.4">
      <c r="B23" s="95">
        <v>44473</v>
      </c>
      <c r="C23" s="48">
        <v>3695.2072750000002</v>
      </c>
      <c r="D23" s="15">
        <f t="shared" si="0"/>
        <v>-9.6401221483968236E-3</v>
      </c>
      <c r="F23" s="48">
        <v>17895.199218999998</v>
      </c>
      <c r="G23" s="15">
        <f t="shared" si="1"/>
        <v>2.0713403271313213E-2</v>
      </c>
    </row>
    <row r="24" spans="2:20" x14ac:dyDescent="0.35">
      <c r="B24" s="95">
        <v>44480</v>
      </c>
      <c r="C24" s="48">
        <v>3706.1977539999998</v>
      </c>
      <c r="D24" s="15">
        <f t="shared" si="0"/>
        <v>2.9742523712690261E-3</v>
      </c>
      <c r="F24" s="48">
        <v>18338.550781000002</v>
      </c>
      <c r="G24" s="15">
        <f t="shared" si="1"/>
        <v>2.4774888313580767E-2</v>
      </c>
      <c r="L24" s="97"/>
      <c r="M24" s="97" t="s">
        <v>220</v>
      </c>
      <c r="N24" s="97" t="s">
        <v>219</v>
      </c>
      <c r="O24" s="97" t="s">
        <v>218</v>
      </c>
      <c r="P24" s="97" t="s">
        <v>217</v>
      </c>
      <c r="Q24" s="97" t="s">
        <v>216</v>
      </c>
      <c r="R24" s="97" t="s">
        <v>215</v>
      </c>
      <c r="S24" s="97" t="s">
        <v>214</v>
      </c>
      <c r="T24" s="97" t="s">
        <v>213</v>
      </c>
    </row>
    <row r="25" spans="2:20" x14ac:dyDescent="0.35">
      <c r="B25" s="95">
        <v>44487</v>
      </c>
      <c r="C25" s="48">
        <v>3511.2700199999999</v>
      </c>
      <c r="D25" s="15">
        <f t="shared" si="0"/>
        <v>-5.2595070996851012E-2</v>
      </c>
      <c r="F25" s="48">
        <v>18114.900390999999</v>
      </c>
      <c r="G25" s="15">
        <f t="shared" si="1"/>
        <v>-1.2195641447944716E-2</v>
      </c>
      <c r="L25" t="s">
        <v>212</v>
      </c>
      <c r="M25">
        <v>2.9252200199918173E-3</v>
      </c>
      <c r="N25">
        <v>2.6179813601567405E-3</v>
      </c>
      <c r="O25">
        <v>1.1173570845503202</v>
      </c>
      <c r="P25">
        <v>0.26644122949179955</v>
      </c>
      <c r="Q25">
        <v>-2.2669285432923014E-3</v>
      </c>
      <c r="R25">
        <v>8.117368583275936E-3</v>
      </c>
      <c r="S25">
        <v>-2.2669285432923014E-3</v>
      </c>
      <c r="T25">
        <v>8.117368583275936E-3</v>
      </c>
    </row>
    <row r="26" spans="2:20" ht="15" thickBot="1" x14ac:dyDescent="0.4">
      <c r="B26" s="95">
        <v>44494</v>
      </c>
      <c r="C26" s="48">
        <v>3497.7102049999999</v>
      </c>
      <c r="D26" s="15">
        <f t="shared" si="0"/>
        <v>-3.8617978460112612E-3</v>
      </c>
      <c r="F26" s="48">
        <v>17671.650390999999</v>
      </c>
      <c r="G26" s="15">
        <f t="shared" si="1"/>
        <v>-2.4468806917658736E-2</v>
      </c>
      <c r="L26" s="96" t="s">
        <v>211</v>
      </c>
      <c r="M26" s="96">
        <v>0.58328452244698514</v>
      </c>
      <c r="N26" s="96">
        <v>0.13277403616614877</v>
      </c>
      <c r="O26" s="96">
        <v>4.3930616202484298</v>
      </c>
      <c r="P26" s="96">
        <v>2.7190586671404503E-5</v>
      </c>
      <c r="Q26" s="96">
        <v>0.31995853716180761</v>
      </c>
      <c r="R26" s="96">
        <v>0.84661050773216262</v>
      </c>
      <c r="S26" s="96">
        <v>0.31995853716180761</v>
      </c>
      <c r="T26" s="96">
        <v>0.84661050773216262</v>
      </c>
    </row>
    <row r="27" spans="2:20" x14ac:dyDescent="0.35">
      <c r="B27" s="95">
        <v>44501</v>
      </c>
      <c r="C27" s="48">
        <v>3475.6813959999999</v>
      </c>
      <c r="D27" s="15">
        <f t="shared" si="0"/>
        <v>-6.2980657941614782E-3</v>
      </c>
      <c r="F27" s="48">
        <v>17916.800781000002</v>
      </c>
      <c r="G27" s="15">
        <f t="shared" si="1"/>
        <v>1.3872523764099309E-2</v>
      </c>
    </row>
    <row r="28" spans="2:20" x14ac:dyDescent="0.35">
      <c r="B28" s="95">
        <v>44508</v>
      </c>
      <c r="C28" s="48">
        <v>3509.319336</v>
      </c>
      <c r="D28" s="15">
        <f t="shared" si="0"/>
        <v>9.678085004774184E-3</v>
      </c>
      <c r="F28" s="48">
        <v>18102.75</v>
      </c>
      <c r="G28" s="15">
        <f t="shared" si="1"/>
        <v>1.0378483372834646E-2</v>
      </c>
    </row>
    <row r="29" spans="2:20" x14ac:dyDescent="0.35">
      <c r="B29" s="95">
        <v>44515</v>
      </c>
      <c r="C29" s="48">
        <v>3398.6049800000001</v>
      </c>
      <c r="D29" s="15">
        <f t="shared" si="0"/>
        <v>-3.1548669528089879E-2</v>
      </c>
      <c r="F29" s="48">
        <v>17764.800781000002</v>
      </c>
      <c r="G29" s="15">
        <f t="shared" si="1"/>
        <v>-1.8668391211279944E-2</v>
      </c>
    </row>
    <row r="30" spans="2:20" x14ac:dyDescent="0.35">
      <c r="B30" s="95">
        <v>44522</v>
      </c>
      <c r="C30" s="48">
        <v>3383.094482</v>
      </c>
      <c r="D30" s="15">
        <f t="shared" si="0"/>
        <v>-4.5637836969214529E-3</v>
      </c>
      <c r="F30" s="48">
        <v>17026.449218999998</v>
      </c>
      <c r="G30" s="15">
        <f t="shared" si="1"/>
        <v>-4.1562614245001406E-2</v>
      </c>
    </row>
    <row r="31" spans="2:20" x14ac:dyDescent="0.35">
      <c r="B31" s="95">
        <v>44529</v>
      </c>
      <c r="C31" s="48">
        <v>3381.619385</v>
      </c>
      <c r="D31" s="15">
        <f t="shared" si="0"/>
        <v>-4.3602004255227644E-4</v>
      </c>
      <c r="F31" s="48">
        <v>17196.699218999998</v>
      </c>
      <c r="G31" s="15">
        <f t="shared" si="1"/>
        <v>9.9991488424970854E-3</v>
      </c>
    </row>
    <row r="32" spans="2:20" x14ac:dyDescent="0.35">
      <c r="B32" s="95">
        <v>44536</v>
      </c>
      <c r="C32" s="48">
        <v>3456.507568</v>
      </c>
      <c r="D32" s="15">
        <f t="shared" si="0"/>
        <v>2.2145656998592056E-2</v>
      </c>
      <c r="F32" s="48">
        <v>17511.300781000002</v>
      </c>
      <c r="G32" s="15">
        <f t="shared" si="1"/>
        <v>1.8294299271828462E-2</v>
      </c>
    </row>
    <row r="33" spans="2:7" x14ac:dyDescent="0.35">
      <c r="B33" s="95">
        <v>44543</v>
      </c>
      <c r="C33" s="48">
        <v>3364.8718260000001</v>
      </c>
      <c r="D33" s="15">
        <f t="shared" si="0"/>
        <v>-2.651107807439923E-2</v>
      </c>
      <c r="F33" s="48">
        <v>16985.199218999998</v>
      </c>
      <c r="G33" s="15">
        <f t="shared" si="1"/>
        <v>-3.0043545512668635E-2</v>
      </c>
    </row>
    <row r="34" spans="2:7" x14ac:dyDescent="0.35">
      <c r="B34" s="95">
        <v>44550</v>
      </c>
      <c r="C34" s="48">
        <v>3369.7727049999999</v>
      </c>
      <c r="D34" s="15">
        <f t="shared" si="0"/>
        <v>1.456483115383822E-3</v>
      </c>
      <c r="F34" s="48">
        <v>17003.75</v>
      </c>
      <c r="G34" s="15">
        <f t="shared" si="1"/>
        <v>1.0921732951623131E-3</v>
      </c>
    </row>
    <row r="35" spans="2:7" x14ac:dyDescent="0.35">
      <c r="B35" s="95">
        <v>44557</v>
      </c>
      <c r="C35" s="48">
        <v>3431.3386230000001</v>
      </c>
      <c r="D35" s="15">
        <f t="shared" si="0"/>
        <v>1.8270050650196712E-2</v>
      </c>
      <c r="F35" s="48">
        <v>17354.050781000002</v>
      </c>
      <c r="G35" s="15">
        <f t="shared" si="1"/>
        <v>2.0601383871204915E-2</v>
      </c>
    </row>
    <row r="36" spans="2:7" x14ac:dyDescent="0.35">
      <c r="B36" s="95">
        <v>44564</v>
      </c>
      <c r="C36" s="48">
        <v>3556.3266600000002</v>
      </c>
      <c r="D36" s="15">
        <f t="shared" si="0"/>
        <v>3.642544520736446E-2</v>
      </c>
      <c r="F36" s="48">
        <v>17812.699218999998</v>
      </c>
      <c r="G36" s="15">
        <f t="shared" si="1"/>
        <v>2.6428898001275014E-2</v>
      </c>
    </row>
    <row r="37" spans="2:7" x14ac:dyDescent="0.35">
      <c r="B37" s="95">
        <v>44571</v>
      </c>
      <c r="C37" s="48">
        <v>3532.251953</v>
      </c>
      <c r="D37" s="15">
        <f t="shared" si="0"/>
        <v>-6.7695432117589327E-3</v>
      </c>
      <c r="F37" s="48">
        <v>18255.75</v>
      </c>
      <c r="G37" s="15">
        <f t="shared" si="1"/>
        <v>2.4872748119354027E-2</v>
      </c>
    </row>
    <row r="38" spans="2:7" x14ac:dyDescent="0.35">
      <c r="B38" s="95">
        <v>44578</v>
      </c>
      <c r="C38" s="48">
        <v>3443.0429690000001</v>
      </c>
      <c r="D38" s="15">
        <f t="shared" si="0"/>
        <v>-2.5255555149239384E-2</v>
      </c>
      <c r="F38" s="48">
        <v>17617.150390999999</v>
      </c>
      <c r="G38" s="15">
        <f t="shared" si="1"/>
        <v>-3.4980738068827621E-2</v>
      </c>
    </row>
    <row r="39" spans="2:7" x14ac:dyDescent="0.35">
      <c r="B39" s="95">
        <v>44585</v>
      </c>
      <c r="C39" s="48">
        <v>3339.655518</v>
      </c>
      <c r="D39" s="15">
        <f t="shared" si="0"/>
        <v>-3.0027929343567794E-2</v>
      </c>
      <c r="F39" s="48">
        <v>17101.949218999998</v>
      </c>
      <c r="G39" s="15">
        <f t="shared" si="1"/>
        <v>-2.9244296640800638E-2</v>
      </c>
    </row>
    <row r="40" spans="2:7" x14ac:dyDescent="0.35">
      <c r="B40" s="95">
        <v>44592</v>
      </c>
      <c r="C40" s="48">
        <v>3389.469971</v>
      </c>
      <c r="D40" s="15">
        <f t="shared" ref="D40:D71" si="2">C40/C39-1</f>
        <v>1.4916045302131087E-2</v>
      </c>
      <c r="F40" s="48">
        <v>17516.300781000002</v>
      </c>
      <c r="G40" s="15">
        <f t="shared" ref="G40:G71" si="3">F40/F39-1</f>
        <v>2.4228323724623468E-2</v>
      </c>
    </row>
    <row r="41" spans="2:7" x14ac:dyDescent="0.35">
      <c r="B41" s="95">
        <v>44599</v>
      </c>
      <c r="C41" s="48">
        <v>3311.9650879999999</v>
      </c>
      <c r="D41" s="15">
        <f t="shared" si="2"/>
        <v>-2.2866372519339317E-2</v>
      </c>
      <c r="F41" s="48">
        <v>17374.75</v>
      </c>
      <c r="G41" s="15">
        <f t="shared" si="3"/>
        <v>-8.0810887395552644E-3</v>
      </c>
    </row>
    <row r="42" spans="2:7" x14ac:dyDescent="0.35">
      <c r="B42" s="95">
        <v>44606</v>
      </c>
      <c r="C42" s="48">
        <v>3313.0114749999998</v>
      </c>
      <c r="D42" s="15">
        <f t="shared" si="2"/>
        <v>3.1594143422308818E-4</v>
      </c>
      <c r="F42" s="48">
        <v>17276.300781000002</v>
      </c>
      <c r="G42" s="15">
        <f t="shared" si="3"/>
        <v>-5.66622362911684E-3</v>
      </c>
    </row>
    <row r="43" spans="2:7" x14ac:dyDescent="0.35">
      <c r="B43" s="95">
        <v>44613</v>
      </c>
      <c r="C43" s="48">
        <v>3256.9643550000001</v>
      </c>
      <c r="D43" s="15">
        <f t="shared" si="2"/>
        <v>-1.6917273128370214E-2</v>
      </c>
      <c r="F43" s="48">
        <v>16658.400390999999</v>
      </c>
      <c r="G43" s="15">
        <f t="shared" si="3"/>
        <v>-3.5765780987070617E-2</v>
      </c>
    </row>
    <row r="44" spans="2:7" x14ac:dyDescent="0.35">
      <c r="B44" s="95">
        <v>44620</v>
      </c>
      <c r="C44" s="48">
        <v>3208.0541990000002</v>
      </c>
      <c r="D44" s="15">
        <f t="shared" si="2"/>
        <v>-1.5017098951333185E-2</v>
      </c>
      <c r="F44" s="48">
        <v>16245.349609000001</v>
      </c>
      <c r="G44" s="15">
        <f t="shared" si="3"/>
        <v>-2.479534482933643E-2</v>
      </c>
    </row>
    <row r="45" spans="2:7" x14ac:dyDescent="0.35">
      <c r="B45" s="95">
        <v>44627</v>
      </c>
      <c r="C45" s="48">
        <v>3044.9086910000001</v>
      </c>
      <c r="D45" s="15">
        <f t="shared" si="2"/>
        <v>-5.0854972478599381E-2</v>
      </c>
      <c r="F45" s="48">
        <v>16630.449218999998</v>
      </c>
      <c r="G45" s="15">
        <f t="shared" si="3"/>
        <v>2.3705221449137115E-2</v>
      </c>
    </row>
    <row r="46" spans="2:7" x14ac:dyDescent="0.35">
      <c r="B46" s="95">
        <v>44634</v>
      </c>
      <c r="C46" s="48">
        <v>3193.4003910000001</v>
      </c>
      <c r="D46" s="15">
        <f t="shared" si="2"/>
        <v>4.8767209486085816E-2</v>
      </c>
      <c r="F46" s="48">
        <v>17287.050781000002</v>
      </c>
      <c r="G46" s="15">
        <f t="shared" si="3"/>
        <v>3.9481889716475482E-2</v>
      </c>
    </row>
    <row r="47" spans="2:7" x14ac:dyDescent="0.35">
      <c r="B47" s="95">
        <v>44641</v>
      </c>
      <c r="C47" s="48">
        <v>2944.6137699999999</v>
      </c>
      <c r="D47" s="15">
        <f t="shared" si="2"/>
        <v>-7.7906491682395496E-2</v>
      </c>
      <c r="F47" s="48">
        <v>17153</v>
      </c>
      <c r="G47" s="15">
        <f t="shared" si="3"/>
        <v>-7.7544043051771538E-3</v>
      </c>
    </row>
    <row r="48" spans="2:7" x14ac:dyDescent="0.35">
      <c r="B48" s="95">
        <v>44648</v>
      </c>
      <c r="C48" s="48">
        <v>3074.1691890000002</v>
      </c>
      <c r="D48" s="15">
        <f t="shared" si="2"/>
        <v>4.3997423471941577E-2</v>
      </c>
      <c r="F48" s="48">
        <v>17670.449218999998</v>
      </c>
      <c r="G48" s="15">
        <f t="shared" si="3"/>
        <v>3.0166689150585846E-2</v>
      </c>
    </row>
    <row r="49" spans="2:7" x14ac:dyDescent="0.35">
      <c r="B49" s="95">
        <v>44655</v>
      </c>
      <c r="C49" s="48">
        <v>3185.73999</v>
      </c>
      <c r="D49" s="15">
        <f t="shared" si="2"/>
        <v>3.6292993046453947E-2</v>
      </c>
      <c r="F49" s="48">
        <v>17784.349609000001</v>
      </c>
      <c r="G49" s="15">
        <f t="shared" si="3"/>
        <v>6.4458117950692007E-3</v>
      </c>
    </row>
    <row r="50" spans="2:7" x14ac:dyDescent="0.35">
      <c r="B50" s="95">
        <v>44662</v>
      </c>
      <c r="C50" s="48">
        <v>3187.4052729999999</v>
      </c>
      <c r="D50" s="15">
        <f t="shared" si="2"/>
        <v>5.22730356283585E-4</v>
      </c>
      <c r="F50" s="48">
        <v>17475.650390999999</v>
      </c>
      <c r="G50" s="15">
        <f t="shared" si="3"/>
        <v>-1.7357914390289553E-2</v>
      </c>
    </row>
    <row r="51" spans="2:7" x14ac:dyDescent="0.35">
      <c r="B51" s="95">
        <v>44669</v>
      </c>
      <c r="C51" s="48">
        <v>3201.1557619999999</v>
      </c>
      <c r="D51" s="15">
        <f t="shared" si="2"/>
        <v>4.314007106808182E-3</v>
      </c>
      <c r="F51" s="48">
        <v>17171.949218999998</v>
      </c>
      <c r="G51" s="15">
        <f t="shared" si="3"/>
        <v>-1.7378533285170805E-2</v>
      </c>
    </row>
    <row r="52" spans="2:7" x14ac:dyDescent="0.35">
      <c r="B52" s="95">
        <v>44676</v>
      </c>
      <c r="C52" s="48">
        <v>3120.4152829999998</v>
      </c>
      <c r="D52" s="15">
        <f t="shared" si="2"/>
        <v>-2.5222290011141291E-2</v>
      </c>
      <c r="F52" s="48">
        <v>17102.550781000002</v>
      </c>
      <c r="G52" s="15">
        <f t="shared" si="3"/>
        <v>-4.041383835634127E-3</v>
      </c>
    </row>
    <row r="53" spans="2:7" x14ac:dyDescent="0.35">
      <c r="B53" s="95">
        <v>44683</v>
      </c>
      <c r="C53" s="48">
        <v>3147.5825199999999</v>
      </c>
      <c r="D53" s="15">
        <f t="shared" si="2"/>
        <v>8.7062889186599879E-3</v>
      </c>
      <c r="F53" s="48">
        <v>16411.25</v>
      </c>
      <c r="G53" s="15">
        <f t="shared" si="3"/>
        <v>-4.0420916730619982E-2</v>
      </c>
    </row>
    <row r="54" spans="2:7" x14ac:dyDescent="0.35">
      <c r="B54" s="95">
        <v>44690</v>
      </c>
      <c r="C54" s="48">
        <v>3119.7016600000002</v>
      </c>
      <c r="D54" s="15">
        <f t="shared" si="2"/>
        <v>-8.8578646700578911E-3</v>
      </c>
      <c r="F54" s="48">
        <v>15782.150390999999</v>
      </c>
      <c r="G54" s="15">
        <f t="shared" si="3"/>
        <v>-3.8333436453652281E-2</v>
      </c>
    </row>
    <row r="55" spans="2:7" x14ac:dyDescent="0.35">
      <c r="B55" s="95">
        <v>44697</v>
      </c>
      <c r="C55" s="48">
        <v>3283.132568</v>
      </c>
      <c r="D55" s="15">
        <f t="shared" si="2"/>
        <v>5.2386710593345542E-2</v>
      </c>
      <c r="F55" s="48">
        <v>16266.150390999999</v>
      </c>
      <c r="G55" s="15">
        <f t="shared" si="3"/>
        <v>3.0667557209187901E-2</v>
      </c>
    </row>
    <row r="56" spans="2:7" x14ac:dyDescent="0.35">
      <c r="B56" s="95">
        <v>44704</v>
      </c>
      <c r="C56" s="48">
        <v>3385.2829590000001</v>
      </c>
      <c r="D56" s="15">
        <f t="shared" si="2"/>
        <v>3.1113696716251527E-2</v>
      </c>
      <c r="F56" s="48">
        <v>16352.450194999999</v>
      </c>
      <c r="G56" s="15">
        <f t="shared" si="3"/>
        <v>5.3054842064996777E-3</v>
      </c>
    </row>
    <row r="57" spans="2:7" x14ac:dyDescent="0.35">
      <c r="B57" s="95">
        <v>44711</v>
      </c>
      <c r="C57" s="48">
        <v>3359.0197750000002</v>
      </c>
      <c r="D57" s="15">
        <f t="shared" si="2"/>
        <v>-7.7580469101341532E-3</v>
      </c>
      <c r="F57" s="48">
        <v>16584.300781000002</v>
      </c>
      <c r="G57" s="15">
        <f t="shared" si="3"/>
        <v>1.4178339223494207E-2</v>
      </c>
    </row>
    <row r="58" spans="2:7" x14ac:dyDescent="0.35">
      <c r="B58" s="95">
        <v>44718</v>
      </c>
      <c r="C58" s="48">
        <v>3198.0627439999998</v>
      </c>
      <c r="D58" s="15">
        <f t="shared" si="2"/>
        <v>-4.791785752437272E-2</v>
      </c>
      <c r="F58" s="48">
        <v>16201.799805000001</v>
      </c>
      <c r="G58" s="15">
        <f t="shared" si="3"/>
        <v>-2.3064039964724836E-2</v>
      </c>
    </row>
    <row r="59" spans="2:7" x14ac:dyDescent="0.35">
      <c r="B59" s="95">
        <v>44725</v>
      </c>
      <c r="C59" s="48">
        <v>3170.7053219999998</v>
      </c>
      <c r="D59" s="15">
        <f t="shared" si="2"/>
        <v>-8.5543731283340696E-3</v>
      </c>
      <c r="F59" s="48">
        <v>15293.5</v>
      </c>
      <c r="G59" s="15">
        <f t="shared" si="3"/>
        <v>-5.606166079892505E-2</v>
      </c>
    </row>
    <row r="60" spans="2:7" x14ac:dyDescent="0.35">
      <c r="B60" s="95">
        <v>44732</v>
      </c>
      <c r="C60" s="48">
        <v>3301.3076169999999</v>
      </c>
      <c r="D60" s="15">
        <f t="shared" si="2"/>
        <v>4.1190297342933002E-2</v>
      </c>
      <c r="F60" s="48">
        <v>15699.25</v>
      </c>
      <c r="G60" s="15">
        <f t="shared" si="3"/>
        <v>2.6530879131657192E-2</v>
      </c>
    </row>
    <row r="61" spans="2:7" x14ac:dyDescent="0.35">
      <c r="B61" s="95">
        <v>44739</v>
      </c>
      <c r="C61" s="48">
        <v>3469.5683589999999</v>
      </c>
      <c r="D61" s="15">
        <f t="shared" si="2"/>
        <v>5.0967907726485517E-2</v>
      </c>
      <c r="F61" s="48">
        <v>15752.049805000001</v>
      </c>
      <c r="G61" s="15">
        <f t="shared" si="3"/>
        <v>3.3632055671448668E-3</v>
      </c>
    </row>
    <row r="62" spans="2:7" x14ac:dyDescent="0.35">
      <c r="B62" s="95">
        <v>44746</v>
      </c>
      <c r="C62" s="48">
        <v>3694.719482</v>
      </c>
      <c r="D62" s="15">
        <f t="shared" si="2"/>
        <v>6.4893122055359465E-2</v>
      </c>
      <c r="F62" s="48">
        <v>16220.599609000001</v>
      </c>
      <c r="G62" s="15">
        <f t="shared" si="3"/>
        <v>2.9745322659611828E-2</v>
      </c>
    </row>
    <row r="63" spans="2:7" x14ac:dyDescent="0.35">
      <c r="B63" s="95">
        <v>44753</v>
      </c>
      <c r="C63" s="48">
        <v>3725.6464839999999</v>
      </c>
      <c r="D63" s="15">
        <f t="shared" si="2"/>
        <v>8.3705954269790439E-3</v>
      </c>
      <c r="F63" s="48">
        <v>16049.200194999999</v>
      </c>
      <c r="G63" s="15">
        <f t="shared" si="3"/>
        <v>-1.0566774233481513E-2</v>
      </c>
    </row>
    <row r="64" spans="2:7" x14ac:dyDescent="0.35">
      <c r="B64" s="95">
        <v>44760</v>
      </c>
      <c r="C64" s="48">
        <v>3747.4746089999999</v>
      </c>
      <c r="D64" s="15">
        <f t="shared" si="2"/>
        <v>5.8588825036787195E-3</v>
      </c>
      <c r="F64" s="48">
        <v>16719.449218999998</v>
      </c>
      <c r="G64" s="15">
        <f t="shared" si="3"/>
        <v>4.1762144895470144E-2</v>
      </c>
    </row>
    <row r="65" spans="2:7" x14ac:dyDescent="0.35">
      <c r="B65" s="95">
        <v>44767</v>
      </c>
      <c r="C65" s="48">
        <v>3775.4973140000002</v>
      </c>
      <c r="D65" s="15">
        <f t="shared" si="2"/>
        <v>7.4777571361526185E-3</v>
      </c>
      <c r="F65" s="48">
        <v>17158.25</v>
      </c>
      <c r="G65" s="15">
        <f t="shared" si="3"/>
        <v>2.6244930395275645E-2</v>
      </c>
    </row>
    <row r="66" spans="2:7" x14ac:dyDescent="0.35">
      <c r="B66" s="95">
        <v>44774</v>
      </c>
      <c r="C66" s="48">
        <v>3569.9960940000001</v>
      </c>
      <c r="D66" s="15">
        <f t="shared" si="2"/>
        <v>-5.4430238696761002E-2</v>
      </c>
      <c r="F66" s="48">
        <v>17397.5</v>
      </c>
      <c r="G66" s="15">
        <f t="shared" si="3"/>
        <v>1.3943729692713402E-2</v>
      </c>
    </row>
    <row r="67" spans="2:7" x14ac:dyDescent="0.35">
      <c r="B67" s="95">
        <v>44781</v>
      </c>
      <c r="C67" s="48">
        <v>3542.553711</v>
      </c>
      <c r="D67" s="15">
        <f t="shared" si="2"/>
        <v>-7.6869504272348843E-3</v>
      </c>
      <c r="F67" s="48">
        <v>17698.150390999999</v>
      </c>
      <c r="G67" s="15">
        <f t="shared" si="3"/>
        <v>1.7281241040379314E-2</v>
      </c>
    </row>
    <row r="68" spans="2:7" x14ac:dyDescent="0.35">
      <c r="B68" s="95">
        <v>44788</v>
      </c>
      <c r="C68" s="48">
        <v>3545.2641600000002</v>
      </c>
      <c r="D68" s="15">
        <f t="shared" si="2"/>
        <v>7.6511161752712553E-4</v>
      </c>
      <c r="F68" s="48">
        <v>17758.449218999998</v>
      </c>
      <c r="G68" s="15">
        <f t="shared" si="3"/>
        <v>3.4070694771959342E-3</v>
      </c>
    </row>
    <row r="69" spans="2:7" x14ac:dyDescent="0.35">
      <c r="B69" s="95">
        <v>44795</v>
      </c>
      <c r="C69" s="48">
        <v>3533.2612300000001</v>
      </c>
      <c r="D69" s="15">
        <f t="shared" si="2"/>
        <v>-3.3856235976503779E-3</v>
      </c>
      <c r="F69" s="48">
        <v>17558.900390999999</v>
      </c>
      <c r="G69" s="15">
        <f t="shared" si="3"/>
        <v>-1.1236838619134604E-2</v>
      </c>
    </row>
    <row r="70" spans="2:7" x14ac:dyDescent="0.35">
      <c r="B70" s="95">
        <v>44802</v>
      </c>
      <c r="C70" s="48">
        <v>3641.8085940000001</v>
      </c>
      <c r="D70" s="15">
        <f t="shared" si="2"/>
        <v>3.0721578998561538E-2</v>
      </c>
      <c r="F70" s="48">
        <v>17539.449218999998</v>
      </c>
      <c r="G70" s="15">
        <f t="shared" si="3"/>
        <v>-1.1077670905844661E-3</v>
      </c>
    </row>
    <row r="71" spans="2:7" x14ac:dyDescent="0.35">
      <c r="B71" s="95">
        <v>44809</v>
      </c>
      <c r="C71" s="48">
        <v>3587.9816890000002</v>
      </c>
      <c r="D71" s="15">
        <f t="shared" si="2"/>
        <v>-1.4780267444225781E-2</v>
      </c>
      <c r="F71" s="48">
        <v>17833.349609000001</v>
      </c>
      <c r="G71" s="15">
        <f t="shared" si="3"/>
        <v>1.6756534730955508E-2</v>
      </c>
    </row>
    <row r="72" spans="2:7" x14ac:dyDescent="0.35">
      <c r="B72" s="95">
        <v>44816</v>
      </c>
      <c r="C72" s="48">
        <v>3578.1994629999999</v>
      </c>
      <c r="D72" s="15">
        <f t="shared" ref="D72:D103" si="4">C72/C71-1</f>
        <v>-2.726386823542204E-3</v>
      </c>
      <c r="F72" s="48">
        <v>17530.849609000001</v>
      </c>
      <c r="G72" s="15">
        <f t="shared" ref="G72:G103" si="5">F72/F71-1</f>
        <v>-1.6962601341440453E-2</v>
      </c>
    </row>
    <row r="73" spans="2:7" x14ac:dyDescent="0.35">
      <c r="B73" s="95">
        <v>44823</v>
      </c>
      <c r="C73" s="48">
        <v>3732.7001949999999</v>
      </c>
      <c r="D73" s="15">
        <f t="shared" si="4"/>
        <v>4.3178345309589083E-2</v>
      </c>
      <c r="F73" s="48">
        <v>17327.349609000001</v>
      </c>
      <c r="G73" s="15">
        <f t="shared" si="5"/>
        <v>-1.1608108251383698E-2</v>
      </c>
    </row>
    <row r="74" spans="2:7" x14ac:dyDescent="0.35">
      <c r="B74" s="95">
        <v>44830</v>
      </c>
      <c r="C74" s="48">
        <v>3778.2690429999998</v>
      </c>
      <c r="D74" s="15">
        <f t="shared" si="4"/>
        <v>1.2208011792921303E-2</v>
      </c>
      <c r="F74" s="48">
        <v>17094.349609000001</v>
      </c>
      <c r="G74" s="15">
        <f t="shared" si="5"/>
        <v>-1.3446949779265527E-2</v>
      </c>
    </row>
    <row r="75" spans="2:7" x14ac:dyDescent="0.35">
      <c r="B75" s="95">
        <v>44837</v>
      </c>
      <c r="C75" s="48">
        <v>3721.8364259999998</v>
      </c>
      <c r="D75" s="15">
        <f t="shared" si="4"/>
        <v>-1.4936103373726861E-2</v>
      </c>
      <c r="F75" s="48">
        <v>17314.650390999999</v>
      </c>
      <c r="G75" s="15">
        <f t="shared" si="5"/>
        <v>1.2887345060733635E-2</v>
      </c>
    </row>
    <row r="76" spans="2:7" x14ac:dyDescent="0.35">
      <c r="B76" s="95">
        <v>44844</v>
      </c>
      <c r="C76" s="48">
        <v>3732.2578130000002</v>
      </c>
      <c r="D76" s="15">
        <f t="shared" si="4"/>
        <v>2.8000658296529757E-3</v>
      </c>
      <c r="F76" s="48">
        <v>17185.699218999998</v>
      </c>
      <c r="G76" s="15">
        <f t="shared" si="5"/>
        <v>-7.4475180894804094E-3</v>
      </c>
    </row>
    <row r="77" spans="2:7" x14ac:dyDescent="0.35">
      <c r="B77" s="95">
        <v>44851</v>
      </c>
      <c r="C77" s="48">
        <v>3728.767578</v>
      </c>
      <c r="D77" s="15">
        <f t="shared" si="4"/>
        <v>-9.3515377952813061E-4</v>
      </c>
      <c r="F77" s="48">
        <v>17576.300781000002</v>
      </c>
      <c r="G77" s="15">
        <f t="shared" si="5"/>
        <v>2.2728290366455628E-2</v>
      </c>
    </row>
    <row r="78" spans="2:7" x14ac:dyDescent="0.35">
      <c r="B78" s="95">
        <v>44858</v>
      </c>
      <c r="C78" s="48">
        <v>3714.0205080000001</v>
      </c>
      <c r="D78" s="15">
        <f t="shared" si="4"/>
        <v>-3.9549448152812472E-3</v>
      </c>
      <c r="F78" s="48">
        <v>17786.800781000002</v>
      </c>
      <c r="G78" s="15">
        <f t="shared" si="5"/>
        <v>1.197635399068453E-2</v>
      </c>
    </row>
    <row r="79" spans="2:7" x14ac:dyDescent="0.35">
      <c r="B79" s="95">
        <v>44865</v>
      </c>
      <c r="C79" s="48">
        <v>3740.0737300000001</v>
      </c>
      <c r="D79" s="15">
        <f t="shared" si="4"/>
        <v>7.0148298707239931E-3</v>
      </c>
      <c r="F79" s="48">
        <v>18117.150390999999</v>
      </c>
      <c r="G79" s="15">
        <f t="shared" si="5"/>
        <v>1.8572739081492262E-2</v>
      </c>
    </row>
    <row r="80" spans="2:7" x14ac:dyDescent="0.35">
      <c r="B80" s="95">
        <v>44872</v>
      </c>
      <c r="C80" s="48">
        <v>4029.5603030000002</v>
      </c>
      <c r="D80" s="15">
        <f t="shared" si="4"/>
        <v>7.7401301123547706E-2</v>
      </c>
      <c r="F80" s="48">
        <v>18349.699218999998</v>
      </c>
      <c r="G80" s="15">
        <f t="shared" si="5"/>
        <v>1.2835839134808014E-2</v>
      </c>
    </row>
    <row r="81" spans="2:7" x14ac:dyDescent="0.35">
      <c r="B81" s="95">
        <v>44879</v>
      </c>
      <c r="C81" s="48">
        <v>4036.8354490000002</v>
      </c>
      <c r="D81" s="15">
        <f t="shared" si="4"/>
        <v>1.8054441311086133E-3</v>
      </c>
      <c r="F81" s="48">
        <v>18307.650390999999</v>
      </c>
      <c r="G81" s="15">
        <f t="shared" si="5"/>
        <v>-2.2915268254892762E-3</v>
      </c>
    </row>
    <row r="82" spans="2:7" x14ac:dyDescent="0.35">
      <c r="B82" s="95">
        <v>44886</v>
      </c>
      <c r="C82" s="48">
        <v>4113.1767579999996</v>
      </c>
      <c r="D82" s="15">
        <f t="shared" si="4"/>
        <v>1.8911176827609122E-2</v>
      </c>
      <c r="F82" s="48">
        <v>18512.75</v>
      </c>
      <c r="G82" s="15">
        <f t="shared" si="5"/>
        <v>1.1202945469224623E-2</v>
      </c>
    </row>
    <row r="83" spans="2:7" x14ac:dyDescent="0.35">
      <c r="B83" s="95">
        <v>44893</v>
      </c>
      <c r="C83" s="48">
        <v>4358.1757809999999</v>
      </c>
      <c r="D83" s="15">
        <f t="shared" si="4"/>
        <v>5.9564428521940993E-2</v>
      </c>
      <c r="F83" s="48">
        <v>18696.099609000001</v>
      </c>
      <c r="G83" s="15">
        <f t="shared" si="5"/>
        <v>9.9039639707769744E-3</v>
      </c>
    </row>
    <row r="84" spans="2:7" x14ac:dyDescent="0.35">
      <c r="B84" s="95">
        <v>44900</v>
      </c>
      <c r="C84" s="48">
        <v>4335.9570309999999</v>
      </c>
      <c r="D84" s="15">
        <f t="shared" si="4"/>
        <v>-5.0981766492451674E-3</v>
      </c>
      <c r="F84" s="48">
        <v>18496.599609000001</v>
      </c>
      <c r="G84" s="15">
        <f t="shared" si="5"/>
        <v>-1.0670674855838058E-2</v>
      </c>
    </row>
    <row r="85" spans="2:7" x14ac:dyDescent="0.35">
      <c r="B85" s="95">
        <v>44907</v>
      </c>
      <c r="C85" s="48">
        <v>4369.7773440000001</v>
      </c>
      <c r="D85" s="15">
        <f t="shared" si="4"/>
        <v>7.7999649807876104E-3</v>
      </c>
      <c r="F85" s="48">
        <v>18269</v>
      </c>
      <c r="G85" s="15">
        <f t="shared" si="5"/>
        <v>-1.2304943276668867E-2</v>
      </c>
    </row>
    <row r="86" spans="2:7" x14ac:dyDescent="0.35">
      <c r="B86" s="95">
        <v>44914</v>
      </c>
      <c r="C86" s="48">
        <v>4258.8784180000002</v>
      </c>
      <c r="D86" s="15">
        <f t="shared" si="4"/>
        <v>-2.5378621671026669E-2</v>
      </c>
      <c r="F86" s="48">
        <v>17806.800781000002</v>
      </c>
      <c r="G86" s="15">
        <f t="shared" si="5"/>
        <v>-2.529964524604511E-2</v>
      </c>
    </row>
    <row r="87" spans="2:7" x14ac:dyDescent="0.35">
      <c r="B87" s="95">
        <v>44921</v>
      </c>
      <c r="C87" s="48">
        <v>4234.8408200000003</v>
      </c>
      <c r="D87" s="15">
        <f t="shared" si="4"/>
        <v>-5.6441146331873693E-3</v>
      </c>
      <c r="F87" s="48">
        <v>18105.300781000002</v>
      </c>
      <c r="G87" s="15">
        <f t="shared" si="5"/>
        <v>1.6763258244484991E-2</v>
      </c>
    </row>
    <row r="88" spans="2:7" x14ac:dyDescent="0.35">
      <c r="B88" s="95">
        <v>44928</v>
      </c>
      <c r="C88" s="48">
        <v>4285.5708009999998</v>
      </c>
      <c r="D88" s="15">
        <f t="shared" si="4"/>
        <v>1.1979194297083273E-2</v>
      </c>
      <c r="F88" s="48">
        <v>17859.449218999998</v>
      </c>
      <c r="G88" s="15">
        <f t="shared" si="5"/>
        <v>-1.3578982474458767E-2</v>
      </c>
    </row>
    <row r="89" spans="2:7" x14ac:dyDescent="0.35">
      <c r="B89" s="95">
        <v>44935</v>
      </c>
      <c r="C89" s="48">
        <v>4263.0078130000002</v>
      </c>
      <c r="D89" s="15">
        <f t="shared" si="4"/>
        <v>-5.2648734667350983E-3</v>
      </c>
      <c r="F89" s="48">
        <v>17956.599609000001</v>
      </c>
      <c r="G89" s="15">
        <f t="shared" si="5"/>
        <v>5.4397192661825855E-3</v>
      </c>
    </row>
    <row r="90" spans="2:7" x14ac:dyDescent="0.35">
      <c r="B90" s="95">
        <v>44942</v>
      </c>
      <c r="C90" s="48">
        <v>4246.1469729999999</v>
      </c>
      <c r="D90" s="15">
        <f t="shared" si="4"/>
        <v>-3.9551510904068943E-3</v>
      </c>
      <c r="F90" s="48">
        <v>18027.650390999999</v>
      </c>
      <c r="G90" s="15">
        <f t="shared" si="5"/>
        <v>3.9568060516528281E-3</v>
      </c>
    </row>
    <row r="91" spans="2:7" x14ac:dyDescent="0.35">
      <c r="B91" s="95">
        <v>44949</v>
      </c>
      <c r="C91" s="48">
        <v>4306.5610349999997</v>
      </c>
      <c r="D91" s="15">
        <f t="shared" si="4"/>
        <v>1.4227972414557311E-2</v>
      </c>
      <c r="F91" s="48">
        <v>17604.349609000001</v>
      </c>
      <c r="G91" s="15">
        <f t="shared" si="5"/>
        <v>-2.3480640727941093E-2</v>
      </c>
    </row>
    <row r="92" spans="2:7" x14ac:dyDescent="0.35">
      <c r="B92" s="95">
        <v>44956</v>
      </c>
      <c r="C92" s="48">
        <v>4550.8232420000004</v>
      </c>
      <c r="D92" s="15">
        <f t="shared" si="4"/>
        <v>5.6718621892235754E-2</v>
      </c>
      <c r="F92" s="48">
        <v>17854.050781000002</v>
      </c>
      <c r="G92" s="15">
        <f t="shared" si="5"/>
        <v>1.4184061186352848E-2</v>
      </c>
    </row>
    <row r="93" spans="2:7" x14ac:dyDescent="0.35">
      <c r="B93" s="95">
        <v>44963</v>
      </c>
      <c r="C93" s="48">
        <v>4544.7768550000001</v>
      </c>
      <c r="D93" s="15">
        <f t="shared" si="4"/>
        <v>-1.3286358705821844E-3</v>
      </c>
      <c r="F93" s="48">
        <v>17856.5</v>
      </c>
      <c r="G93" s="15">
        <f t="shared" si="5"/>
        <v>1.371800175793414E-4</v>
      </c>
    </row>
    <row r="94" spans="2:7" x14ac:dyDescent="0.35">
      <c r="B94" s="95">
        <v>44970</v>
      </c>
      <c r="C94" s="48">
        <v>4456.8344729999999</v>
      </c>
      <c r="D94" s="15">
        <f t="shared" si="4"/>
        <v>-1.9350208999425189E-2</v>
      </c>
      <c r="F94" s="48">
        <v>17944.199218999998</v>
      </c>
      <c r="G94" s="15">
        <f t="shared" si="5"/>
        <v>4.9113330719905424E-3</v>
      </c>
    </row>
    <row r="95" spans="2:7" x14ac:dyDescent="0.35">
      <c r="B95" s="95">
        <v>44977</v>
      </c>
      <c r="C95" s="48">
        <v>4367.6630859999996</v>
      </c>
      <c r="D95" s="15">
        <f t="shared" si="4"/>
        <v>-2.0007785243138509E-2</v>
      </c>
      <c r="F95" s="48">
        <v>17465.800781000002</v>
      </c>
      <c r="G95" s="15">
        <f t="shared" si="5"/>
        <v>-2.6660339208308015E-2</v>
      </c>
    </row>
    <row r="96" spans="2:7" x14ac:dyDescent="0.35">
      <c r="B96" s="95">
        <v>44984</v>
      </c>
      <c r="C96" s="48">
        <v>4337.5795900000003</v>
      </c>
      <c r="D96" s="15">
        <f t="shared" si="4"/>
        <v>-6.8877785231256095E-3</v>
      </c>
      <c r="F96" s="48">
        <v>17594.349609000001</v>
      </c>
      <c r="G96" s="15">
        <f t="shared" si="5"/>
        <v>7.3600305884538031E-3</v>
      </c>
    </row>
    <row r="97" spans="2:7" x14ac:dyDescent="0.35">
      <c r="B97" s="95">
        <v>44991</v>
      </c>
      <c r="C97" s="48">
        <v>4238.3310549999997</v>
      </c>
      <c r="D97" s="15">
        <f t="shared" si="4"/>
        <v>-2.2881086776784798E-2</v>
      </c>
      <c r="F97" s="48">
        <v>17412.900390999999</v>
      </c>
      <c r="G97" s="15">
        <f t="shared" si="5"/>
        <v>-1.0312925571695164E-2</v>
      </c>
    </row>
    <row r="98" spans="2:7" x14ac:dyDescent="0.35">
      <c r="B98" s="95">
        <v>44998</v>
      </c>
      <c r="C98" s="48">
        <v>4289.0117190000001</v>
      </c>
      <c r="D98" s="15">
        <f t="shared" si="4"/>
        <v>1.1957693569078831E-2</v>
      </c>
      <c r="F98" s="48">
        <v>17100.050781000002</v>
      </c>
      <c r="G98" s="15">
        <f t="shared" si="5"/>
        <v>-1.7966542217268788E-2</v>
      </c>
    </row>
    <row r="99" spans="2:7" x14ac:dyDescent="0.35">
      <c r="B99" s="95">
        <v>45005</v>
      </c>
      <c r="C99" s="48">
        <v>4129.1528319999998</v>
      </c>
      <c r="D99" s="15">
        <f t="shared" si="4"/>
        <v>-3.7271730056562369E-2</v>
      </c>
      <c r="F99" s="48">
        <v>16945.050781000002</v>
      </c>
      <c r="G99" s="15">
        <f t="shared" si="5"/>
        <v>-9.0643005675878907E-3</v>
      </c>
    </row>
    <row r="100" spans="2:7" x14ac:dyDescent="0.35">
      <c r="B100" s="95">
        <v>45012</v>
      </c>
      <c r="C100" s="48">
        <v>4249.2929690000001</v>
      </c>
      <c r="D100" s="15">
        <f t="shared" si="4"/>
        <v>2.9095589794822185E-2</v>
      </c>
      <c r="F100" s="48">
        <v>17359.75</v>
      </c>
      <c r="G100" s="15">
        <f t="shared" si="5"/>
        <v>2.4473176525678486E-2</v>
      </c>
    </row>
    <row r="101" spans="2:7" x14ac:dyDescent="0.35">
      <c r="B101" s="95">
        <v>45019</v>
      </c>
      <c r="C101" s="48">
        <v>4227.3193359999996</v>
      </c>
      <c r="D101" s="15">
        <f t="shared" si="4"/>
        <v>-5.1711268581162706E-3</v>
      </c>
      <c r="F101" s="48">
        <v>17599.150390999999</v>
      </c>
      <c r="G101" s="15">
        <f t="shared" si="5"/>
        <v>1.3790543700226143E-2</v>
      </c>
    </row>
    <row r="102" spans="2:7" x14ac:dyDescent="0.35">
      <c r="B102" s="95">
        <v>45026</v>
      </c>
      <c r="C102" s="48">
        <v>4192.3198240000002</v>
      </c>
      <c r="D102" s="15">
        <f t="shared" si="4"/>
        <v>-8.2793631656691291E-3</v>
      </c>
      <c r="F102" s="48">
        <v>17828</v>
      </c>
      <c r="G102" s="15">
        <f t="shared" si="5"/>
        <v>1.3003446411653519E-2</v>
      </c>
    </row>
    <row r="103" spans="2:7" x14ac:dyDescent="0.35">
      <c r="B103" s="95">
        <v>45033</v>
      </c>
      <c r="C103" s="48">
        <v>4327.7998049999997</v>
      </c>
      <c r="D103" s="15">
        <f t="shared" si="4"/>
        <v>3.2316232226465624E-2</v>
      </c>
      <c r="F103" s="48">
        <v>17624.050781000002</v>
      </c>
      <c r="G103" s="15">
        <f t="shared" si="5"/>
        <v>-1.1439826060130054E-2</v>
      </c>
    </row>
    <row r="104" spans="2:7" x14ac:dyDescent="0.35">
      <c r="B104" s="95">
        <v>45040</v>
      </c>
      <c r="C104" s="48">
        <v>4553.5498049999997</v>
      </c>
      <c r="D104" s="15">
        <f t="shared" ref="D104:D112" si="6">C104/C103-1</f>
        <v>5.2162764030625031E-2</v>
      </c>
      <c r="F104" s="48">
        <v>18065</v>
      </c>
      <c r="G104" s="15">
        <f t="shared" ref="G104:G112" si="7">F104/F103-1</f>
        <v>2.5019742877464557E-2</v>
      </c>
    </row>
    <row r="105" spans="2:7" x14ac:dyDescent="0.35">
      <c r="B105" s="95">
        <v>45047</v>
      </c>
      <c r="C105" s="48">
        <v>4626</v>
      </c>
      <c r="D105" s="15">
        <f t="shared" si="6"/>
        <v>1.5910706614089776E-2</v>
      </c>
      <c r="F105" s="48">
        <v>18069</v>
      </c>
      <c r="G105" s="15">
        <f t="shared" si="7"/>
        <v>2.2142264046509652E-4</v>
      </c>
    </row>
    <row r="106" spans="2:7" x14ac:dyDescent="0.35">
      <c r="B106" s="95">
        <v>45054</v>
      </c>
      <c r="C106" s="48">
        <v>4616.5</v>
      </c>
      <c r="D106" s="15">
        <f t="shared" si="6"/>
        <v>-2.0536100302637195E-3</v>
      </c>
      <c r="F106" s="48">
        <v>18314.800781000002</v>
      </c>
      <c r="G106" s="15">
        <f t="shared" si="7"/>
        <v>1.3603452376999448E-2</v>
      </c>
    </row>
    <row r="107" spans="2:7" x14ac:dyDescent="0.35">
      <c r="B107" s="95">
        <v>45061</v>
      </c>
      <c r="C107" s="48">
        <v>4499.8500979999999</v>
      </c>
      <c r="D107" s="15">
        <f t="shared" si="6"/>
        <v>-2.526803899057728E-2</v>
      </c>
      <c r="F107" s="48">
        <v>18203.400390999999</v>
      </c>
      <c r="G107" s="15">
        <f t="shared" si="7"/>
        <v>-6.0825335384249168E-3</v>
      </c>
    </row>
    <row r="108" spans="2:7" x14ac:dyDescent="0.35">
      <c r="B108" s="95">
        <v>45068</v>
      </c>
      <c r="C108" s="48">
        <v>4596.2001950000003</v>
      </c>
      <c r="D108" s="15">
        <f t="shared" si="6"/>
        <v>2.1411845928561934E-2</v>
      </c>
      <c r="F108" s="48">
        <v>18499.349609000001</v>
      </c>
      <c r="G108" s="15">
        <f t="shared" si="7"/>
        <v>1.6257908502980811E-2</v>
      </c>
    </row>
    <row r="109" spans="2:7" x14ac:dyDescent="0.35">
      <c r="B109" s="95">
        <v>45075</v>
      </c>
      <c r="C109" s="48">
        <v>4654.1499020000001</v>
      </c>
      <c r="D109" s="15">
        <f t="shared" si="6"/>
        <v>1.2608177307646518E-2</v>
      </c>
      <c r="F109" s="48">
        <v>18534.099609000001</v>
      </c>
      <c r="G109" s="15">
        <f t="shared" si="7"/>
        <v>1.8784444174779757E-3</v>
      </c>
    </row>
    <row r="110" spans="2:7" x14ac:dyDescent="0.35">
      <c r="B110" s="95">
        <v>45082</v>
      </c>
      <c r="C110" s="48">
        <v>4878.75</v>
      </c>
      <c r="D110" s="15">
        <f t="shared" si="6"/>
        <v>4.8258028368077133E-2</v>
      </c>
      <c r="F110" s="48">
        <v>18563.400390999999</v>
      </c>
      <c r="G110" s="15">
        <f t="shared" si="7"/>
        <v>1.5809120819534339E-3</v>
      </c>
    </row>
    <row r="111" spans="2:7" x14ac:dyDescent="0.35">
      <c r="B111" s="95">
        <v>45089</v>
      </c>
      <c r="C111" s="48">
        <v>5044.7001950000003</v>
      </c>
      <c r="D111" s="15">
        <f t="shared" si="6"/>
        <v>3.4014900333077192E-2</v>
      </c>
      <c r="F111" s="48">
        <v>18826</v>
      </c>
      <c r="G111" s="15">
        <f t="shared" si="7"/>
        <v>1.4146094113625551E-2</v>
      </c>
    </row>
    <row r="112" spans="2:7" x14ac:dyDescent="0.35">
      <c r="B112" s="95">
        <v>45093</v>
      </c>
      <c r="C112" s="48">
        <v>5044.7001950000003</v>
      </c>
      <c r="D112" s="15">
        <f t="shared" si="6"/>
        <v>0</v>
      </c>
      <c r="F112" s="48">
        <v>18826</v>
      </c>
      <c r="G112" s="15">
        <f t="shared" si="7"/>
        <v>0</v>
      </c>
    </row>
  </sheetData>
  <mergeCells count="3">
    <mergeCell ref="B4:D4"/>
    <mergeCell ref="F4:G4"/>
    <mergeCell ref="I4:J4"/>
  </mergeCells>
  <pageMargins left="0.25" right="0.25" top="0.75" bottom="0.75" header="0.3" footer="0.3"/>
  <pageSetup paperSize="9" scale="4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062A-D026-427A-BD1A-12826DFB4844}">
  <sheetPr>
    <pageSetUpPr fitToPage="1"/>
  </sheetPr>
  <dimension ref="B2:T112"/>
  <sheetViews>
    <sheetView showGridLines="0" topLeftCell="A15" workbookViewId="0">
      <selection activeCell="I4" sqref="I4:J12"/>
    </sheetView>
  </sheetViews>
  <sheetFormatPr defaultRowHeight="14.5" x14ac:dyDescent="0.35"/>
  <cols>
    <col min="1" max="1" width="2.1796875" customWidth="1"/>
    <col min="2" max="2" width="12.6328125" customWidth="1"/>
    <col min="3" max="3" width="11.81640625" bestFit="1" customWidth="1"/>
    <col min="4" max="4" width="15.54296875" bestFit="1" customWidth="1"/>
    <col min="9" max="9" width="17.54296875" bestFit="1" customWidth="1"/>
    <col min="12" max="12" width="17.26953125" bestFit="1" customWidth="1"/>
    <col min="13" max="13" width="11.81640625" bestFit="1" customWidth="1"/>
    <col min="14" max="14" width="13.54296875" bestFit="1" customWidth="1"/>
    <col min="15" max="15" width="11.81640625" bestFit="1" customWidth="1"/>
  </cols>
  <sheetData>
    <row r="2" spans="2:13" x14ac:dyDescent="0.35">
      <c r="B2" s="13" t="s">
        <v>249</v>
      </c>
    </row>
    <row r="4" spans="2:13" x14ac:dyDescent="0.35">
      <c r="B4" s="139" t="s">
        <v>252</v>
      </c>
      <c r="C4" s="139"/>
      <c r="D4" s="139"/>
      <c r="F4" s="139" t="s">
        <v>247</v>
      </c>
      <c r="G4" s="139"/>
      <c r="I4" s="139" t="s">
        <v>246</v>
      </c>
      <c r="J4" s="139"/>
      <c r="L4" t="s">
        <v>245</v>
      </c>
      <c r="M4" s="61">
        <f>SLOPE(D8:D112,G8:G112)</f>
        <v>0.61794771637262957</v>
      </c>
    </row>
    <row r="5" spans="2:13" x14ac:dyDescent="0.35">
      <c r="B5" s="13"/>
      <c r="L5" t="s">
        <v>244</v>
      </c>
      <c r="M5" s="61">
        <f>_xlfn.COVARIANCE.S(D7:D112,G7:G112)/_xlfn.VAR.S(G7:G112)</f>
        <v>0.61794771637262935</v>
      </c>
    </row>
    <row r="6" spans="2:13" x14ac:dyDescent="0.35">
      <c r="B6" s="102" t="s">
        <v>243</v>
      </c>
      <c r="C6" s="101" t="s">
        <v>242</v>
      </c>
      <c r="D6" s="101" t="s">
        <v>241</v>
      </c>
      <c r="E6" s="13"/>
      <c r="F6" s="101" t="s">
        <v>242</v>
      </c>
      <c r="G6" s="101" t="s">
        <v>241</v>
      </c>
      <c r="I6" s="45" t="s">
        <v>240</v>
      </c>
      <c r="J6" s="61">
        <f>M7</f>
        <v>0.6179477163726298</v>
      </c>
    </row>
    <row r="7" spans="2:13" x14ac:dyDescent="0.35">
      <c r="B7" s="95">
        <v>44361</v>
      </c>
      <c r="C7" s="48">
        <v>725.29998799999998</v>
      </c>
      <c r="F7" s="48">
        <v>15683.349609000001</v>
      </c>
      <c r="I7" t="s">
        <v>239</v>
      </c>
      <c r="J7" s="62">
        <v>0.75</v>
      </c>
      <c r="L7" t="s">
        <v>238</v>
      </c>
      <c r="M7" s="61">
        <f>M26</f>
        <v>0.6179477163726298</v>
      </c>
    </row>
    <row r="8" spans="2:13" x14ac:dyDescent="0.35">
      <c r="B8" s="95">
        <v>44368</v>
      </c>
      <c r="C8" s="48">
        <v>794.54998799999998</v>
      </c>
      <c r="D8" s="15">
        <f t="shared" ref="D8:D39" si="0">C8/C7-1</f>
        <v>9.5477734931384006E-2</v>
      </c>
      <c r="F8" s="48">
        <v>15860.349609000001</v>
      </c>
      <c r="G8" s="15">
        <f t="shared" ref="G8:G39" si="1">F8/F7-1</f>
        <v>1.1285854387791394E-2</v>
      </c>
    </row>
    <row r="9" spans="2:13" x14ac:dyDescent="0.35">
      <c r="B9" s="95">
        <v>44375</v>
      </c>
      <c r="C9" s="48">
        <v>781.5</v>
      </c>
      <c r="D9" s="15">
        <f t="shared" si="0"/>
        <v>-1.6424376309977395E-2</v>
      </c>
      <c r="F9" s="48">
        <v>15722.200194999999</v>
      </c>
      <c r="G9" s="15">
        <f t="shared" si="1"/>
        <v>-8.7103637313018512E-3</v>
      </c>
      <c r="I9" t="s">
        <v>237</v>
      </c>
      <c r="J9" s="61">
        <v>1</v>
      </c>
      <c r="L9" t="s">
        <v>236</v>
      </c>
    </row>
    <row r="10" spans="2:13" ht="15" thickBot="1" x14ac:dyDescent="0.4">
      <c r="B10" s="95">
        <v>44382</v>
      </c>
      <c r="C10" s="48">
        <v>850.25</v>
      </c>
      <c r="D10" s="15">
        <f t="shared" si="0"/>
        <v>8.7971849008317449E-2</v>
      </c>
      <c r="F10" s="48">
        <v>15689.799805000001</v>
      </c>
      <c r="G10" s="15">
        <f t="shared" si="1"/>
        <v>-2.0608050780515086E-3</v>
      </c>
      <c r="I10" t="s">
        <v>235</v>
      </c>
      <c r="J10" s="62">
        <v>0.25</v>
      </c>
    </row>
    <row r="11" spans="2:13" x14ac:dyDescent="0.35">
      <c r="B11" s="95">
        <v>44389</v>
      </c>
      <c r="C11" s="48">
        <v>874.20001200000002</v>
      </c>
      <c r="D11" s="15">
        <f t="shared" si="0"/>
        <v>2.8168199941193794E-2</v>
      </c>
      <c r="F11" s="48">
        <v>15923.400390999999</v>
      </c>
      <c r="G11" s="15">
        <f t="shared" si="1"/>
        <v>1.488869130921322E-2</v>
      </c>
      <c r="L11" s="100" t="s">
        <v>234</v>
      </c>
      <c r="M11" s="100"/>
    </row>
    <row r="12" spans="2:13" x14ac:dyDescent="0.35">
      <c r="B12" s="95">
        <v>44396</v>
      </c>
      <c r="C12" s="48">
        <v>883.34997599999997</v>
      </c>
      <c r="D12" s="15">
        <f t="shared" si="0"/>
        <v>1.046667109860433E-2</v>
      </c>
      <c r="F12" s="48">
        <v>15856.049805000001</v>
      </c>
      <c r="G12" s="15">
        <f t="shared" si="1"/>
        <v>-4.2296610237889665E-3</v>
      </c>
      <c r="I12" s="99" t="s">
        <v>233</v>
      </c>
      <c r="J12" s="98">
        <f>(J6*J7)+(J9*J10)</f>
        <v>0.71346078727947237</v>
      </c>
      <c r="L12" t="s">
        <v>232</v>
      </c>
      <c r="M12">
        <v>8.0826797466997599E-3</v>
      </c>
    </row>
    <row r="13" spans="2:13" x14ac:dyDescent="0.35">
      <c r="B13" s="95">
        <v>44403</v>
      </c>
      <c r="C13" s="48">
        <v>853.75</v>
      </c>
      <c r="D13" s="15">
        <f t="shared" si="0"/>
        <v>-3.3508775461833507E-2</v>
      </c>
      <c r="F13" s="48">
        <v>15763.049805000001</v>
      </c>
      <c r="G13" s="15">
        <f t="shared" si="1"/>
        <v>-5.8652691650018518E-3</v>
      </c>
      <c r="L13" t="s">
        <v>231</v>
      </c>
      <c r="M13">
        <v>6.5329711887710508E-5</v>
      </c>
    </row>
    <row r="14" spans="2:13" x14ac:dyDescent="0.35">
      <c r="B14" s="95">
        <v>44410</v>
      </c>
      <c r="C14" s="48">
        <v>873.09997599999997</v>
      </c>
      <c r="D14" s="15">
        <f t="shared" si="0"/>
        <v>2.2664686383601751E-2</v>
      </c>
      <c r="F14" s="48">
        <v>16238.200194999999</v>
      </c>
      <c r="G14" s="15">
        <f t="shared" si="1"/>
        <v>3.0143303223547635E-2</v>
      </c>
      <c r="L14" t="s">
        <v>230</v>
      </c>
      <c r="M14">
        <v>-9.6427738831425056E-3</v>
      </c>
    </row>
    <row r="15" spans="2:13" x14ac:dyDescent="0.35">
      <c r="B15" s="95">
        <v>44417</v>
      </c>
      <c r="C15" s="48">
        <v>864.79998799999998</v>
      </c>
      <c r="D15" s="15">
        <f t="shared" si="0"/>
        <v>-9.5063431773591001E-3</v>
      </c>
      <c r="F15" s="48">
        <v>16529.099609000001</v>
      </c>
      <c r="G15" s="15">
        <f t="shared" si="1"/>
        <v>1.79145108760006E-2</v>
      </c>
      <c r="L15" t="s">
        <v>219</v>
      </c>
      <c r="M15">
        <v>1.5146485027411329</v>
      </c>
    </row>
    <row r="16" spans="2:13" ht="15" thickBot="1" x14ac:dyDescent="0.4">
      <c r="B16" s="95">
        <v>44424</v>
      </c>
      <c r="C16" s="48">
        <v>905.90002400000003</v>
      </c>
      <c r="D16" s="15">
        <f t="shared" si="0"/>
        <v>4.752548169554327E-2</v>
      </c>
      <c r="F16" s="48">
        <v>16450.5</v>
      </c>
      <c r="G16" s="15">
        <f t="shared" si="1"/>
        <v>-4.7552262893499897E-3</v>
      </c>
      <c r="L16" s="96" t="s">
        <v>229</v>
      </c>
      <c r="M16" s="96">
        <v>105</v>
      </c>
    </row>
    <row r="17" spans="2:20" x14ac:dyDescent="0.35">
      <c r="B17" s="95">
        <v>44431</v>
      </c>
      <c r="C17" s="48">
        <v>897.79998799999998</v>
      </c>
      <c r="D17" s="15">
        <f t="shared" si="0"/>
        <v>-8.9414237613487657E-3</v>
      </c>
      <c r="F17" s="48">
        <v>16705.199218999998</v>
      </c>
      <c r="G17" s="15">
        <f t="shared" si="1"/>
        <v>1.5482764596820742E-2</v>
      </c>
    </row>
    <row r="18" spans="2:20" ht="15" thickBot="1" x14ac:dyDescent="0.4">
      <c r="B18" s="95">
        <v>44438</v>
      </c>
      <c r="C18" s="48">
        <v>915.65002400000003</v>
      </c>
      <c r="D18" s="15">
        <f t="shared" si="0"/>
        <v>1.9881973979264611E-2</v>
      </c>
      <c r="F18" s="48">
        <v>17323.599609000001</v>
      </c>
      <c r="G18" s="15">
        <f t="shared" si="1"/>
        <v>3.7018438504860862E-2</v>
      </c>
      <c r="L18" t="s">
        <v>228</v>
      </c>
    </row>
    <row r="19" spans="2:20" x14ac:dyDescent="0.35">
      <c r="B19" s="95">
        <v>44445</v>
      </c>
      <c r="C19" s="48">
        <v>938</v>
      </c>
      <c r="D19" s="15">
        <f t="shared" si="0"/>
        <v>2.4408863008996029E-2</v>
      </c>
      <c r="F19" s="48">
        <v>17369.25</v>
      </c>
      <c r="G19" s="15">
        <f t="shared" si="1"/>
        <v>2.6351562048503308E-3</v>
      </c>
      <c r="L19" s="97"/>
      <c r="M19" s="97" t="s">
        <v>227</v>
      </c>
      <c r="N19" s="97" t="s">
        <v>226</v>
      </c>
      <c r="O19" s="97" t="s">
        <v>225</v>
      </c>
      <c r="P19" s="97" t="s">
        <v>224</v>
      </c>
      <c r="Q19" s="97" t="s">
        <v>223</v>
      </c>
    </row>
    <row r="20" spans="2:20" x14ac:dyDescent="0.35">
      <c r="B20" s="95">
        <v>44452</v>
      </c>
      <c r="C20" s="48">
        <v>890.15002400000003</v>
      </c>
      <c r="D20" s="15">
        <f t="shared" si="0"/>
        <v>-5.1012767590618346E-2</v>
      </c>
      <c r="F20" s="48">
        <v>17585.150390999999</v>
      </c>
      <c r="G20" s="15">
        <f t="shared" si="1"/>
        <v>1.2430035321041366E-2</v>
      </c>
      <c r="L20" t="s">
        <v>222</v>
      </c>
      <c r="M20">
        <v>1</v>
      </c>
      <c r="N20">
        <v>1.5438320783403015E-2</v>
      </c>
      <c r="O20">
        <v>1.5438320783403015E-2</v>
      </c>
      <c r="P20">
        <v>6.7293999541943664E-3</v>
      </c>
      <c r="Q20">
        <v>0.93477973654697566</v>
      </c>
    </row>
    <row r="21" spans="2:20" x14ac:dyDescent="0.35">
      <c r="B21" s="95">
        <v>44459</v>
      </c>
      <c r="C21" s="48">
        <v>890.45001200000002</v>
      </c>
      <c r="D21" s="15">
        <f t="shared" si="0"/>
        <v>3.3700836028960346E-4</v>
      </c>
      <c r="F21" s="48">
        <v>17853.199218999998</v>
      </c>
      <c r="G21" s="15">
        <f t="shared" si="1"/>
        <v>1.5242907910368864E-2</v>
      </c>
      <c r="L21" t="s">
        <v>221</v>
      </c>
      <c r="M21">
        <v>103</v>
      </c>
      <c r="N21">
        <v>236.29848894616347</v>
      </c>
      <c r="O21">
        <v>2.294160086855956</v>
      </c>
    </row>
    <row r="22" spans="2:20" ht="15" thickBot="1" x14ac:dyDescent="0.4">
      <c r="B22" s="95">
        <v>44466</v>
      </c>
      <c r="C22" s="48">
        <v>910.45001200000002</v>
      </c>
      <c r="D22" s="15">
        <f t="shared" si="0"/>
        <v>2.2460553349961554E-2</v>
      </c>
      <c r="F22" s="48">
        <v>17532.050781000002</v>
      </c>
      <c r="G22" s="15">
        <f t="shared" si="1"/>
        <v>-1.7988285128091697E-2</v>
      </c>
      <c r="L22" s="96" t="s">
        <v>37</v>
      </c>
      <c r="M22" s="96">
        <v>104</v>
      </c>
      <c r="N22" s="96">
        <v>236.31392726694688</v>
      </c>
      <c r="O22" s="96"/>
      <c r="P22" s="96"/>
      <c r="Q22" s="96"/>
    </row>
    <row r="23" spans="2:20" ht="15" thickBot="1" x14ac:dyDescent="0.4">
      <c r="B23" s="95">
        <v>44473</v>
      </c>
      <c r="C23" s="48">
        <v>829.84997599999997</v>
      </c>
      <c r="D23" s="15">
        <f t="shared" si="0"/>
        <v>-8.852768953557888E-2</v>
      </c>
      <c r="F23" s="48">
        <v>17895.199218999998</v>
      </c>
      <c r="G23" s="15">
        <f t="shared" si="1"/>
        <v>2.0713403271313213E-2</v>
      </c>
    </row>
    <row r="24" spans="2:20" x14ac:dyDescent="0.35">
      <c r="B24" s="95">
        <v>44480</v>
      </c>
      <c r="C24" s="48">
        <v>833.40002400000003</v>
      </c>
      <c r="D24" s="15">
        <f t="shared" si="0"/>
        <v>4.277939510358042E-3</v>
      </c>
      <c r="F24" s="48">
        <v>18338.550781000002</v>
      </c>
      <c r="G24" s="15">
        <f t="shared" si="1"/>
        <v>2.4774888313580767E-2</v>
      </c>
      <c r="L24" s="97"/>
      <c r="M24" s="97" t="s">
        <v>220</v>
      </c>
      <c r="N24" s="97" t="s">
        <v>219</v>
      </c>
      <c r="O24" s="97" t="s">
        <v>218</v>
      </c>
      <c r="P24" s="97" t="s">
        <v>217</v>
      </c>
      <c r="Q24" s="97" t="s">
        <v>216</v>
      </c>
      <c r="R24" s="97" t="s">
        <v>215</v>
      </c>
      <c r="S24" s="97" t="s">
        <v>214</v>
      </c>
      <c r="T24" s="97" t="s">
        <v>213</v>
      </c>
    </row>
    <row r="25" spans="2:20" x14ac:dyDescent="0.35">
      <c r="B25" s="95">
        <v>44487</v>
      </c>
      <c r="C25" s="48">
        <v>820.25</v>
      </c>
      <c r="D25" s="15">
        <f t="shared" si="0"/>
        <v>-1.5778766044288073E-2</v>
      </c>
      <c r="F25" s="48">
        <v>18114.900390999999</v>
      </c>
      <c r="G25" s="15">
        <f t="shared" si="1"/>
        <v>-1.2195641447944716E-2</v>
      </c>
      <c r="L25" t="s">
        <v>212</v>
      </c>
      <c r="M25">
        <v>0.15261747781620824</v>
      </c>
      <c r="N25">
        <v>0.14853094829685032</v>
      </c>
      <c r="O25">
        <v>1.0275129834301648</v>
      </c>
      <c r="P25">
        <v>0.30658595017552215</v>
      </c>
      <c r="Q25">
        <v>-0.1419586263301357</v>
      </c>
      <c r="R25">
        <v>0.44719358196255221</v>
      </c>
      <c r="S25">
        <v>-0.1419586263301357</v>
      </c>
      <c r="T25">
        <v>0.44719358196255221</v>
      </c>
    </row>
    <row r="26" spans="2:20" ht="15" thickBot="1" x14ac:dyDescent="0.4">
      <c r="B26" s="95">
        <v>44494</v>
      </c>
      <c r="C26" s="48">
        <v>829.84997599999997</v>
      </c>
      <c r="D26" s="15">
        <f t="shared" si="0"/>
        <v>1.1703719597683682E-2</v>
      </c>
      <c r="F26" s="48">
        <v>17671.650390999999</v>
      </c>
      <c r="G26" s="15">
        <f t="shared" si="1"/>
        <v>-2.4468806917658736E-2</v>
      </c>
      <c r="L26" s="96" t="s">
        <v>211</v>
      </c>
      <c r="M26" s="96">
        <v>0.6179477163726298</v>
      </c>
      <c r="N26" s="96">
        <v>7.5329235727551804</v>
      </c>
      <c r="O26" s="96">
        <v>8.2032919941946836E-2</v>
      </c>
      <c r="P26" s="96">
        <v>0.93477973654693935</v>
      </c>
      <c r="Q26" s="96">
        <v>-14.321829510791513</v>
      </c>
      <c r="R26" s="96">
        <v>15.557724943536773</v>
      </c>
      <c r="S26" s="96">
        <v>-14.321829510791513</v>
      </c>
      <c r="T26" s="96">
        <v>15.557724943536773</v>
      </c>
    </row>
    <row r="27" spans="2:20" x14ac:dyDescent="0.35">
      <c r="B27" s="95">
        <v>44501</v>
      </c>
      <c r="C27" s="48">
        <v>829.15002400000003</v>
      </c>
      <c r="D27" s="15">
        <f t="shared" si="0"/>
        <v>-8.4346812103774926E-4</v>
      </c>
      <c r="F27" s="48">
        <v>17916.800781000002</v>
      </c>
      <c r="G27" s="15">
        <f t="shared" si="1"/>
        <v>1.3872523764099309E-2</v>
      </c>
    </row>
    <row r="28" spans="2:20" x14ac:dyDescent="0.35">
      <c r="B28" s="95">
        <v>44508</v>
      </c>
      <c r="C28" s="48">
        <v>819</v>
      </c>
      <c r="D28" s="15">
        <f t="shared" si="0"/>
        <v>-1.224148068046127E-2</v>
      </c>
      <c r="F28" s="48">
        <v>18102.75</v>
      </c>
      <c r="G28" s="15">
        <f t="shared" si="1"/>
        <v>1.0378483372834646E-2</v>
      </c>
    </row>
    <row r="29" spans="2:20" x14ac:dyDescent="0.35">
      <c r="B29" s="95">
        <v>44515</v>
      </c>
      <c r="C29" s="48">
        <v>838.90002400000003</v>
      </c>
      <c r="D29" s="15">
        <f t="shared" si="0"/>
        <v>2.4297953601953637E-2</v>
      </c>
      <c r="F29" s="48">
        <v>17764.800781000002</v>
      </c>
      <c r="G29" s="15">
        <f t="shared" si="1"/>
        <v>-1.8668391211279944E-2</v>
      </c>
    </row>
    <row r="30" spans="2:20" x14ac:dyDescent="0.35">
      <c r="B30" s="95">
        <v>44522</v>
      </c>
      <c r="C30" s="48">
        <v>859.34997599999997</v>
      </c>
      <c r="D30" s="15">
        <f t="shared" si="0"/>
        <v>2.4377102652222593E-2</v>
      </c>
      <c r="F30" s="48">
        <v>17026.449218999998</v>
      </c>
      <c r="G30" s="15">
        <f t="shared" si="1"/>
        <v>-4.1562614245001406E-2</v>
      </c>
    </row>
    <row r="31" spans="2:20" x14ac:dyDescent="0.35">
      <c r="B31" s="95">
        <v>44529</v>
      </c>
      <c r="C31" s="48">
        <v>881.65002400000003</v>
      </c>
      <c r="D31" s="15">
        <f t="shared" si="0"/>
        <v>2.5949902394597935E-2</v>
      </c>
      <c r="F31" s="48">
        <v>17196.699218999998</v>
      </c>
      <c r="G31" s="15">
        <f t="shared" si="1"/>
        <v>9.9991488424970854E-3</v>
      </c>
    </row>
    <row r="32" spans="2:20" x14ac:dyDescent="0.35">
      <c r="B32" s="95">
        <v>44536</v>
      </c>
      <c r="C32" s="48">
        <v>923.59997599999997</v>
      </c>
      <c r="D32" s="15">
        <f t="shared" si="0"/>
        <v>4.7581183982364328E-2</v>
      </c>
      <c r="F32" s="48">
        <v>17511.300781000002</v>
      </c>
      <c r="G32" s="15">
        <f t="shared" si="1"/>
        <v>1.8294299271828462E-2</v>
      </c>
    </row>
    <row r="33" spans="2:7" x14ac:dyDescent="0.35">
      <c r="B33" s="95">
        <v>44543</v>
      </c>
      <c r="C33" s="48">
        <v>896.79998799999998</v>
      </c>
      <c r="D33" s="15">
        <f t="shared" si="0"/>
        <v>-2.9016878190131101E-2</v>
      </c>
      <c r="F33" s="48">
        <v>16985.199218999998</v>
      </c>
      <c r="G33" s="15">
        <f t="shared" si="1"/>
        <v>-3.0043545512668635E-2</v>
      </c>
    </row>
    <row r="34" spans="2:7" x14ac:dyDescent="0.35">
      <c r="B34" s="95">
        <v>44550</v>
      </c>
      <c r="C34" s="48">
        <v>873.40002400000003</v>
      </c>
      <c r="D34" s="15">
        <f t="shared" si="0"/>
        <v>-2.6092734515067773E-2</v>
      </c>
      <c r="F34" s="48">
        <v>17003.75</v>
      </c>
      <c r="G34" s="15">
        <f t="shared" si="1"/>
        <v>1.0921732951623131E-3</v>
      </c>
    </row>
    <row r="35" spans="2:7" x14ac:dyDescent="0.35">
      <c r="B35" s="95">
        <v>44557</v>
      </c>
      <c r="C35" s="48">
        <v>874.04998799999998</v>
      </c>
      <c r="D35" s="15">
        <f t="shared" si="0"/>
        <v>7.4417675994919996E-4</v>
      </c>
      <c r="F35" s="48">
        <v>17354.050781000002</v>
      </c>
      <c r="G35" s="15">
        <f t="shared" si="1"/>
        <v>2.0601383871204915E-2</v>
      </c>
    </row>
    <row r="36" spans="2:7" x14ac:dyDescent="0.35">
      <c r="B36" s="95">
        <v>44564</v>
      </c>
      <c r="C36" s="48">
        <v>917.45001200000002</v>
      </c>
      <c r="D36" s="15">
        <f t="shared" si="0"/>
        <v>4.9653938099476269E-2</v>
      </c>
      <c r="F36" s="48">
        <v>17812.699218999998</v>
      </c>
      <c r="G36" s="15">
        <f t="shared" si="1"/>
        <v>2.6428898001275014E-2</v>
      </c>
    </row>
    <row r="37" spans="2:7" x14ac:dyDescent="0.35">
      <c r="B37" s="95">
        <v>44571</v>
      </c>
      <c r="C37" s="48">
        <v>917.20001200000002</v>
      </c>
      <c r="D37" s="15">
        <f t="shared" si="0"/>
        <v>-2.7249441030041677E-4</v>
      </c>
      <c r="F37" s="48">
        <v>18255.75</v>
      </c>
      <c r="G37" s="15">
        <f t="shared" si="1"/>
        <v>2.4872748119354027E-2</v>
      </c>
    </row>
    <row r="38" spans="2:7" x14ac:dyDescent="0.35">
      <c r="B38" s="95">
        <v>44578</v>
      </c>
      <c r="C38" s="48">
        <v>932.40002400000003</v>
      </c>
      <c r="D38" s="15">
        <f t="shared" si="0"/>
        <v>1.6572189054877562E-2</v>
      </c>
      <c r="F38" s="48">
        <v>17617.150390999999</v>
      </c>
      <c r="G38" s="15">
        <f t="shared" si="1"/>
        <v>-3.4980738068827621E-2</v>
      </c>
    </row>
    <row r="39" spans="2:7" x14ac:dyDescent="0.35">
      <c r="B39" s="95">
        <v>44585</v>
      </c>
      <c r="C39" s="48">
        <v>907.09997599999997</v>
      </c>
      <c r="D39" s="15">
        <f t="shared" si="0"/>
        <v>-2.7134327915890433E-2</v>
      </c>
      <c r="F39" s="48">
        <v>17101.949218999998</v>
      </c>
      <c r="G39" s="15">
        <f t="shared" si="1"/>
        <v>-2.9244296640800638E-2</v>
      </c>
    </row>
    <row r="40" spans="2:7" x14ac:dyDescent="0.35">
      <c r="B40" s="95">
        <v>44592</v>
      </c>
      <c r="C40" s="48">
        <v>935</v>
      </c>
      <c r="D40" s="15">
        <f t="shared" ref="D40:D71" si="2">C40/C39-1</f>
        <v>3.0757385887087763E-2</v>
      </c>
      <c r="F40" s="48">
        <v>17516.300781000002</v>
      </c>
      <c r="G40" s="15">
        <f t="shared" ref="G40:G71" si="3">F40/F39-1</f>
        <v>2.4228323724623468E-2</v>
      </c>
    </row>
    <row r="41" spans="2:7" x14ac:dyDescent="0.35">
      <c r="B41" s="95">
        <v>44599</v>
      </c>
      <c r="C41" s="48">
        <v>940.40002400000003</v>
      </c>
      <c r="D41" s="15">
        <f t="shared" si="2"/>
        <v>5.7754267379679369E-3</v>
      </c>
      <c r="F41" s="48">
        <v>17374.75</v>
      </c>
      <c r="G41" s="15">
        <f t="shared" si="3"/>
        <v>-8.0810887395552644E-3</v>
      </c>
    </row>
    <row r="42" spans="2:7" x14ac:dyDescent="0.35">
      <c r="B42" s="95">
        <v>44606</v>
      </c>
      <c r="C42" s="48">
        <v>942.09997599999997</v>
      </c>
      <c r="D42" s="15">
        <f t="shared" si="2"/>
        <v>1.8076902984001109E-3</v>
      </c>
      <c r="F42" s="48">
        <v>17276.300781000002</v>
      </c>
      <c r="G42" s="15">
        <f t="shared" si="3"/>
        <v>-5.66622362911684E-3</v>
      </c>
    </row>
    <row r="43" spans="2:7" x14ac:dyDescent="0.35">
      <c r="B43" s="95">
        <v>44613</v>
      </c>
      <c r="C43" s="48">
        <v>927.79998799999998</v>
      </c>
      <c r="D43" s="15">
        <f t="shared" si="2"/>
        <v>-1.5178843396977171E-2</v>
      </c>
      <c r="F43" s="48">
        <v>16658.400390999999</v>
      </c>
      <c r="G43" s="15">
        <f t="shared" si="3"/>
        <v>-3.5765780987070617E-2</v>
      </c>
    </row>
    <row r="44" spans="2:7" x14ac:dyDescent="0.35">
      <c r="B44" s="95">
        <v>44620</v>
      </c>
      <c r="C44" s="48">
        <v>925.75</v>
      </c>
      <c r="D44" s="15">
        <f t="shared" si="2"/>
        <v>-2.2095150102545702E-3</v>
      </c>
      <c r="F44" s="48">
        <v>16245.349609000001</v>
      </c>
      <c r="G44" s="15">
        <f t="shared" si="3"/>
        <v>-2.479534482933643E-2</v>
      </c>
    </row>
    <row r="45" spans="2:7" x14ac:dyDescent="0.35">
      <c r="B45" s="95">
        <v>44627</v>
      </c>
      <c r="C45" s="48">
        <v>916.34997599999997</v>
      </c>
      <c r="D45" s="15">
        <f t="shared" si="2"/>
        <v>-1.0153955171482654E-2</v>
      </c>
      <c r="F45" s="48">
        <v>16630.449218999998</v>
      </c>
      <c r="G45" s="15">
        <f t="shared" si="3"/>
        <v>2.3705221449137115E-2</v>
      </c>
    </row>
    <row r="46" spans="2:7" x14ac:dyDescent="0.35">
      <c r="B46" s="95">
        <v>44634</v>
      </c>
      <c r="C46" s="48">
        <v>947.45001200000002</v>
      </c>
      <c r="D46" s="15">
        <f t="shared" si="2"/>
        <v>3.3939037283283513E-2</v>
      </c>
      <c r="F46" s="48">
        <v>17287.050781000002</v>
      </c>
      <c r="G46" s="15">
        <f t="shared" si="3"/>
        <v>3.9481889716475482E-2</v>
      </c>
    </row>
    <row r="47" spans="2:7" x14ac:dyDescent="0.35">
      <c r="B47" s="95">
        <v>44641</v>
      </c>
      <c r="C47" s="48">
        <v>951.20001200000002</v>
      </c>
      <c r="D47" s="15">
        <f t="shared" si="2"/>
        <v>3.957992456070647E-3</v>
      </c>
      <c r="F47" s="48">
        <v>17153</v>
      </c>
      <c r="G47" s="15">
        <f t="shared" si="3"/>
        <v>-7.7544043051771538E-3</v>
      </c>
    </row>
    <row r="48" spans="2:7" x14ac:dyDescent="0.35">
      <c r="B48" s="95">
        <v>44648</v>
      </c>
      <c r="C48" s="48">
        <v>968.15002400000003</v>
      </c>
      <c r="D48" s="15">
        <f t="shared" si="2"/>
        <v>1.78196086902489E-2</v>
      </c>
      <c r="F48" s="48">
        <v>17670.449218999998</v>
      </c>
      <c r="G48" s="15">
        <f t="shared" si="3"/>
        <v>3.0166689150585846E-2</v>
      </c>
    </row>
    <row r="49" spans="2:7" x14ac:dyDescent="0.35">
      <c r="B49" s="95">
        <v>44655</v>
      </c>
      <c r="C49" s="48">
        <v>967.65002400000003</v>
      </c>
      <c r="D49" s="15">
        <f t="shared" si="2"/>
        <v>-5.1644888457902383E-4</v>
      </c>
      <c r="F49" s="48">
        <v>17784.349609000001</v>
      </c>
      <c r="G49" s="15">
        <f t="shared" si="3"/>
        <v>6.4458117950692007E-3</v>
      </c>
    </row>
    <row r="50" spans="2:7" x14ac:dyDescent="0.35">
      <c r="B50" s="95">
        <v>44662</v>
      </c>
      <c r="C50" s="48">
        <v>963.20001200000002</v>
      </c>
      <c r="D50" s="15">
        <f t="shared" si="2"/>
        <v>-4.5987825036213348E-3</v>
      </c>
      <c r="F50" s="48">
        <v>17475.650390999999</v>
      </c>
      <c r="G50" s="15">
        <f t="shared" si="3"/>
        <v>-1.7357914390289553E-2</v>
      </c>
    </row>
    <row r="51" spans="2:7" x14ac:dyDescent="0.35">
      <c r="B51" s="95">
        <v>44669</v>
      </c>
      <c r="C51" s="48">
        <v>987.15002400000003</v>
      </c>
      <c r="D51" s="15">
        <f t="shared" si="2"/>
        <v>2.4865045371282646E-2</v>
      </c>
      <c r="F51" s="48">
        <v>17171.949218999998</v>
      </c>
      <c r="G51" s="15">
        <f t="shared" si="3"/>
        <v>-1.7378533285170805E-2</v>
      </c>
    </row>
    <row r="52" spans="2:7" x14ac:dyDescent="0.35">
      <c r="B52" s="95">
        <v>44676</v>
      </c>
      <c r="C52" s="48">
        <v>907.5</v>
      </c>
      <c r="D52" s="15">
        <f t="shared" si="2"/>
        <v>-8.0686848061100824E-2</v>
      </c>
      <c r="F52" s="48">
        <v>17102.550781000002</v>
      </c>
      <c r="G52" s="15">
        <f t="shared" si="3"/>
        <v>-4.041383835634127E-3</v>
      </c>
    </row>
    <row r="53" spans="2:7" x14ac:dyDescent="0.35">
      <c r="B53" s="95">
        <v>44683</v>
      </c>
      <c r="C53" s="48">
        <v>936.65002400000003</v>
      </c>
      <c r="D53" s="15">
        <f t="shared" si="2"/>
        <v>3.212123856749316E-2</v>
      </c>
      <c r="F53" s="48">
        <v>16411.25</v>
      </c>
      <c r="G53" s="15">
        <f t="shared" si="3"/>
        <v>-4.0420916730619982E-2</v>
      </c>
    </row>
    <row r="54" spans="2:7" x14ac:dyDescent="0.35">
      <c r="B54" s="95">
        <v>44690</v>
      </c>
      <c r="C54" s="48">
        <v>999.20001200000002</v>
      </c>
      <c r="D54" s="15">
        <f t="shared" si="2"/>
        <v>6.6780533173829371E-2</v>
      </c>
      <c r="F54" s="48">
        <v>15782.150390999999</v>
      </c>
      <c r="G54" s="15">
        <f t="shared" si="3"/>
        <v>-3.8333436453652281E-2</v>
      </c>
    </row>
    <row r="55" spans="2:7" x14ac:dyDescent="0.35">
      <c r="B55" s="95">
        <v>44697</v>
      </c>
      <c r="C55" s="48">
        <v>1009.75</v>
      </c>
      <c r="D55" s="15">
        <f t="shared" si="2"/>
        <v>1.0558434620995483E-2</v>
      </c>
      <c r="F55" s="48">
        <v>16266.150390999999</v>
      </c>
      <c r="G55" s="15">
        <f t="shared" si="3"/>
        <v>3.0667557209187901E-2</v>
      </c>
    </row>
    <row r="56" spans="2:7" x14ac:dyDescent="0.35">
      <c r="B56" s="95">
        <v>44704</v>
      </c>
      <c r="C56" s="48">
        <v>1049.9499510000001</v>
      </c>
      <c r="D56" s="15">
        <f t="shared" si="2"/>
        <v>3.9811786085664824E-2</v>
      </c>
      <c r="F56" s="48">
        <v>16352.450194999999</v>
      </c>
      <c r="G56" s="15">
        <f t="shared" si="3"/>
        <v>5.3054842064996777E-3</v>
      </c>
    </row>
    <row r="57" spans="2:7" x14ac:dyDescent="0.35">
      <c r="B57" s="95">
        <v>44711</v>
      </c>
      <c r="C57" s="48">
        <v>1060.9499510000001</v>
      </c>
      <c r="D57" s="15">
        <f t="shared" si="2"/>
        <v>1.0476689855095866E-2</v>
      </c>
      <c r="F57" s="48">
        <v>16584.300781000002</v>
      </c>
      <c r="G57" s="15">
        <f t="shared" si="3"/>
        <v>1.4178339223494207E-2</v>
      </c>
    </row>
    <row r="58" spans="2:7" x14ac:dyDescent="0.35">
      <c r="B58" s="95">
        <v>44718</v>
      </c>
      <c r="C58" s="48">
        <v>1035.349976</v>
      </c>
      <c r="D58" s="15">
        <f t="shared" si="2"/>
        <v>-2.412929561462418E-2</v>
      </c>
      <c r="F58" s="48">
        <v>16201.799805000001</v>
      </c>
      <c r="G58" s="15">
        <f t="shared" si="3"/>
        <v>-2.3064039964724836E-2</v>
      </c>
    </row>
    <row r="59" spans="2:7" x14ac:dyDescent="0.35">
      <c r="B59" s="95">
        <v>44725</v>
      </c>
      <c r="C59" s="48">
        <v>1070</v>
      </c>
      <c r="D59" s="15">
        <f t="shared" si="2"/>
        <v>3.3466967502011169E-2</v>
      </c>
      <c r="F59" s="48">
        <v>15293.5</v>
      </c>
      <c r="G59" s="15">
        <f t="shared" si="3"/>
        <v>-5.606166079892505E-2</v>
      </c>
    </row>
    <row r="60" spans="2:7" x14ac:dyDescent="0.35">
      <c r="B60" s="95">
        <v>44732</v>
      </c>
      <c r="C60" s="48">
        <v>1070</v>
      </c>
      <c r="D60" s="15">
        <f t="shared" si="2"/>
        <v>0</v>
      </c>
      <c r="F60" s="48">
        <v>15699.25</v>
      </c>
      <c r="G60" s="15">
        <f t="shared" si="3"/>
        <v>2.6530879131657192E-2</v>
      </c>
    </row>
    <row r="61" spans="2:7" x14ac:dyDescent="0.35">
      <c r="B61" s="95">
        <v>44739</v>
      </c>
      <c r="C61" s="48">
        <v>17601.634765999999</v>
      </c>
      <c r="D61" s="15">
        <f t="shared" si="2"/>
        <v>15.450125949532708</v>
      </c>
      <c r="F61" s="48">
        <v>15752.049805000001</v>
      </c>
      <c r="G61" s="15">
        <f t="shared" si="3"/>
        <v>3.3632055671448668E-3</v>
      </c>
    </row>
    <row r="62" spans="2:7" x14ac:dyDescent="0.35">
      <c r="B62" s="95">
        <v>44746</v>
      </c>
      <c r="C62" s="48">
        <v>18218.951172000001</v>
      </c>
      <c r="D62" s="15">
        <f t="shared" si="2"/>
        <v>3.5071538195556418E-2</v>
      </c>
      <c r="F62" s="48">
        <v>16220.599609000001</v>
      </c>
      <c r="G62" s="15">
        <f t="shared" si="3"/>
        <v>2.9745322659611828E-2</v>
      </c>
    </row>
    <row r="63" spans="2:7" x14ac:dyDescent="0.35">
      <c r="B63" s="95">
        <v>44753</v>
      </c>
      <c r="C63" s="48">
        <v>18567.470702999999</v>
      </c>
      <c r="D63" s="15">
        <f t="shared" si="2"/>
        <v>1.9129505738816777E-2</v>
      </c>
      <c r="F63" s="48">
        <v>16049.200194999999</v>
      </c>
      <c r="G63" s="15">
        <f t="shared" si="3"/>
        <v>-1.0566774233481513E-2</v>
      </c>
    </row>
    <row r="64" spans="2:7" x14ac:dyDescent="0.35">
      <c r="B64" s="95">
        <v>44760</v>
      </c>
      <c r="C64" s="48">
        <v>18782.556640999999</v>
      </c>
      <c r="D64" s="15">
        <f t="shared" si="2"/>
        <v>1.1584019247449229E-2</v>
      </c>
      <c r="F64" s="48">
        <v>16719.449218999998</v>
      </c>
      <c r="G64" s="15">
        <f t="shared" si="3"/>
        <v>4.1762144895470144E-2</v>
      </c>
    </row>
    <row r="65" spans="2:7" x14ac:dyDescent="0.35">
      <c r="B65" s="95">
        <v>44767</v>
      </c>
      <c r="C65" s="48">
        <v>19148.681640999999</v>
      </c>
      <c r="D65" s="15">
        <f t="shared" si="2"/>
        <v>1.9492820226656216E-2</v>
      </c>
      <c r="F65" s="48">
        <v>17158.25</v>
      </c>
      <c r="G65" s="15">
        <f t="shared" si="3"/>
        <v>2.6244930395275645E-2</v>
      </c>
    </row>
    <row r="66" spans="2:7" x14ac:dyDescent="0.35">
      <c r="B66" s="95">
        <v>44774</v>
      </c>
      <c r="C66" s="48">
        <v>19704.970702999999</v>
      </c>
      <c r="D66" s="15">
        <f t="shared" si="2"/>
        <v>2.9051037164297799E-2</v>
      </c>
      <c r="F66" s="48">
        <v>17397.5</v>
      </c>
      <c r="G66" s="15">
        <f t="shared" si="3"/>
        <v>1.3943729692713402E-2</v>
      </c>
    </row>
    <row r="67" spans="2:7" x14ac:dyDescent="0.35">
      <c r="B67" s="95">
        <v>44781</v>
      </c>
      <c r="C67" s="48">
        <v>19330.832031000002</v>
      </c>
      <c r="D67" s="15">
        <f t="shared" si="2"/>
        <v>-1.8987019957509288E-2</v>
      </c>
      <c r="F67" s="48">
        <v>17698.150390999999</v>
      </c>
      <c r="G67" s="15">
        <f t="shared" si="3"/>
        <v>1.7281241040379314E-2</v>
      </c>
    </row>
    <row r="68" spans="2:7" x14ac:dyDescent="0.35">
      <c r="B68" s="95">
        <v>44788</v>
      </c>
      <c r="C68" s="48">
        <v>19229.595702999999</v>
      </c>
      <c r="D68" s="15">
        <f t="shared" si="2"/>
        <v>-5.2370393492454648E-3</v>
      </c>
      <c r="F68" s="48">
        <v>17758.449218999998</v>
      </c>
      <c r="G68" s="15">
        <f t="shared" si="3"/>
        <v>3.4070694771959342E-3</v>
      </c>
    </row>
    <row r="69" spans="2:7" x14ac:dyDescent="0.35">
      <c r="B69" s="95">
        <v>44795</v>
      </c>
      <c r="C69" s="48">
        <v>19315.845702999999</v>
      </c>
      <c r="D69" s="15">
        <f t="shared" si="2"/>
        <v>4.4852737068488135E-3</v>
      </c>
      <c r="F69" s="48">
        <v>17558.900390999999</v>
      </c>
      <c r="G69" s="15">
        <f t="shared" si="3"/>
        <v>-1.1236838619134604E-2</v>
      </c>
    </row>
    <row r="70" spans="2:7" x14ac:dyDescent="0.35">
      <c r="B70" s="95">
        <v>44802</v>
      </c>
      <c r="C70" s="48">
        <v>19349.181640999999</v>
      </c>
      <c r="D70" s="15">
        <f t="shared" si="2"/>
        <v>1.7258337280474656E-3</v>
      </c>
      <c r="F70" s="48">
        <v>17539.449218999998</v>
      </c>
      <c r="G70" s="15">
        <f t="shared" si="3"/>
        <v>-1.1077670905844661E-3</v>
      </c>
    </row>
    <row r="71" spans="2:7" x14ac:dyDescent="0.35">
      <c r="B71" s="95">
        <v>44809</v>
      </c>
      <c r="C71" s="48">
        <v>18844.179688</v>
      </c>
      <c r="D71" s="15">
        <f t="shared" si="2"/>
        <v>-2.6099395952225879E-2</v>
      </c>
      <c r="F71" s="48">
        <v>17833.349609000001</v>
      </c>
      <c r="G71" s="15">
        <f t="shared" si="3"/>
        <v>1.6756534730955508E-2</v>
      </c>
    </row>
    <row r="72" spans="2:7" x14ac:dyDescent="0.35">
      <c r="B72" s="95">
        <v>44816</v>
      </c>
      <c r="C72" s="48">
        <v>18204.162109000001</v>
      </c>
      <c r="D72" s="15">
        <f t="shared" ref="D72:D103" si="4">C72/C71-1</f>
        <v>-3.396367417402435E-2</v>
      </c>
      <c r="F72" s="48">
        <v>17530.849609000001</v>
      </c>
      <c r="G72" s="15">
        <f t="shared" ref="G72:G103" si="5">F72/F71-1</f>
        <v>-1.6962601341440453E-2</v>
      </c>
    </row>
    <row r="73" spans="2:7" x14ac:dyDescent="0.35">
      <c r="B73" s="95">
        <v>44823</v>
      </c>
      <c r="C73" s="48">
        <v>18294.865234000001</v>
      </c>
      <c r="D73" s="15">
        <f t="shared" si="4"/>
        <v>4.982548741156112E-3</v>
      </c>
      <c r="F73" s="48">
        <v>17327.349609000001</v>
      </c>
      <c r="G73" s="15">
        <f t="shared" si="5"/>
        <v>-1.1608108251383698E-2</v>
      </c>
    </row>
    <row r="74" spans="2:7" x14ac:dyDescent="0.35">
      <c r="B74" s="95">
        <v>44830</v>
      </c>
      <c r="C74" s="48">
        <v>18936.712890999999</v>
      </c>
      <c r="D74" s="15">
        <f t="shared" si="4"/>
        <v>3.5083486475055325E-2</v>
      </c>
      <c r="F74" s="48">
        <v>17094.349609000001</v>
      </c>
      <c r="G74" s="15">
        <f t="shared" si="5"/>
        <v>-1.3446949779265527E-2</v>
      </c>
    </row>
    <row r="75" spans="2:7" x14ac:dyDescent="0.35">
      <c r="B75" s="95">
        <v>44837</v>
      </c>
      <c r="C75" s="48">
        <v>19110.998047000001</v>
      </c>
      <c r="D75" s="15">
        <f t="shared" si="4"/>
        <v>9.2035590866899053E-3</v>
      </c>
      <c r="F75" s="48">
        <v>17314.650390999999</v>
      </c>
      <c r="G75" s="15">
        <f t="shared" si="5"/>
        <v>1.2887345060733635E-2</v>
      </c>
    </row>
    <row r="76" spans="2:7" x14ac:dyDescent="0.35">
      <c r="B76" s="95">
        <v>44844</v>
      </c>
      <c r="C76" s="48">
        <v>18722.269531000002</v>
      </c>
      <c r="D76" s="15">
        <f t="shared" si="4"/>
        <v>-2.034056594239575E-2</v>
      </c>
      <c r="F76" s="48">
        <v>17185.699218999998</v>
      </c>
      <c r="G76" s="15">
        <f t="shared" si="5"/>
        <v>-7.4475180894804094E-3</v>
      </c>
    </row>
    <row r="77" spans="2:7" x14ac:dyDescent="0.35">
      <c r="B77" s="95">
        <v>44851</v>
      </c>
      <c r="C77" s="48">
        <v>20074.361327999999</v>
      </c>
      <c r="D77" s="15">
        <f t="shared" si="4"/>
        <v>7.2218370468453585E-2</v>
      </c>
      <c r="F77" s="48">
        <v>17576.300781000002</v>
      </c>
      <c r="G77" s="15">
        <f t="shared" si="5"/>
        <v>2.2728290366455628E-2</v>
      </c>
    </row>
    <row r="78" spans="2:7" x14ac:dyDescent="0.35">
      <c r="B78" s="95">
        <v>44858</v>
      </c>
      <c r="C78" s="48">
        <v>20061.996093999998</v>
      </c>
      <c r="D78" s="15">
        <f t="shared" si="4"/>
        <v>-6.1597147714753664E-4</v>
      </c>
      <c r="F78" s="48">
        <v>17786.800781000002</v>
      </c>
      <c r="G78" s="15">
        <f t="shared" si="5"/>
        <v>1.197635399068453E-2</v>
      </c>
    </row>
    <row r="79" spans="2:7" x14ac:dyDescent="0.35">
      <c r="B79" s="95">
        <v>44865</v>
      </c>
      <c r="C79" s="48">
        <v>20203.296875</v>
      </c>
      <c r="D79" s="15">
        <f t="shared" si="4"/>
        <v>7.0432064854335508E-3</v>
      </c>
      <c r="F79" s="48">
        <v>18117.150390999999</v>
      </c>
      <c r="G79" s="15">
        <f t="shared" si="5"/>
        <v>1.8572739081492262E-2</v>
      </c>
    </row>
    <row r="80" spans="2:7" x14ac:dyDescent="0.35">
      <c r="B80" s="95">
        <v>44872</v>
      </c>
      <c r="C80" s="48">
        <v>20221.25</v>
      </c>
      <c r="D80" s="15">
        <f t="shared" si="4"/>
        <v>8.8862353065821686E-4</v>
      </c>
      <c r="F80" s="48">
        <v>18349.699218999998</v>
      </c>
      <c r="G80" s="15">
        <f t="shared" si="5"/>
        <v>1.2835839134808014E-2</v>
      </c>
    </row>
    <row r="81" spans="2:7" x14ac:dyDescent="0.35">
      <c r="B81" s="95">
        <v>44879</v>
      </c>
      <c r="C81" s="48">
        <v>19825.830077999999</v>
      </c>
      <c r="D81" s="15">
        <f t="shared" si="4"/>
        <v>-1.9554672535080697E-2</v>
      </c>
      <c r="F81" s="48">
        <v>18307.650390999999</v>
      </c>
      <c r="G81" s="15">
        <f t="shared" si="5"/>
        <v>-2.2915268254892762E-3</v>
      </c>
    </row>
    <row r="82" spans="2:7" x14ac:dyDescent="0.35">
      <c r="B82" s="95">
        <v>44886</v>
      </c>
      <c r="C82" s="48">
        <v>19432.050781000002</v>
      </c>
      <c r="D82" s="15">
        <f t="shared" si="4"/>
        <v>-1.9861932410939032E-2</v>
      </c>
      <c r="F82" s="48">
        <v>18512.75</v>
      </c>
      <c r="G82" s="15">
        <f t="shared" si="5"/>
        <v>1.1202945469224623E-2</v>
      </c>
    </row>
    <row r="83" spans="2:7" x14ac:dyDescent="0.35">
      <c r="B83" s="95">
        <v>44893</v>
      </c>
      <c r="C83" s="48">
        <v>19652.794922000001</v>
      </c>
      <c r="D83" s="15">
        <f t="shared" si="4"/>
        <v>1.1359796425389979E-2</v>
      </c>
      <c r="F83" s="48">
        <v>18696.099609000001</v>
      </c>
      <c r="G83" s="15">
        <f t="shared" si="5"/>
        <v>9.9039639707769744E-3</v>
      </c>
    </row>
    <row r="84" spans="2:7" x14ac:dyDescent="0.35">
      <c r="B84" s="95">
        <v>44900</v>
      </c>
      <c r="C84" s="48">
        <v>20140.902343999998</v>
      </c>
      <c r="D84" s="15">
        <f t="shared" si="4"/>
        <v>2.4836539735811014E-2</v>
      </c>
      <c r="F84" s="48">
        <v>18496.599609000001</v>
      </c>
      <c r="G84" s="15">
        <f t="shared" si="5"/>
        <v>-1.0670674855838058E-2</v>
      </c>
    </row>
    <row r="85" spans="2:7" x14ac:dyDescent="0.35">
      <c r="B85" s="95">
        <v>44907</v>
      </c>
      <c r="C85" s="48">
        <v>19640.357422000001</v>
      </c>
      <c r="D85" s="15">
        <f t="shared" si="4"/>
        <v>-2.4852159722084655E-2</v>
      </c>
      <c r="F85" s="48">
        <v>18269</v>
      </c>
      <c r="G85" s="15">
        <f t="shared" si="5"/>
        <v>-1.2304943276668867E-2</v>
      </c>
    </row>
    <row r="86" spans="2:7" x14ac:dyDescent="0.35">
      <c r="B86" s="95">
        <v>44914</v>
      </c>
      <c r="C86" s="48">
        <v>20032.445313</v>
      </c>
      <c r="D86" s="15">
        <f t="shared" si="4"/>
        <v>1.9963378597214643E-2</v>
      </c>
      <c r="F86" s="48">
        <v>17806.800781000002</v>
      </c>
      <c r="G86" s="15">
        <f t="shared" si="5"/>
        <v>-2.529964524604511E-2</v>
      </c>
    </row>
    <row r="87" spans="2:7" x14ac:dyDescent="0.35">
      <c r="B87" s="95">
        <v>44921</v>
      </c>
      <c r="C87" s="48">
        <v>19508.320313</v>
      </c>
      <c r="D87" s="15">
        <f t="shared" si="4"/>
        <v>-2.6163805357295566E-2</v>
      </c>
      <c r="F87" s="48">
        <v>18105.300781000002</v>
      </c>
      <c r="G87" s="15">
        <f t="shared" si="5"/>
        <v>1.6763258244484991E-2</v>
      </c>
    </row>
    <row r="88" spans="2:7" x14ac:dyDescent="0.35">
      <c r="B88" s="95">
        <v>44928</v>
      </c>
      <c r="C88" s="48">
        <v>19786.177734000001</v>
      </c>
      <c r="D88" s="15">
        <f t="shared" si="4"/>
        <v>1.4243021261796773E-2</v>
      </c>
      <c r="F88" s="48">
        <v>17859.449218999998</v>
      </c>
      <c r="G88" s="15">
        <f t="shared" si="5"/>
        <v>-1.3578982474458767E-2</v>
      </c>
    </row>
    <row r="89" spans="2:7" x14ac:dyDescent="0.35">
      <c r="B89" s="95">
        <v>44935</v>
      </c>
      <c r="C89" s="48">
        <v>19685.78125</v>
      </c>
      <c r="D89" s="15">
        <f t="shared" si="4"/>
        <v>-5.0740716751715986E-3</v>
      </c>
      <c r="F89" s="48">
        <v>17956.599609000001</v>
      </c>
      <c r="G89" s="15">
        <f t="shared" si="5"/>
        <v>5.4397192661825855E-3</v>
      </c>
    </row>
    <row r="90" spans="2:7" x14ac:dyDescent="0.35">
      <c r="B90" s="95">
        <v>44942</v>
      </c>
      <c r="C90" s="48">
        <v>19104.392577999999</v>
      </c>
      <c r="D90" s="15">
        <f t="shared" si="4"/>
        <v>-2.9533431496400531E-2</v>
      </c>
      <c r="F90" s="48">
        <v>18027.650390999999</v>
      </c>
      <c r="G90" s="15">
        <f t="shared" si="5"/>
        <v>3.9568060516528281E-3</v>
      </c>
    </row>
    <row r="91" spans="2:7" x14ac:dyDescent="0.35">
      <c r="B91" s="95">
        <v>44949</v>
      </c>
      <c r="C91" s="48">
        <v>19120.611327999999</v>
      </c>
      <c r="D91" s="15">
        <f t="shared" si="4"/>
        <v>8.4895397400264194E-4</v>
      </c>
      <c r="F91" s="48">
        <v>17604.349609000001</v>
      </c>
      <c r="G91" s="15">
        <f t="shared" si="5"/>
        <v>-2.3480640727941093E-2</v>
      </c>
    </row>
    <row r="92" spans="2:7" x14ac:dyDescent="0.35">
      <c r="B92" s="95">
        <v>44956</v>
      </c>
      <c r="C92" s="48">
        <v>18909.617188</v>
      </c>
      <c r="D92" s="15">
        <f t="shared" si="4"/>
        <v>-1.103490554671871E-2</v>
      </c>
      <c r="F92" s="48">
        <v>17854.050781000002</v>
      </c>
      <c r="G92" s="15">
        <f t="shared" si="5"/>
        <v>1.4184061186352848E-2</v>
      </c>
    </row>
    <row r="93" spans="2:7" x14ac:dyDescent="0.35">
      <c r="B93" s="95">
        <v>44963</v>
      </c>
      <c r="C93" s="48">
        <v>18929.070313</v>
      </c>
      <c r="D93" s="15">
        <f t="shared" si="4"/>
        <v>1.0287424016359736E-3</v>
      </c>
      <c r="F93" s="48">
        <v>17856.5</v>
      </c>
      <c r="G93" s="15">
        <f t="shared" si="5"/>
        <v>1.371800175793414E-4</v>
      </c>
    </row>
    <row r="94" spans="2:7" x14ac:dyDescent="0.35">
      <c r="B94" s="95">
        <v>44970</v>
      </c>
      <c r="C94" s="48">
        <v>18926.533202999999</v>
      </c>
      <c r="D94" s="15">
        <f t="shared" si="4"/>
        <v>-1.3403246741905406E-4</v>
      </c>
      <c r="F94" s="48">
        <v>17944.199218999998</v>
      </c>
      <c r="G94" s="15">
        <f t="shared" si="5"/>
        <v>4.9113330719905424E-3</v>
      </c>
    </row>
    <row r="95" spans="2:7" x14ac:dyDescent="0.35">
      <c r="B95" s="95">
        <v>44977</v>
      </c>
      <c r="C95" s="48">
        <v>18587.828125</v>
      </c>
      <c r="D95" s="15">
        <f t="shared" si="4"/>
        <v>-1.7895780192133226E-2</v>
      </c>
      <c r="F95" s="48">
        <v>17465.800781000002</v>
      </c>
      <c r="G95" s="15">
        <f t="shared" si="5"/>
        <v>-2.6660339208308015E-2</v>
      </c>
    </row>
    <row r="96" spans="2:7" x14ac:dyDescent="0.35">
      <c r="B96" s="95">
        <v>44984</v>
      </c>
      <c r="C96" s="48">
        <v>18357.980468999998</v>
      </c>
      <c r="D96" s="15">
        <f t="shared" si="4"/>
        <v>-1.2365492862012495E-2</v>
      </c>
      <c r="F96" s="48">
        <v>17594.349609000001</v>
      </c>
      <c r="G96" s="15">
        <f t="shared" si="5"/>
        <v>7.3600305884538031E-3</v>
      </c>
    </row>
    <row r="97" spans="2:7" x14ac:dyDescent="0.35">
      <c r="B97" s="95">
        <v>44991</v>
      </c>
      <c r="C97" s="48">
        <v>18393.650390999999</v>
      </c>
      <c r="D97" s="15">
        <f t="shared" si="4"/>
        <v>1.9430199340408905E-3</v>
      </c>
      <c r="F97" s="48">
        <v>17412.900390999999</v>
      </c>
      <c r="G97" s="15">
        <f t="shared" si="5"/>
        <v>-1.0312925571695164E-2</v>
      </c>
    </row>
    <row r="98" spans="2:7" x14ac:dyDescent="0.35">
      <c r="B98" s="95">
        <v>44998</v>
      </c>
      <c r="C98" s="48">
        <v>18764.195313</v>
      </c>
      <c r="D98" s="15">
        <f t="shared" si="4"/>
        <v>2.0145262855561841E-2</v>
      </c>
      <c r="F98" s="48">
        <v>17100.050781000002</v>
      </c>
      <c r="G98" s="15">
        <f t="shared" si="5"/>
        <v>-1.7966542217268788E-2</v>
      </c>
    </row>
    <row r="99" spans="2:7" x14ac:dyDescent="0.35">
      <c r="B99" s="95">
        <v>45005</v>
      </c>
      <c r="C99" s="48">
        <v>18858.671875</v>
      </c>
      <c r="D99" s="15">
        <f t="shared" si="4"/>
        <v>5.0349381054750619E-3</v>
      </c>
      <c r="F99" s="48">
        <v>16945.050781000002</v>
      </c>
      <c r="G99" s="15">
        <f t="shared" si="5"/>
        <v>-9.0643005675878907E-3</v>
      </c>
    </row>
    <row r="100" spans="2:7" x14ac:dyDescent="0.35">
      <c r="B100" s="95">
        <v>45012</v>
      </c>
      <c r="C100" s="48">
        <v>19606.328125</v>
      </c>
      <c r="D100" s="15">
        <f t="shared" si="4"/>
        <v>3.9645222895634102E-2</v>
      </c>
      <c r="F100" s="48">
        <v>17359.75</v>
      </c>
      <c r="G100" s="15">
        <f t="shared" si="5"/>
        <v>2.4473176525678486E-2</v>
      </c>
    </row>
    <row r="101" spans="2:7" x14ac:dyDescent="0.35">
      <c r="B101" s="95">
        <v>45019</v>
      </c>
      <c r="C101" s="48">
        <v>19610.060547000001</v>
      </c>
      <c r="D101" s="15">
        <f t="shared" si="4"/>
        <v>1.9036823092033472E-4</v>
      </c>
      <c r="F101" s="48">
        <v>17599.150390999999</v>
      </c>
      <c r="G101" s="15">
        <f t="shared" si="5"/>
        <v>1.3790543700226143E-2</v>
      </c>
    </row>
    <row r="102" spans="2:7" x14ac:dyDescent="0.35">
      <c r="B102" s="95">
        <v>45026</v>
      </c>
      <c r="C102" s="48">
        <v>19368.369140999999</v>
      </c>
      <c r="D102" s="15">
        <f t="shared" si="4"/>
        <v>-1.2324867912607007E-2</v>
      </c>
      <c r="F102" s="48">
        <v>17828</v>
      </c>
      <c r="G102" s="15">
        <f t="shared" si="5"/>
        <v>1.3003446411653519E-2</v>
      </c>
    </row>
    <row r="103" spans="2:7" x14ac:dyDescent="0.35">
      <c r="B103" s="95">
        <v>45033</v>
      </c>
      <c r="C103" s="48">
        <v>20394.730468999998</v>
      </c>
      <c r="D103" s="15">
        <f t="shared" si="4"/>
        <v>5.2991623637910878E-2</v>
      </c>
      <c r="F103" s="48">
        <v>17624.050781000002</v>
      </c>
      <c r="G103" s="15">
        <f t="shared" si="5"/>
        <v>-1.1439826060130054E-2</v>
      </c>
    </row>
    <row r="104" spans="2:7" x14ac:dyDescent="0.35">
      <c r="B104" s="95">
        <v>45040</v>
      </c>
      <c r="C104" s="48">
        <v>21761.400390999999</v>
      </c>
      <c r="D104" s="15">
        <f t="shared" ref="D104:D112" si="6">C104/C103-1</f>
        <v>6.7010933244611381E-2</v>
      </c>
      <c r="F104" s="48">
        <v>18065</v>
      </c>
      <c r="G104" s="15">
        <f t="shared" ref="G104:G112" si="7">F104/F103-1</f>
        <v>2.5019742877464557E-2</v>
      </c>
    </row>
    <row r="105" spans="2:7" x14ac:dyDescent="0.35">
      <c r="B105" s="95">
        <v>45047</v>
      </c>
      <c r="C105" s="48">
        <v>22019.849609000001</v>
      </c>
      <c r="D105" s="15">
        <f t="shared" si="6"/>
        <v>1.1876497530319385E-2</v>
      </c>
      <c r="F105" s="48">
        <v>18069</v>
      </c>
      <c r="G105" s="15">
        <f t="shared" si="7"/>
        <v>2.2142264046509652E-4</v>
      </c>
    </row>
    <row r="106" spans="2:7" x14ac:dyDescent="0.35">
      <c r="B106" s="95">
        <v>45054</v>
      </c>
      <c r="C106" s="48">
        <v>21794.150390999999</v>
      </c>
      <c r="D106" s="15">
        <f t="shared" si="6"/>
        <v>-1.0249807424104862E-2</v>
      </c>
      <c r="F106" s="48">
        <v>18314.800781000002</v>
      </c>
      <c r="G106" s="15">
        <f t="shared" si="7"/>
        <v>1.3603452376999448E-2</v>
      </c>
    </row>
    <row r="107" spans="2:7" x14ac:dyDescent="0.35">
      <c r="B107" s="95">
        <v>45061</v>
      </c>
      <c r="C107" s="48">
        <v>21690.150390999999</v>
      </c>
      <c r="D107" s="15">
        <f t="shared" si="6"/>
        <v>-4.7719226551243832E-3</v>
      </c>
      <c r="F107" s="48">
        <v>18203.400390999999</v>
      </c>
      <c r="G107" s="15">
        <f t="shared" si="7"/>
        <v>-6.0825335384249168E-3</v>
      </c>
    </row>
    <row r="108" spans="2:7" x14ac:dyDescent="0.35">
      <c r="B108" s="95">
        <v>45068</v>
      </c>
      <c r="C108" s="48">
        <v>21581.75</v>
      </c>
      <c r="D108" s="15">
        <f t="shared" si="6"/>
        <v>-4.9976781647848023E-3</v>
      </c>
      <c r="F108" s="48">
        <v>18499.349609000001</v>
      </c>
      <c r="G108" s="15">
        <f t="shared" si="7"/>
        <v>1.6257908502980811E-2</v>
      </c>
    </row>
    <row r="109" spans="2:7" x14ac:dyDescent="0.35">
      <c r="B109" s="95">
        <v>45075</v>
      </c>
      <c r="C109" s="48">
        <v>22046.449218999998</v>
      </c>
      <c r="D109" s="15">
        <f t="shared" si="6"/>
        <v>2.1532045316065673E-2</v>
      </c>
      <c r="F109" s="48">
        <v>18534.099609000001</v>
      </c>
      <c r="G109" s="15">
        <f t="shared" si="7"/>
        <v>1.8784444174779757E-3</v>
      </c>
    </row>
    <row r="110" spans="2:7" x14ac:dyDescent="0.35">
      <c r="B110" s="95">
        <v>45082</v>
      </c>
      <c r="C110" s="48">
        <v>22073.449218999998</v>
      </c>
      <c r="D110" s="15">
        <f t="shared" si="6"/>
        <v>1.2246870111278785E-3</v>
      </c>
      <c r="F110" s="48">
        <v>18563.400390999999</v>
      </c>
      <c r="G110" s="15">
        <f t="shared" si="7"/>
        <v>1.5809120819534339E-3</v>
      </c>
    </row>
    <row r="111" spans="2:7" x14ac:dyDescent="0.35">
      <c r="B111" s="95">
        <v>45089</v>
      </c>
      <c r="C111" s="48">
        <v>22968.550781000002</v>
      </c>
      <c r="D111" s="15">
        <f t="shared" si="6"/>
        <v>4.0551050862931426E-2</v>
      </c>
      <c r="F111" s="48">
        <v>18826</v>
      </c>
      <c r="G111" s="15">
        <f t="shared" si="7"/>
        <v>1.4146094113625551E-2</v>
      </c>
    </row>
    <row r="112" spans="2:7" x14ac:dyDescent="0.35">
      <c r="B112" s="95">
        <v>45093</v>
      </c>
      <c r="C112" s="48">
        <v>22968.550781000002</v>
      </c>
      <c r="D112" s="15">
        <f t="shared" si="6"/>
        <v>0</v>
      </c>
      <c r="F112" s="48">
        <v>18826</v>
      </c>
      <c r="G112" s="15">
        <f t="shared" si="7"/>
        <v>0</v>
      </c>
    </row>
  </sheetData>
  <mergeCells count="3">
    <mergeCell ref="B4:D4"/>
    <mergeCell ref="F4:G4"/>
    <mergeCell ref="I4:J4"/>
  </mergeCells>
  <pageMargins left="0.25" right="0.25" top="0.75" bottom="0.75" header="0.3" footer="0.3"/>
  <pageSetup paperSize="9" scale="4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3764-160A-4679-A684-83FA6860B871}">
  <sheetPr>
    <pageSetUpPr fitToPage="1"/>
  </sheetPr>
  <dimension ref="B2:T111"/>
  <sheetViews>
    <sheetView showGridLines="0" workbookViewId="0">
      <selection activeCell="M4" sqref="M4"/>
    </sheetView>
  </sheetViews>
  <sheetFormatPr defaultRowHeight="14.5" x14ac:dyDescent="0.35"/>
  <cols>
    <col min="1" max="1" width="2.1796875" customWidth="1"/>
    <col min="2" max="2" width="12.6328125" customWidth="1"/>
    <col min="3" max="3" width="11.81640625" bestFit="1" customWidth="1"/>
    <col min="4" max="4" width="15.54296875" bestFit="1" customWidth="1"/>
    <col min="9" max="9" width="17.54296875" bestFit="1" customWidth="1"/>
    <col min="12" max="12" width="17.26953125" bestFit="1" customWidth="1"/>
    <col min="13" max="13" width="11.81640625" bestFit="1" customWidth="1"/>
    <col min="14" max="14" width="13.54296875" bestFit="1" customWidth="1"/>
    <col min="15" max="15" width="11.81640625" bestFit="1" customWidth="1"/>
  </cols>
  <sheetData>
    <row r="2" spans="2:13" x14ac:dyDescent="0.35">
      <c r="B2" s="13" t="s">
        <v>249</v>
      </c>
    </row>
    <row r="4" spans="2:13" x14ac:dyDescent="0.35">
      <c r="B4" s="139" t="s">
        <v>323</v>
      </c>
      <c r="C4" s="139"/>
      <c r="D4" s="139"/>
      <c r="F4" s="139" t="s">
        <v>247</v>
      </c>
      <c r="G4" s="139"/>
      <c r="I4" s="139" t="s">
        <v>246</v>
      </c>
      <c r="J4" s="139"/>
      <c r="L4" t="s">
        <v>245</v>
      </c>
      <c r="M4" s="61">
        <f>SLOPE(D8:D111,G8:G111)</f>
        <v>0.77083814228316339</v>
      </c>
    </row>
    <row r="5" spans="2:13" x14ac:dyDescent="0.35">
      <c r="B5" s="13"/>
      <c r="L5" t="s">
        <v>244</v>
      </c>
      <c r="M5" s="61">
        <f>_xlfn.COVARIANCE.S(D7:D111,G7:G111)/_xlfn.VAR.S(G7:G111)</f>
        <v>0.77083814228316327</v>
      </c>
    </row>
    <row r="6" spans="2:13" x14ac:dyDescent="0.35">
      <c r="B6" s="102" t="s">
        <v>243</v>
      </c>
      <c r="C6" s="101" t="s">
        <v>242</v>
      </c>
      <c r="D6" s="101" t="s">
        <v>241</v>
      </c>
      <c r="E6" s="13"/>
      <c r="F6" s="101" t="s">
        <v>242</v>
      </c>
      <c r="G6" s="101" t="s">
        <v>241</v>
      </c>
      <c r="I6" s="45" t="s">
        <v>240</v>
      </c>
      <c r="J6" s="61">
        <f>M7</f>
        <v>0.77083814228316261</v>
      </c>
    </row>
    <row r="7" spans="2:13" x14ac:dyDescent="0.35">
      <c r="B7" s="95">
        <v>44361</v>
      </c>
      <c r="C7" s="61">
        <v>261.64721700000001</v>
      </c>
      <c r="F7" s="48">
        <v>15683.349609000001</v>
      </c>
      <c r="I7" t="s">
        <v>239</v>
      </c>
      <c r="J7" s="62">
        <v>0.75</v>
      </c>
      <c r="L7" t="s">
        <v>238</v>
      </c>
      <c r="M7" s="61">
        <f>M26</f>
        <v>0.77083814228316261</v>
      </c>
    </row>
    <row r="8" spans="2:13" x14ac:dyDescent="0.35">
      <c r="B8" s="95">
        <v>44368</v>
      </c>
      <c r="C8" s="61">
        <v>235.36586</v>
      </c>
      <c r="D8" s="15">
        <f t="shared" ref="D8:D39" si="0">C8/C7-1</f>
        <v>-0.10044577313428871</v>
      </c>
      <c r="F8" s="48">
        <v>15860.349609000001</v>
      </c>
      <c r="G8" s="15">
        <f t="shared" ref="G8:G39" si="1">F8/F7-1</f>
        <v>1.1285854387791394E-2</v>
      </c>
    </row>
    <row r="9" spans="2:13" x14ac:dyDescent="0.35">
      <c r="B9" s="95">
        <v>44375</v>
      </c>
      <c r="C9" s="61">
        <v>236.25285299999999</v>
      </c>
      <c r="D9" s="15">
        <f t="shared" si="0"/>
        <v>3.7685711938000299E-3</v>
      </c>
      <c r="F9" s="48">
        <v>15722.200194999999</v>
      </c>
      <c r="G9" s="15">
        <f t="shared" si="1"/>
        <v>-8.7103637313018512E-3</v>
      </c>
      <c r="I9" t="s">
        <v>237</v>
      </c>
      <c r="J9" s="61">
        <v>1</v>
      </c>
      <c r="L9" t="s">
        <v>236</v>
      </c>
    </row>
    <row r="10" spans="2:13" ht="15" thickBot="1" x14ac:dyDescent="0.4">
      <c r="B10" s="95">
        <v>44382</v>
      </c>
      <c r="C10" s="61">
        <v>252.974335</v>
      </c>
      <c r="D10" s="15">
        <f t="shared" si="0"/>
        <v>7.0777905060896762E-2</v>
      </c>
      <c r="F10" s="48">
        <v>15689.799805000001</v>
      </c>
      <c r="G10" s="15">
        <f t="shared" si="1"/>
        <v>-2.0608050780515086E-3</v>
      </c>
      <c r="I10" t="s">
        <v>235</v>
      </c>
      <c r="J10" s="62">
        <v>0.25</v>
      </c>
    </row>
    <row r="11" spans="2:13" x14ac:dyDescent="0.35">
      <c r="B11" s="95">
        <v>44389</v>
      </c>
      <c r="C11" s="61">
        <v>262.05783100000002</v>
      </c>
      <c r="D11" s="15">
        <f t="shared" si="0"/>
        <v>3.590678872621611E-2</v>
      </c>
      <c r="F11" s="48">
        <v>15923.400390999999</v>
      </c>
      <c r="G11" s="15">
        <f t="shared" si="1"/>
        <v>1.488869130921322E-2</v>
      </c>
      <c r="L11" s="152" t="s">
        <v>234</v>
      </c>
      <c r="M11" s="152"/>
    </row>
    <row r="12" spans="2:13" x14ac:dyDescent="0.35">
      <c r="B12" s="95">
        <v>44396</v>
      </c>
      <c r="C12" s="61">
        <v>240.60571300000001</v>
      </c>
      <c r="D12" s="15">
        <f t="shared" si="0"/>
        <v>-8.1860244046666253E-2</v>
      </c>
      <c r="F12" s="48">
        <v>15856.049805000001</v>
      </c>
      <c r="G12" s="15">
        <f t="shared" si="1"/>
        <v>-4.2296610237889665E-3</v>
      </c>
      <c r="I12" s="99" t="s">
        <v>233</v>
      </c>
      <c r="J12" s="98">
        <f>(J6*J7)+(J9*J10)</f>
        <v>0.82812860671237198</v>
      </c>
      <c r="L12" s="149" t="s">
        <v>232</v>
      </c>
      <c r="M12" s="149">
        <v>0.30433392628443906</v>
      </c>
    </row>
    <row r="13" spans="2:13" x14ac:dyDescent="0.35">
      <c r="B13" s="95">
        <v>44403</v>
      </c>
      <c r="C13" s="61">
        <v>250.264084</v>
      </c>
      <c r="D13" s="15">
        <f t="shared" si="0"/>
        <v>4.0141902199969826E-2</v>
      </c>
      <c r="F13" s="48">
        <v>15763.049805000001</v>
      </c>
      <c r="G13" s="15">
        <f t="shared" si="1"/>
        <v>-5.8652691650018518E-3</v>
      </c>
      <c r="L13" s="149" t="s">
        <v>231</v>
      </c>
      <c r="M13" s="149">
        <v>9.2619138687702385E-2</v>
      </c>
    </row>
    <row r="14" spans="2:13" x14ac:dyDescent="0.35">
      <c r="B14" s="95">
        <v>44410</v>
      </c>
      <c r="C14" s="61">
        <v>253.97633400000001</v>
      </c>
      <c r="D14" s="15">
        <f t="shared" si="0"/>
        <v>1.4833331018445417E-2</v>
      </c>
      <c r="F14" s="48">
        <v>16238.200194999999</v>
      </c>
      <c r="G14" s="15">
        <f t="shared" si="1"/>
        <v>3.0143303223547635E-2</v>
      </c>
      <c r="L14" s="149" t="s">
        <v>230</v>
      </c>
      <c r="M14" s="149">
        <v>8.3723247890523003E-2</v>
      </c>
    </row>
    <row r="15" spans="2:13" x14ac:dyDescent="0.35">
      <c r="B15" s="95">
        <v>44417</v>
      </c>
      <c r="C15" s="61">
        <v>254.731934</v>
      </c>
      <c r="D15" s="15">
        <f t="shared" si="0"/>
        <v>2.9750803474468679E-3</v>
      </c>
      <c r="F15" s="48">
        <v>16529.099609000001</v>
      </c>
      <c r="G15" s="15">
        <f t="shared" si="1"/>
        <v>1.79145108760006E-2</v>
      </c>
      <c r="L15" s="149" t="s">
        <v>219</v>
      </c>
      <c r="M15" s="149">
        <v>4.8032540606767177E-2</v>
      </c>
    </row>
    <row r="16" spans="2:13" ht="15" thickBot="1" x14ac:dyDescent="0.4">
      <c r="B16" s="95">
        <v>44424</v>
      </c>
      <c r="C16" s="61">
        <v>266.76177999999999</v>
      </c>
      <c r="D16" s="15">
        <f t="shared" si="0"/>
        <v>4.7225511976837442E-2</v>
      </c>
      <c r="F16" s="48">
        <v>16450.5</v>
      </c>
      <c r="G16" s="15">
        <f t="shared" si="1"/>
        <v>-4.7552262893499897E-3</v>
      </c>
      <c r="L16" s="150" t="s">
        <v>229</v>
      </c>
      <c r="M16" s="150">
        <v>104</v>
      </c>
    </row>
    <row r="17" spans="2:20" x14ac:dyDescent="0.35">
      <c r="B17" s="95">
        <v>44431</v>
      </c>
      <c r="C17" s="61">
        <v>281.90798999999998</v>
      </c>
      <c r="D17" s="15">
        <f t="shared" si="0"/>
        <v>5.6778036193940506E-2</v>
      </c>
      <c r="F17" s="48">
        <v>16705.199218999998</v>
      </c>
      <c r="G17" s="15">
        <f t="shared" si="1"/>
        <v>1.5482764596820742E-2</v>
      </c>
    </row>
    <row r="18" spans="2:20" ht="15" thickBot="1" x14ac:dyDescent="0.4">
      <c r="B18" s="95">
        <v>44438</v>
      </c>
      <c r="C18" s="61">
        <v>300.19589200000001</v>
      </c>
      <c r="D18" s="15">
        <f t="shared" si="0"/>
        <v>6.487188248903486E-2</v>
      </c>
      <c r="F18" s="48">
        <v>17323.599609000001</v>
      </c>
      <c r="G18" s="15">
        <f t="shared" si="1"/>
        <v>3.7018438504860862E-2</v>
      </c>
      <c r="L18" t="s">
        <v>228</v>
      </c>
    </row>
    <row r="19" spans="2:20" x14ac:dyDescent="0.35">
      <c r="B19" s="95">
        <v>44445</v>
      </c>
      <c r="C19" s="61">
        <v>309.35641500000003</v>
      </c>
      <c r="D19" s="15">
        <f t="shared" si="0"/>
        <v>3.0515151086744519E-2</v>
      </c>
      <c r="F19" s="48">
        <v>17369.25</v>
      </c>
      <c r="G19" s="15">
        <f t="shared" si="1"/>
        <v>2.6351562048503308E-3</v>
      </c>
      <c r="L19" s="151"/>
      <c r="M19" s="151" t="s">
        <v>227</v>
      </c>
      <c r="N19" s="151" t="s">
        <v>226</v>
      </c>
      <c r="O19" s="151" t="s">
        <v>225</v>
      </c>
      <c r="P19" s="151" t="s">
        <v>224</v>
      </c>
      <c r="Q19" s="151" t="s">
        <v>223</v>
      </c>
    </row>
    <row r="20" spans="2:20" x14ac:dyDescent="0.35">
      <c r="B20" s="95">
        <v>44452</v>
      </c>
      <c r="C20" s="61">
        <v>291.713348</v>
      </c>
      <c r="D20" s="15">
        <f t="shared" si="0"/>
        <v>-5.7031521392566065E-2</v>
      </c>
      <c r="F20" s="48">
        <v>17585.150390999999</v>
      </c>
      <c r="G20" s="15">
        <f t="shared" si="1"/>
        <v>1.2430035321041366E-2</v>
      </c>
      <c r="L20" s="149" t="s">
        <v>222</v>
      </c>
      <c r="M20" s="149">
        <v>1</v>
      </c>
      <c r="N20" s="149">
        <v>2.4020520400613504E-2</v>
      </c>
      <c r="O20" s="149">
        <v>2.4020520400613504E-2</v>
      </c>
      <c r="P20" s="149">
        <v>10.41145184887713</v>
      </c>
      <c r="Q20" s="149">
        <v>1.6839746598602187E-3</v>
      </c>
    </row>
    <row r="21" spans="2:20" x14ac:dyDescent="0.35">
      <c r="B21" s="95">
        <v>44459</v>
      </c>
      <c r="C21" s="61">
        <v>306.99185199999999</v>
      </c>
      <c r="D21" s="15">
        <f t="shared" si="0"/>
        <v>5.2375059642454147E-2</v>
      </c>
      <c r="F21" s="48">
        <v>17853.199218999998</v>
      </c>
      <c r="G21" s="15">
        <f t="shared" si="1"/>
        <v>1.5242907910368864E-2</v>
      </c>
      <c r="L21" s="149" t="s">
        <v>221</v>
      </c>
      <c r="M21" s="149">
        <v>102</v>
      </c>
      <c r="N21" s="149">
        <v>0.23532674562835529</v>
      </c>
      <c r="O21" s="149">
        <v>2.307124957140738E-3</v>
      </c>
      <c r="P21" s="149"/>
      <c r="Q21" s="149"/>
    </row>
    <row r="22" spans="2:20" ht="15" thickBot="1" x14ac:dyDescent="0.4">
      <c r="B22" s="95">
        <v>44466</v>
      </c>
      <c r="C22" s="61">
        <v>301.00610399999999</v>
      </c>
      <c r="D22" s="15">
        <f t="shared" si="0"/>
        <v>-1.9498067981296163E-2</v>
      </c>
      <c r="F22" s="48">
        <v>17532.050781000002</v>
      </c>
      <c r="G22" s="15">
        <f t="shared" si="1"/>
        <v>-1.7988285128091697E-2</v>
      </c>
      <c r="L22" s="150" t="s">
        <v>37</v>
      </c>
      <c r="M22" s="150">
        <v>103</v>
      </c>
      <c r="N22" s="150">
        <v>0.25934726602896879</v>
      </c>
      <c r="O22" s="150"/>
      <c r="P22" s="150"/>
      <c r="Q22" s="150"/>
    </row>
    <row r="23" spans="2:20" ht="15" thickBot="1" x14ac:dyDescent="0.4">
      <c r="B23" s="95">
        <v>44473</v>
      </c>
      <c r="C23" s="61">
        <v>297.88098100000002</v>
      </c>
      <c r="D23" s="15">
        <f t="shared" si="0"/>
        <v>-1.0382257896005886E-2</v>
      </c>
      <c r="F23" s="48">
        <v>17895.199218999998</v>
      </c>
      <c r="G23" s="15">
        <f t="shared" si="1"/>
        <v>2.0713403271313213E-2</v>
      </c>
    </row>
    <row r="24" spans="2:20" x14ac:dyDescent="0.35">
      <c r="B24" s="95">
        <v>44480</v>
      </c>
      <c r="C24" s="61">
        <v>296.98809799999998</v>
      </c>
      <c r="D24" s="15">
        <f t="shared" si="0"/>
        <v>-2.9974488367890961E-3</v>
      </c>
      <c r="F24" s="48">
        <v>18338.550781000002</v>
      </c>
      <c r="G24" s="15">
        <f t="shared" si="1"/>
        <v>2.4774888313580767E-2</v>
      </c>
      <c r="L24" s="151"/>
      <c r="M24" s="151" t="s">
        <v>220</v>
      </c>
      <c r="N24" s="151" t="s">
        <v>219</v>
      </c>
      <c r="O24" s="151" t="s">
        <v>218</v>
      </c>
      <c r="P24" s="151" t="s">
        <v>217</v>
      </c>
      <c r="Q24" s="151" t="s">
        <v>216</v>
      </c>
      <c r="R24" s="151" t="s">
        <v>215</v>
      </c>
      <c r="S24" s="151" t="s">
        <v>214</v>
      </c>
      <c r="T24" s="151" t="s">
        <v>213</v>
      </c>
    </row>
    <row r="25" spans="2:20" x14ac:dyDescent="0.35">
      <c r="B25" s="95">
        <v>44487</v>
      </c>
      <c r="C25" s="61">
        <v>274.64907799999997</v>
      </c>
      <c r="D25" s="15">
        <f t="shared" si="0"/>
        <v>-7.5218569870096341E-2</v>
      </c>
      <c r="F25" s="48">
        <v>18114.900390999999</v>
      </c>
      <c r="G25" s="15">
        <f t="shared" si="1"/>
        <v>-1.2195641447944716E-2</v>
      </c>
      <c r="L25" s="149" t="s">
        <v>212</v>
      </c>
      <c r="M25" s="149">
        <v>1.0792840169948685E-2</v>
      </c>
      <c r="N25" s="149">
        <v>4.7330263370732569E-3</v>
      </c>
      <c r="O25" s="149">
        <v>2.2803253988699779</v>
      </c>
      <c r="P25" s="149">
        <v>2.4668855968896099E-2</v>
      </c>
      <c r="Q25" s="149">
        <v>1.4049048717106397E-3</v>
      </c>
      <c r="R25" s="149">
        <v>2.018077546818673E-2</v>
      </c>
      <c r="S25" s="149">
        <v>1.4049048717106397E-3</v>
      </c>
      <c r="T25" s="149">
        <v>2.018077546818673E-2</v>
      </c>
    </row>
    <row r="26" spans="2:20" ht="15" thickBot="1" x14ac:dyDescent="0.4">
      <c r="B26" s="95">
        <v>44494</v>
      </c>
      <c r="C26" s="61">
        <v>280.882813</v>
      </c>
      <c r="D26" s="15">
        <f t="shared" si="0"/>
        <v>2.2697090576069723E-2</v>
      </c>
      <c r="F26" s="48">
        <v>17671.650390999999</v>
      </c>
      <c r="G26" s="15">
        <f t="shared" si="1"/>
        <v>-2.4468806917658736E-2</v>
      </c>
      <c r="L26" s="150" t="s">
        <v>211</v>
      </c>
      <c r="M26" s="150">
        <v>0.77083814228316261</v>
      </c>
      <c r="N26" s="150">
        <v>0.2388952686749363</v>
      </c>
      <c r="O26" s="150">
        <v>3.226678144605863</v>
      </c>
      <c r="P26" s="150">
        <v>1.6839746598602187E-3</v>
      </c>
      <c r="Q26" s="150">
        <v>0.2969905095733209</v>
      </c>
      <c r="R26" s="150">
        <v>1.2446857749930043</v>
      </c>
      <c r="S26" s="150">
        <v>0.2969905095733209</v>
      </c>
      <c r="T26" s="150">
        <v>1.2446857749930043</v>
      </c>
    </row>
    <row r="27" spans="2:20" x14ac:dyDescent="0.35">
      <c r="B27" s="95">
        <v>44501</v>
      </c>
      <c r="C27" s="61">
        <v>309.85244799999998</v>
      </c>
      <c r="D27" s="15">
        <f t="shared" si="0"/>
        <v>0.10313779860927252</v>
      </c>
      <c r="F27" s="48">
        <v>17916.800781000002</v>
      </c>
      <c r="G27" s="15">
        <f t="shared" si="1"/>
        <v>1.3872523764099309E-2</v>
      </c>
    </row>
    <row r="28" spans="2:20" x14ac:dyDescent="0.35">
      <c r="B28" s="95">
        <v>44508</v>
      </c>
      <c r="C28" s="61">
        <v>321.39398199999999</v>
      </c>
      <c r="D28" s="15">
        <f t="shared" si="0"/>
        <v>3.7248484155916639E-2</v>
      </c>
      <c r="F28" s="48">
        <v>18102.75</v>
      </c>
      <c r="G28" s="15">
        <f t="shared" si="1"/>
        <v>1.0378483372834646E-2</v>
      </c>
    </row>
    <row r="29" spans="2:20" x14ac:dyDescent="0.35">
      <c r="B29" s="95">
        <v>44515</v>
      </c>
      <c r="C29" s="61">
        <v>314.052368</v>
      </c>
      <c r="D29" s="15">
        <f t="shared" si="0"/>
        <v>-2.2843035063425665E-2</v>
      </c>
      <c r="F29" s="48">
        <v>17764.800781000002</v>
      </c>
      <c r="G29" s="15">
        <f t="shared" si="1"/>
        <v>-1.8668391211279944E-2</v>
      </c>
    </row>
    <row r="30" spans="2:20" x14ac:dyDescent="0.35">
      <c r="B30" s="95">
        <v>44522</v>
      </c>
      <c r="C30" s="61">
        <v>292.29208399999999</v>
      </c>
      <c r="D30" s="15">
        <f t="shared" si="0"/>
        <v>-6.9288711747589882E-2</v>
      </c>
      <c r="F30" s="48">
        <v>17026.449218999998</v>
      </c>
      <c r="G30" s="15">
        <f t="shared" si="1"/>
        <v>-4.1562614245001406E-2</v>
      </c>
    </row>
    <row r="31" spans="2:20" x14ac:dyDescent="0.35">
      <c r="B31" s="95">
        <v>44529</v>
      </c>
      <c r="C31" s="61">
        <v>290.40707400000002</v>
      </c>
      <c r="D31" s="15">
        <f t="shared" si="0"/>
        <v>-6.4490627806395029E-3</v>
      </c>
      <c r="F31" s="48">
        <v>17196.699218999998</v>
      </c>
      <c r="G31" s="15">
        <f t="shared" si="1"/>
        <v>9.9991488424970854E-3</v>
      </c>
    </row>
    <row r="32" spans="2:20" x14ac:dyDescent="0.35">
      <c r="B32" s="95">
        <v>44536</v>
      </c>
      <c r="C32" s="61">
        <v>294.73928799999999</v>
      </c>
      <c r="D32" s="15">
        <f t="shared" si="0"/>
        <v>1.4917728898022453E-2</v>
      </c>
      <c r="F32" s="48">
        <v>17511.300781000002</v>
      </c>
      <c r="G32" s="15">
        <f t="shared" si="1"/>
        <v>1.8294299271828462E-2</v>
      </c>
    </row>
    <row r="33" spans="2:7" x14ac:dyDescent="0.35">
      <c r="B33" s="95">
        <v>44543</v>
      </c>
      <c r="C33" s="61">
        <v>286.45517000000001</v>
      </c>
      <c r="D33" s="15">
        <f t="shared" si="0"/>
        <v>-2.8106595683979441E-2</v>
      </c>
      <c r="F33" s="48">
        <v>16985.199218999998</v>
      </c>
      <c r="G33" s="15">
        <f t="shared" si="1"/>
        <v>-3.0043545512668635E-2</v>
      </c>
    </row>
    <row r="34" spans="2:7" x14ac:dyDescent="0.35">
      <c r="B34" s="95">
        <v>44550</v>
      </c>
      <c r="C34" s="61">
        <v>277.59231599999998</v>
      </c>
      <c r="D34" s="15">
        <f t="shared" si="0"/>
        <v>-3.0939759264948963E-2</v>
      </c>
      <c r="F34" s="48">
        <v>17003.75</v>
      </c>
      <c r="G34" s="15">
        <f t="shared" si="1"/>
        <v>1.0921732951623131E-3</v>
      </c>
    </row>
    <row r="35" spans="2:7" x14ac:dyDescent="0.35">
      <c r="B35" s="95">
        <v>44557</v>
      </c>
      <c r="C35" s="61">
        <v>293.763733</v>
      </c>
      <c r="D35" s="15">
        <f t="shared" si="0"/>
        <v>5.8255996538463251E-2</v>
      </c>
      <c r="F35" s="48">
        <v>17354.050781000002</v>
      </c>
      <c r="G35" s="15">
        <f t="shared" si="1"/>
        <v>2.0601383871204915E-2</v>
      </c>
    </row>
    <row r="36" spans="2:7" x14ac:dyDescent="0.35">
      <c r="B36" s="95">
        <v>44564</v>
      </c>
      <c r="C36" s="61">
        <v>281.52771000000001</v>
      </c>
      <c r="D36" s="15">
        <f t="shared" si="0"/>
        <v>-4.1652599097384169E-2</v>
      </c>
      <c r="F36" s="48">
        <v>17812.699218999998</v>
      </c>
      <c r="G36" s="15">
        <f t="shared" si="1"/>
        <v>2.6428898001275014E-2</v>
      </c>
    </row>
    <row r="37" spans="2:7" x14ac:dyDescent="0.35">
      <c r="B37" s="95">
        <v>44571</v>
      </c>
      <c r="C37" s="61">
        <v>307.10760499999998</v>
      </c>
      <c r="D37" s="15">
        <f t="shared" si="0"/>
        <v>9.0861020394759517E-2</v>
      </c>
      <c r="F37" s="48">
        <v>18255.75</v>
      </c>
      <c r="G37" s="15">
        <f t="shared" si="1"/>
        <v>2.4872748119354027E-2</v>
      </c>
    </row>
    <row r="38" spans="2:7" x14ac:dyDescent="0.35">
      <c r="B38" s="95">
        <v>44578</v>
      </c>
      <c r="C38" s="61">
        <v>302.874573</v>
      </c>
      <c r="D38" s="15">
        <f t="shared" si="0"/>
        <v>-1.3783546649715706E-2</v>
      </c>
      <c r="F38" s="48">
        <v>17617.150390999999</v>
      </c>
      <c r="G38" s="15">
        <f t="shared" si="1"/>
        <v>-3.4980738068827621E-2</v>
      </c>
    </row>
    <row r="39" spans="2:7" x14ac:dyDescent="0.35">
      <c r="B39" s="95">
        <v>44585</v>
      </c>
      <c r="C39" s="61">
        <v>293.16845699999999</v>
      </c>
      <c r="D39" s="15">
        <f t="shared" si="0"/>
        <v>-3.2046651866018516E-2</v>
      </c>
      <c r="F39" s="48">
        <v>17101.949218999998</v>
      </c>
      <c r="G39" s="15">
        <f t="shared" si="1"/>
        <v>-2.9244296640800638E-2</v>
      </c>
    </row>
    <row r="40" spans="2:7" x14ac:dyDescent="0.35">
      <c r="B40" s="95">
        <v>44592</v>
      </c>
      <c r="C40" s="61">
        <v>314.234283</v>
      </c>
      <c r="D40" s="15">
        <f t="shared" ref="D40:D71" si="2">C40/C39-1</f>
        <v>7.1855704449131919E-2</v>
      </c>
      <c r="F40" s="48">
        <v>17516.300781000002</v>
      </c>
      <c r="G40" s="15">
        <f t="shared" ref="G40:G71" si="3">F40/F39-1</f>
        <v>2.4228323724623468E-2</v>
      </c>
    </row>
    <row r="41" spans="2:7" x14ac:dyDescent="0.35">
      <c r="B41" s="95">
        <v>44599</v>
      </c>
      <c r="C41" s="61">
        <v>309.703644</v>
      </c>
      <c r="D41" s="15">
        <f t="shared" si="2"/>
        <v>-1.4418028983807618E-2</v>
      </c>
      <c r="F41" s="48">
        <v>17374.75</v>
      </c>
      <c r="G41" s="15">
        <f t="shared" si="3"/>
        <v>-8.0810887395552644E-3</v>
      </c>
    </row>
    <row r="42" spans="2:7" x14ac:dyDescent="0.35">
      <c r="B42" s="95">
        <v>44606</v>
      </c>
      <c r="C42" s="61">
        <v>315.42477400000001</v>
      </c>
      <c r="D42" s="15">
        <f t="shared" si="2"/>
        <v>1.8472917935702382E-2</v>
      </c>
      <c r="F42" s="48">
        <v>17276.300781000002</v>
      </c>
      <c r="G42" s="15">
        <f t="shared" si="3"/>
        <v>-5.66622362911684E-3</v>
      </c>
    </row>
    <row r="43" spans="2:7" x14ac:dyDescent="0.35">
      <c r="B43" s="95">
        <v>44613</v>
      </c>
      <c r="C43" s="61">
        <v>308.281586</v>
      </c>
      <c r="D43" s="15">
        <f t="shared" si="2"/>
        <v>-2.2646249086319403E-2</v>
      </c>
      <c r="F43" s="48">
        <v>16658.400390999999</v>
      </c>
      <c r="G43" s="15">
        <f t="shared" si="3"/>
        <v>-3.5765780987070617E-2</v>
      </c>
    </row>
    <row r="44" spans="2:7" x14ac:dyDescent="0.35">
      <c r="B44" s="95">
        <v>44620</v>
      </c>
      <c r="C44" s="61">
        <v>308.01702899999998</v>
      </c>
      <c r="D44" s="15">
        <f t="shared" si="2"/>
        <v>-8.5816672812899508E-4</v>
      </c>
      <c r="F44" s="48">
        <v>16245.349609000001</v>
      </c>
      <c r="G44" s="15">
        <f t="shared" si="3"/>
        <v>-2.479534482933643E-2</v>
      </c>
    </row>
    <row r="45" spans="2:7" x14ac:dyDescent="0.35">
      <c r="B45" s="95">
        <v>44627</v>
      </c>
      <c r="C45" s="61">
        <v>301.055725</v>
      </c>
      <c r="D45" s="15">
        <f t="shared" si="2"/>
        <v>-2.2600386811730377E-2</v>
      </c>
      <c r="F45" s="48">
        <v>16630.449218999998</v>
      </c>
      <c r="G45" s="15">
        <f t="shared" si="3"/>
        <v>2.3705221449137115E-2</v>
      </c>
    </row>
    <row r="46" spans="2:7" x14ac:dyDescent="0.35">
      <c r="B46" s="95">
        <v>44634</v>
      </c>
      <c r="C46" s="61">
        <v>313.80429099999998</v>
      </c>
      <c r="D46" s="15">
        <f t="shared" si="2"/>
        <v>4.234620019267199E-2</v>
      </c>
      <c r="F46" s="48">
        <v>17287.050781000002</v>
      </c>
      <c r="G46" s="15">
        <f t="shared" si="3"/>
        <v>3.9481889716475482E-2</v>
      </c>
    </row>
    <row r="47" spans="2:7" x14ac:dyDescent="0.35">
      <c r="B47" s="95">
        <v>44641</v>
      </c>
      <c r="C47" s="61">
        <v>316.68145800000002</v>
      </c>
      <c r="D47" s="15">
        <f t="shared" si="2"/>
        <v>9.1686668491095524E-3</v>
      </c>
      <c r="F47" s="48">
        <v>17153</v>
      </c>
      <c r="G47" s="15">
        <f t="shared" si="3"/>
        <v>-7.7544043051771538E-3</v>
      </c>
    </row>
    <row r="48" spans="2:7" x14ac:dyDescent="0.35">
      <c r="B48" s="95">
        <v>44648</v>
      </c>
      <c r="C48" s="61">
        <v>310.49728399999998</v>
      </c>
      <c r="D48" s="15">
        <f t="shared" si="2"/>
        <v>-1.9528058380986923E-2</v>
      </c>
      <c r="F48" s="48">
        <v>17670.449218999998</v>
      </c>
      <c r="G48" s="15">
        <f t="shared" si="3"/>
        <v>3.0166689150585846E-2</v>
      </c>
    </row>
    <row r="49" spans="2:7" x14ac:dyDescent="0.35">
      <c r="B49" s="95">
        <v>44655</v>
      </c>
      <c r="C49" s="61">
        <v>318.21923800000002</v>
      </c>
      <c r="D49" s="15">
        <f t="shared" si="2"/>
        <v>2.4869634608462698E-2</v>
      </c>
      <c r="F49" s="48">
        <v>17784.349609000001</v>
      </c>
      <c r="G49" s="15">
        <f t="shared" si="3"/>
        <v>6.4458117950692007E-3</v>
      </c>
    </row>
    <row r="50" spans="2:7" x14ac:dyDescent="0.35">
      <c r="B50" s="95">
        <v>44662</v>
      </c>
      <c r="C50" s="61">
        <v>334.35751299999998</v>
      </c>
      <c r="D50" s="15">
        <f t="shared" si="2"/>
        <v>5.0714328591283886E-2</v>
      </c>
      <c r="F50" s="48">
        <v>17475.650390999999</v>
      </c>
      <c r="G50" s="15">
        <f t="shared" si="3"/>
        <v>-1.7357914390289553E-2</v>
      </c>
    </row>
    <row r="51" spans="2:7" x14ac:dyDescent="0.35">
      <c r="B51" s="95">
        <v>44669</v>
      </c>
      <c r="C51" s="61">
        <v>343.898346</v>
      </c>
      <c r="D51" s="15">
        <f t="shared" si="2"/>
        <v>2.8534824638440259E-2</v>
      </c>
      <c r="F51" s="48">
        <v>17171.949218999998</v>
      </c>
      <c r="G51" s="15">
        <f t="shared" si="3"/>
        <v>-1.7378533285170805E-2</v>
      </c>
    </row>
    <row r="52" spans="2:7" x14ac:dyDescent="0.35">
      <c r="B52" s="95">
        <v>44676</v>
      </c>
      <c r="C52" s="61">
        <v>358.333527</v>
      </c>
      <c r="D52" s="15">
        <f t="shared" si="2"/>
        <v>4.1975139362839586E-2</v>
      </c>
      <c r="F52" s="48">
        <v>17102.550781000002</v>
      </c>
      <c r="G52" s="15">
        <f t="shared" si="3"/>
        <v>-4.041383835634127E-3</v>
      </c>
    </row>
    <row r="53" spans="2:7" x14ac:dyDescent="0.35">
      <c r="B53" s="95">
        <v>44683</v>
      </c>
      <c r="C53" s="61">
        <v>355.70443699999998</v>
      </c>
      <c r="D53" s="15">
        <f t="shared" si="2"/>
        <v>-7.3369913834493428E-3</v>
      </c>
      <c r="F53" s="48">
        <v>16411.25</v>
      </c>
      <c r="G53" s="15">
        <f t="shared" si="3"/>
        <v>-4.0420916730619982E-2</v>
      </c>
    </row>
    <row r="54" spans="2:7" x14ac:dyDescent="0.35">
      <c r="B54" s="95">
        <v>44690</v>
      </c>
      <c r="C54" s="61">
        <v>360.813782</v>
      </c>
      <c r="D54" s="15">
        <f t="shared" si="2"/>
        <v>1.4364018180633487E-2</v>
      </c>
      <c r="F54" s="48">
        <v>15782.150390999999</v>
      </c>
      <c r="G54" s="15">
        <f t="shared" si="3"/>
        <v>-3.8333436453652281E-2</v>
      </c>
    </row>
    <row r="55" spans="2:7" x14ac:dyDescent="0.35">
      <c r="B55" s="95">
        <v>44697</v>
      </c>
      <c r="C55" s="61">
        <v>364.881439</v>
      </c>
      <c r="D55" s="15">
        <f t="shared" si="2"/>
        <v>1.1273563269819986E-2</v>
      </c>
      <c r="F55" s="48">
        <v>16266.150390999999</v>
      </c>
      <c r="G55" s="15">
        <f t="shared" si="3"/>
        <v>3.0667557209187901E-2</v>
      </c>
    </row>
    <row r="56" spans="2:7" x14ac:dyDescent="0.35">
      <c r="B56" s="95">
        <v>44704</v>
      </c>
      <c r="C56" s="61">
        <v>360.33429000000001</v>
      </c>
      <c r="D56" s="15">
        <f t="shared" si="2"/>
        <v>-1.2461990427526159E-2</v>
      </c>
      <c r="F56" s="48">
        <v>16352.450194999999</v>
      </c>
      <c r="G56" s="15">
        <f t="shared" si="3"/>
        <v>5.3054842064996777E-3</v>
      </c>
    </row>
    <row r="57" spans="2:7" x14ac:dyDescent="0.35">
      <c r="B57" s="95">
        <v>44711</v>
      </c>
      <c r="C57" s="61">
        <v>363.92242399999998</v>
      </c>
      <c r="D57" s="15">
        <f t="shared" si="2"/>
        <v>9.9577922489695325E-3</v>
      </c>
      <c r="F57" s="48">
        <v>16584.300781000002</v>
      </c>
      <c r="G57" s="15">
        <f t="shared" si="3"/>
        <v>1.4178339223494207E-2</v>
      </c>
    </row>
    <row r="58" spans="2:7" x14ac:dyDescent="0.35">
      <c r="B58" s="95">
        <v>44718</v>
      </c>
      <c r="C58" s="61">
        <v>374.273438</v>
      </c>
      <c r="D58" s="15">
        <f t="shared" si="2"/>
        <v>2.8442913427066063E-2</v>
      </c>
      <c r="F58" s="48">
        <v>16201.799805000001</v>
      </c>
      <c r="G58" s="15">
        <f t="shared" si="3"/>
        <v>-2.3064039964724836E-2</v>
      </c>
    </row>
    <row r="59" spans="2:7" x14ac:dyDescent="0.35">
      <c r="B59" s="95">
        <v>44725</v>
      </c>
      <c r="C59" s="61">
        <v>372.56204200000002</v>
      </c>
      <c r="D59" s="15">
        <f t="shared" si="2"/>
        <v>-4.5725820382689353E-3</v>
      </c>
      <c r="F59" s="48">
        <v>15293.5</v>
      </c>
      <c r="G59" s="15">
        <f t="shared" si="3"/>
        <v>-5.606166079892505E-2</v>
      </c>
    </row>
    <row r="60" spans="2:7" x14ac:dyDescent="0.35">
      <c r="B60" s="95">
        <v>44732</v>
      </c>
      <c r="C60" s="61">
        <v>382.21032700000001</v>
      </c>
      <c r="D60" s="15">
        <f t="shared" si="2"/>
        <v>2.5897122928051797E-2</v>
      </c>
      <c r="F60" s="48">
        <v>15699.25</v>
      </c>
      <c r="G60" s="15">
        <f t="shared" si="3"/>
        <v>2.6530879131657192E-2</v>
      </c>
    </row>
    <row r="61" spans="2:7" x14ac:dyDescent="0.35">
      <c r="B61" s="95">
        <v>44739</v>
      </c>
      <c r="C61" s="61">
        <v>393.867615</v>
      </c>
      <c r="D61" s="15">
        <f t="shared" si="2"/>
        <v>3.0499667791550777E-2</v>
      </c>
      <c r="F61" s="48">
        <v>15752.049805000001</v>
      </c>
      <c r="G61" s="15">
        <f t="shared" si="3"/>
        <v>3.3632055671448668E-3</v>
      </c>
    </row>
    <row r="62" spans="2:7" x14ac:dyDescent="0.35">
      <c r="B62" s="95">
        <v>44746</v>
      </c>
      <c r="C62" s="61">
        <v>420.927368</v>
      </c>
      <c r="D62" s="15">
        <f t="shared" si="2"/>
        <v>6.8702660410402183E-2</v>
      </c>
      <c r="F62" s="48">
        <v>16220.599609000001</v>
      </c>
      <c r="G62" s="15">
        <f t="shared" si="3"/>
        <v>2.9745322659611828E-2</v>
      </c>
    </row>
    <row r="63" spans="2:7" x14ac:dyDescent="0.35">
      <c r="B63" s="95">
        <v>44753</v>
      </c>
      <c r="C63" s="61">
        <v>410.038971</v>
      </c>
      <c r="D63" s="15">
        <f t="shared" si="2"/>
        <v>-2.5867638523328296E-2</v>
      </c>
      <c r="F63" s="48">
        <v>16049.200194999999</v>
      </c>
      <c r="G63" s="15">
        <f t="shared" si="3"/>
        <v>-1.0566774233481513E-2</v>
      </c>
    </row>
    <row r="64" spans="2:7" x14ac:dyDescent="0.35">
      <c r="B64" s="95">
        <v>44760</v>
      </c>
      <c r="C64" s="61">
        <v>432.70867900000002</v>
      </c>
      <c r="D64" s="15">
        <f t="shared" si="2"/>
        <v>5.528671566196075E-2</v>
      </c>
      <c r="F64" s="48">
        <v>16719.449218999998</v>
      </c>
      <c r="G64" s="15">
        <f t="shared" si="3"/>
        <v>4.1762144895470144E-2</v>
      </c>
    </row>
    <row r="65" spans="2:7" x14ac:dyDescent="0.35">
      <c r="B65" s="95">
        <v>44767</v>
      </c>
      <c r="C65" s="61">
        <v>437.86767600000002</v>
      </c>
      <c r="D65" s="15">
        <f t="shared" si="2"/>
        <v>1.1922564187810014E-2</v>
      </c>
      <c r="F65" s="48">
        <v>17158.25</v>
      </c>
      <c r="G65" s="15">
        <f t="shared" si="3"/>
        <v>2.6244930395275645E-2</v>
      </c>
    </row>
    <row r="66" spans="2:7" x14ac:dyDescent="0.35">
      <c r="B66" s="95">
        <v>44774</v>
      </c>
      <c r="C66" s="61">
        <v>508.58029199999999</v>
      </c>
      <c r="D66" s="15">
        <f t="shared" si="2"/>
        <v>0.16149311738644978</v>
      </c>
      <c r="F66" s="48">
        <v>17397.5</v>
      </c>
      <c r="G66" s="15">
        <f t="shared" si="3"/>
        <v>1.3943729692713402E-2</v>
      </c>
    </row>
    <row r="67" spans="2:7" x14ac:dyDescent="0.35">
      <c r="B67" s="95">
        <v>44781</v>
      </c>
      <c r="C67" s="61">
        <v>508.70431500000001</v>
      </c>
      <c r="D67" s="15">
        <f t="shared" si="2"/>
        <v>2.4386119940333906E-4</v>
      </c>
      <c r="F67" s="48">
        <v>17698.150390999999</v>
      </c>
      <c r="G67" s="15">
        <f t="shared" si="3"/>
        <v>1.7281241040379314E-2</v>
      </c>
    </row>
    <row r="68" spans="2:7" x14ac:dyDescent="0.35">
      <c r="B68" s="95">
        <v>44788</v>
      </c>
      <c r="C68" s="61">
        <v>492.63247699999999</v>
      </c>
      <c r="D68" s="15">
        <f t="shared" si="2"/>
        <v>-3.1593673428934821E-2</v>
      </c>
      <c r="F68" s="48">
        <v>17758.449218999998</v>
      </c>
      <c r="G68" s="15">
        <f t="shared" si="3"/>
        <v>3.4070694771959342E-3</v>
      </c>
    </row>
    <row r="69" spans="2:7" x14ac:dyDescent="0.35">
      <c r="B69" s="95">
        <v>44795</v>
      </c>
      <c r="C69" s="61">
        <v>510.20602400000001</v>
      </c>
      <c r="D69" s="15">
        <f t="shared" si="2"/>
        <v>3.5672733367110077E-2</v>
      </c>
      <c r="F69" s="48">
        <v>17558.900390999999</v>
      </c>
      <c r="G69" s="15">
        <f t="shared" si="3"/>
        <v>-1.1236838619134604E-2</v>
      </c>
    </row>
    <row r="70" spans="2:7" x14ac:dyDescent="0.35">
      <c r="B70" s="95">
        <v>44802</v>
      </c>
      <c r="C70" s="61">
        <v>514.29400599999997</v>
      </c>
      <c r="D70" s="15">
        <f t="shared" si="2"/>
        <v>8.0124142164184065E-3</v>
      </c>
      <c r="F70" s="48">
        <v>17539.449218999998</v>
      </c>
      <c r="G70" s="15">
        <f t="shared" si="3"/>
        <v>-1.1077670905844661E-3</v>
      </c>
    </row>
    <row r="71" spans="2:7" x14ac:dyDescent="0.35">
      <c r="B71" s="95">
        <v>44809</v>
      </c>
      <c r="C71" s="61">
        <v>538.52307099999996</v>
      </c>
      <c r="D71" s="15">
        <f t="shared" si="2"/>
        <v>4.7111311268130951E-2</v>
      </c>
      <c r="F71" s="48">
        <v>17833.349609000001</v>
      </c>
      <c r="G71" s="15">
        <f t="shared" si="3"/>
        <v>1.6756534730955508E-2</v>
      </c>
    </row>
    <row r="72" spans="2:7" x14ac:dyDescent="0.35">
      <c r="B72" s="95">
        <v>44816</v>
      </c>
      <c r="C72" s="61">
        <v>549.56567399999994</v>
      </c>
      <c r="D72" s="15">
        <f t="shared" ref="D72:D103" si="4">C72/C71-1</f>
        <v>2.0505348042925364E-2</v>
      </c>
      <c r="F72" s="48">
        <v>17530.849609000001</v>
      </c>
      <c r="G72" s="15">
        <f t="shared" ref="G72:G103" si="5">F72/F71-1</f>
        <v>-1.6962601341440453E-2</v>
      </c>
    </row>
    <row r="73" spans="2:7" x14ac:dyDescent="0.35">
      <c r="B73" s="95">
        <v>44823</v>
      </c>
      <c r="C73" s="61">
        <v>577.78308100000004</v>
      </c>
      <c r="D73" s="15">
        <f t="shared" si="4"/>
        <v>5.1344922608831167E-2</v>
      </c>
      <c r="F73" s="48">
        <v>17327.349609000001</v>
      </c>
      <c r="G73" s="15">
        <f t="shared" si="5"/>
        <v>-1.1608108251383698E-2</v>
      </c>
    </row>
    <row r="74" spans="2:7" x14ac:dyDescent="0.35">
      <c r="B74" s="95">
        <v>44830</v>
      </c>
      <c r="C74" s="61">
        <v>520.57562299999995</v>
      </c>
      <c r="D74" s="15">
        <f t="shared" si="4"/>
        <v>-9.9011999280055218E-2</v>
      </c>
      <c r="F74" s="48">
        <v>17094.349609000001</v>
      </c>
      <c r="G74" s="15">
        <f t="shared" si="5"/>
        <v>-1.3446949779265527E-2</v>
      </c>
    </row>
    <row r="75" spans="2:7" x14ac:dyDescent="0.35">
      <c r="B75" s="95">
        <v>44837</v>
      </c>
      <c r="C75" s="61">
        <v>565.96771200000001</v>
      </c>
      <c r="D75" s="15">
        <f t="shared" si="4"/>
        <v>8.719595577374939E-2</v>
      </c>
      <c r="F75" s="48">
        <v>17314.650390999999</v>
      </c>
      <c r="G75" s="15">
        <f t="shared" si="5"/>
        <v>1.2887345060733635E-2</v>
      </c>
    </row>
    <row r="76" spans="2:7" x14ac:dyDescent="0.35">
      <c r="B76" s="95">
        <v>44844</v>
      </c>
      <c r="C76" s="61">
        <v>511.75149499999998</v>
      </c>
      <c r="D76" s="15">
        <f t="shared" si="4"/>
        <v>-9.5793833906906767E-2</v>
      </c>
      <c r="F76" s="48">
        <v>17185.699218999998</v>
      </c>
      <c r="G76" s="15">
        <f t="shared" si="5"/>
        <v>-7.4475180894804094E-3</v>
      </c>
    </row>
    <row r="77" spans="2:7" x14ac:dyDescent="0.35">
      <c r="B77" s="95">
        <v>44851</v>
      </c>
      <c r="C77" s="61">
        <v>505.07101399999999</v>
      </c>
      <c r="D77" s="15">
        <f t="shared" si="4"/>
        <v>-1.3054150432916689E-2</v>
      </c>
      <c r="F77" s="48">
        <v>17576.300781000002</v>
      </c>
      <c r="G77" s="15">
        <f t="shared" si="5"/>
        <v>2.2728290366455628E-2</v>
      </c>
    </row>
    <row r="78" spans="2:7" x14ac:dyDescent="0.35">
      <c r="B78" s="95">
        <v>44858</v>
      </c>
      <c r="C78" s="61">
        <v>518.50671399999999</v>
      </c>
      <c r="D78" s="15">
        <f t="shared" si="4"/>
        <v>2.6601605769441372E-2</v>
      </c>
      <c r="F78" s="48">
        <v>17786.800781000002</v>
      </c>
      <c r="G78" s="15">
        <f t="shared" si="5"/>
        <v>1.197635399068453E-2</v>
      </c>
    </row>
    <row r="79" spans="2:7" x14ac:dyDescent="0.35">
      <c r="B79" s="95">
        <v>44865</v>
      </c>
      <c r="C79" s="61">
        <v>567.78741500000001</v>
      </c>
      <c r="D79" s="15">
        <f t="shared" si="4"/>
        <v>9.5043515675671708E-2</v>
      </c>
      <c r="F79" s="48">
        <v>18117.150390999999</v>
      </c>
      <c r="G79" s="15">
        <f t="shared" si="5"/>
        <v>1.8572739081492262E-2</v>
      </c>
    </row>
    <row r="80" spans="2:7" x14ac:dyDescent="0.35">
      <c r="B80" s="95">
        <v>44872</v>
      </c>
      <c r="C80" s="61">
        <v>551.58483899999999</v>
      </c>
      <c r="D80" s="15">
        <f t="shared" si="4"/>
        <v>-2.8536342250558677E-2</v>
      </c>
      <c r="F80" s="48">
        <v>18349.699218999998</v>
      </c>
      <c r="G80" s="15">
        <f t="shared" si="5"/>
        <v>1.2835839134808014E-2</v>
      </c>
    </row>
    <row r="81" spans="2:7" x14ac:dyDescent="0.35">
      <c r="B81" s="95">
        <v>44879</v>
      </c>
      <c r="C81" s="61">
        <v>570.28008999999997</v>
      </c>
      <c r="D81" s="15">
        <f t="shared" si="4"/>
        <v>3.3893699895547691E-2</v>
      </c>
      <c r="F81" s="48">
        <v>18307.650390999999</v>
      </c>
      <c r="G81" s="15">
        <f t="shared" si="5"/>
        <v>-2.2915268254892762E-3</v>
      </c>
    </row>
    <row r="82" spans="2:7" x14ac:dyDescent="0.35">
      <c r="B82" s="95">
        <v>44886</v>
      </c>
      <c r="C82" s="61">
        <v>574.293274</v>
      </c>
      <c r="D82" s="15">
        <f t="shared" si="4"/>
        <v>7.0372156951858944E-3</v>
      </c>
      <c r="F82" s="48">
        <v>18512.75</v>
      </c>
      <c r="G82" s="15">
        <f t="shared" si="5"/>
        <v>1.1202945469224623E-2</v>
      </c>
    </row>
    <row r="83" spans="2:7" x14ac:dyDescent="0.35">
      <c r="B83" s="95">
        <v>44893</v>
      </c>
      <c r="C83" s="61">
        <v>657.37506099999996</v>
      </c>
      <c r="D83" s="15">
        <f t="shared" si="4"/>
        <v>0.14466787399637893</v>
      </c>
      <c r="F83" s="48">
        <v>18696.099609000001</v>
      </c>
      <c r="G83" s="15">
        <f t="shared" si="5"/>
        <v>9.9039639707769744E-3</v>
      </c>
    </row>
    <row r="84" spans="2:7" x14ac:dyDescent="0.35">
      <c r="B84" s="95">
        <v>44900</v>
      </c>
      <c r="C84" s="61">
        <v>703.066284</v>
      </c>
      <c r="D84" s="15">
        <f t="shared" si="4"/>
        <v>6.9505561909352753E-2</v>
      </c>
      <c r="F84" s="48">
        <v>18496.599609000001</v>
      </c>
      <c r="G84" s="15">
        <f t="shared" si="5"/>
        <v>-1.0670674855838058E-2</v>
      </c>
    </row>
    <row r="85" spans="2:7" x14ac:dyDescent="0.35">
      <c r="B85" s="95">
        <v>44907</v>
      </c>
      <c r="C85" s="61">
        <v>696.28613299999995</v>
      </c>
      <c r="D85" s="15">
        <f t="shared" si="4"/>
        <v>-9.6436867394995573E-3</v>
      </c>
      <c r="F85" s="48">
        <v>18269</v>
      </c>
      <c r="G85" s="15">
        <f t="shared" si="5"/>
        <v>-1.2304943276668867E-2</v>
      </c>
    </row>
    <row r="86" spans="2:7" x14ac:dyDescent="0.35">
      <c r="B86" s="95">
        <v>44914</v>
      </c>
      <c r="C86" s="61">
        <v>641.92028800000003</v>
      </c>
      <c r="D86" s="15">
        <f t="shared" si="4"/>
        <v>-7.8079746850279297E-2</v>
      </c>
      <c r="F86" s="48">
        <v>17806.800781000002</v>
      </c>
      <c r="G86" s="15">
        <f t="shared" si="5"/>
        <v>-2.529964524604511E-2</v>
      </c>
    </row>
    <row r="87" spans="2:7" x14ac:dyDescent="0.35">
      <c r="B87" s="95">
        <v>44921</v>
      </c>
      <c r="C87" s="61">
        <v>659.34429899999998</v>
      </c>
      <c r="D87" s="15">
        <f t="shared" si="4"/>
        <v>2.7143574250141134E-2</v>
      </c>
      <c r="F87" s="48">
        <v>18105.300781000002</v>
      </c>
      <c r="G87" s="15">
        <f t="shared" si="5"/>
        <v>1.6763258244484991E-2</v>
      </c>
    </row>
    <row r="88" spans="2:7" x14ac:dyDescent="0.35">
      <c r="B88" s="95">
        <v>44928</v>
      </c>
      <c r="C88" s="61">
        <v>648.55090299999995</v>
      </c>
      <c r="D88" s="15">
        <f t="shared" si="4"/>
        <v>-1.6369893569065375E-2</v>
      </c>
      <c r="F88" s="48">
        <v>17859.449218999998</v>
      </c>
      <c r="G88" s="15">
        <f t="shared" si="5"/>
        <v>-1.3578982474458767E-2</v>
      </c>
    </row>
    <row r="89" spans="2:7" x14ac:dyDescent="0.35">
      <c r="B89" s="95">
        <v>44935</v>
      </c>
      <c r="C89" s="61">
        <v>566.21698000000004</v>
      </c>
      <c r="D89" s="15">
        <f t="shared" si="4"/>
        <v>-0.12695059496355354</v>
      </c>
      <c r="F89" s="48">
        <v>17956.599609000001</v>
      </c>
      <c r="G89" s="15">
        <f t="shared" si="5"/>
        <v>5.4397192661825855E-3</v>
      </c>
    </row>
    <row r="90" spans="2:7" x14ac:dyDescent="0.35">
      <c r="B90" s="95">
        <v>44942</v>
      </c>
      <c r="C90" s="61">
        <v>614.52551300000005</v>
      </c>
      <c r="D90" s="15">
        <f t="shared" si="4"/>
        <v>8.5318057752347798E-2</v>
      </c>
      <c r="F90" s="48">
        <v>18027.650390999999</v>
      </c>
      <c r="G90" s="15">
        <f t="shared" si="5"/>
        <v>3.9568060516528281E-3</v>
      </c>
    </row>
    <row r="91" spans="2:7" x14ac:dyDescent="0.35">
      <c r="B91" s="95">
        <v>44949</v>
      </c>
      <c r="C91" s="61">
        <v>619.46105999999997</v>
      </c>
      <c r="D91" s="15">
        <f t="shared" si="4"/>
        <v>8.0314761480049235E-3</v>
      </c>
      <c r="F91" s="48">
        <v>17604.349609000001</v>
      </c>
      <c r="G91" s="15">
        <f t="shared" si="5"/>
        <v>-2.3480640727941093E-2</v>
      </c>
    </row>
    <row r="92" spans="2:7" x14ac:dyDescent="0.35">
      <c r="B92" s="95">
        <v>44956</v>
      </c>
      <c r="C92" s="61">
        <v>575.76403800000003</v>
      </c>
      <c r="D92" s="15">
        <f t="shared" si="4"/>
        <v>-7.0540385540940886E-2</v>
      </c>
      <c r="F92" s="48">
        <v>17854.050781000002</v>
      </c>
      <c r="G92" s="15">
        <f t="shared" si="5"/>
        <v>1.4184061186352848E-2</v>
      </c>
    </row>
    <row r="93" spans="2:7" x14ac:dyDescent="0.35">
      <c r="B93" s="95">
        <v>44963</v>
      </c>
      <c r="C93" s="61">
        <v>634.04339600000003</v>
      </c>
      <c r="D93" s="15">
        <f t="shared" si="4"/>
        <v>0.10122090674930284</v>
      </c>
      <c r="F93" s="48">
        <v>17856.5</v>
      </c>
      <c r="G93" s="15">
        <f t="shared" si="5"/>
        <v>1.371800175793414E-4</v>
      </c>
    </row>
    <row r="94" spans="2:7" x14ac:dyDescent="0.35">
      <c r="B94" s="95">
        <v>44970</v>
      </c>
      <c r="C94" s="61">
        <v>639.72668499999997</v>
      </c>
      <c r="D94" s="15">
        <f t="shared" si="4"/>
        <v>8.9635646958146076E-3</v>
      </c>
      <c r="F94" s="48">
        <v>17944.199218999998</v>
      </c>
      <c r="G94" s="15">
        <f t="shared" si="5"/>
        <v>4.9113330719905424E-3</v>
      </c>
    </row>
    <row r="95" spans="2:7" x14ac:dyDescent="0.35">
      <c r="B95" s="95">
        <v>44977</v>
      </c>
      <c r="C95" s="61">
        <v>643.88952600000005</v>
      </c>
      <c r="D95" s="15">
        <f t="shared" si="4"/>
        <v>6.5072180004497326E-3</v>
      </c>
      <c r="F95" s="48">
        <v>17465.800781000002</v>
      </c>
      <c r="G95" s="15">
        <f t="shared" si="5"/>
        <v>-2.6660339208308015E-2</v>
      </c>
    </row>
    <row r="96" spans="2:7" x14ac:dyDescent="0.35">
      <c r="B96" s="95">
        <v>44984</v>
      </c>
      <c r="C96" s="61">
        <v>677.26684599999999</v>
      </c>
      <c r="D96" s="15">
        <f t="shared" si="4"/>
        <v>5.1837028950211472E-2</v>
      </c>
      <c r="F96" s="48">
        <v>17594.349609000001</v>
      </c>
      <c r="G96" s="15">
        <f t="shared" si="5"/>
        <v>7.3600305884538031E-3</v>
      </c>
    </row>
    <row r="97" spans="2:7" x14ac:dyDescent="0.35">
      <c r="B97" s="95">
        <v>44991</v>
      </c>
      <c r="C97" s="61">
        <v>669.93829300000004</v>
      </c>
      <c r="D97" s="15">
        <f t="shared" si="4"/>
        <v>-1.0820776246885599E-2</v>
      </c>
      <c r="F97" s="48">
        <v>17412.900390999999</v>
      </c>
      <c r="G97" s="15">
        <f t="shared" si="5"/>
        <v>-1.0312925571695164E-2</v>
      </c>
    </row>
    <row r="98" spans="2:7" x14ac:dyDescent="0.35">
      <c r="B98" s="95">
        <v>44998</v>
      </c>
      <c r="C98" s="61">
        <v>656.17852800000003</v>
      </c>
      <c r="D98" s="15">
        <f t="shared" si="4"/>
        <v>-2.0538854315049648E-2</v>
      </c>
      <c r="F98" s="48">
        <v>17100.050781000002</v>
      </c>
      <c r="G98" s="15">
        <f t="shared" si="5"/>
        <v>-1.7966542217268788E-2</v>
      </c>
    </row>
    <row r="99" spans="2:7" x14ac:dyDescent="0.35">
      <c r="B99" s="95">
        <v>45005</v>
      </c>
      <c r="C99" s="61">
        <v>675.05999799999995</v>
      </c>
      <c r="D99" s="15">
        <f t="shared" si="4"/>
        <v>2.8774897675408084E-2</v>
      </c>
      <c r="F99" s="48">
        <v>16945.050781000002</v>
      </c>
      <c r="G99" s="15">
        <f t="shared" si="5"/>
        <v>-9.0643005675878907E-3</v>
      </c>
    </row>
    <row r="100" spans="2:7" x14ac:dyDescent="0.35">
      <c r="B100" s="95">
        <v>45012</v>
      </c>
      <c r="C100" s="61">
        <v>692.53564500000005</v>
      </c>
      <c r="D100" s="15">
        <f t="shared" si="4"/>
        <v>2.5887546368878578E-2</v>
      </c>
      <c r="F100" s="48">
        <v>17359.75</v>
      </c>
      <c r="G100" s="15">
        <f t="shared" si="5"/>
        <v>2.4473176525678486E-2</v>
      </c>
    </row>
    <row r="101" spans="2:7" x14ac:dyDescent="0.35">
      <c r="B101" s="95">
        <v>45019</v>
      </c>
      <c r="C101" s="61">
        <v>695.78112799999997</v>
      </c>
      <c r="D101" s="15">
        <f t="shared" si="4"/>
        <v>4.6863768290221763E-3</v>
      </c>
      <c r="F101" s="48">
        <v>17599.150390999999</v>
      </c>
      <c r="G101" s="15">
        <f t="shared" si="5"/>
        <v>1.3790543700226143E-2</v>
      </c>
    </row>
    <row r="102" spans="2:7" x14ac:dyDescent="0.35">
      <c r="B102" s="95">
        <v>45026</v>
      </c>
      <c r="C102" s="61">
        <v>713.78106700000001</v>
      </c>
      <c r="D102" s="15">
        <f t="shared" si="4"/>
        <v>2.5870116730156711E-2</v>
      </c>
      <c r="F102" s="48">
        <v>17828</v>
      </c>
      <c r="G102" s="15">
        <f t="shared" si="5"/>
        <v>1.3003446411653519E-2</v>
      </c>
    </row>
    <row r="103" spans="2:7" x14ac:dyDescent="0.35">
      <c r="B103" s="95">
        <v>45033</v>
      </c>
      <c r="C103" s="61">
        <v>698.59997599999997</v>
      </c>
      <c r="D103" s="15">
        <f t="shared" si="4"/>
        <v>-2.1268553765100173E-2</v>
      </c>
      <c r="F103" s="48">
        <v>17624.050781000002</v>
      </c>
      <c r="G103" s="15">
        <f t="shared" si="5"/>
        <v>-1.1439826060130054E-2</v>
      </c>
    </row>
    <row r="104" spans="2:7" x14ac:dyDescent="0.35">
      <c r="B104" s="95">
        <v>45040</v>
      </c>
      <c r="C104" s="61">
        <v>722.59997599999997</v>
      </c>
      <c r="D104" s="15">
        <f t="shared" ref="D104:D111" si="6">C104/C103-1</f>
        <v>3.4354424312204701E-2</v>
      </c>
      <c r="F104" s="48">
        <v>18065</v>
      </c>
      <c r="G104" s="15">
        <f t="shared" ref="G104:G111" si="7">F104/F103-1</f>
        <v>2.5019742877464557E-2</v>
      </c>
    </row>
    <row r="105" spans="2:7" x14ac:dyDescent="0.35">
      <c r="B105" s="95">
        <v>45047</v>
      </c>
      <c r="C105" s="61">
        <v>726.29998799999998</v>
      </c>
      <c r="D105" s="15">
        <f t="shared" si="6"/>
        <v>5.1204153375172812E-3</v>
      </c>
      <c r="F105" s="48">
        <v>18069</v>
      </c>
      <c r="G105" s="15">
        <f t="shared" si="7"/>
        <v>2.2142264046509652E-4</v>
      </c>
    </row>
    <row r="106" spans="2:7" x14ac:dyDescent="0.35">
      <c r="B106" s="95">
        <v>45054</v>
      </c>
      <c r="C106" s="61">
        <v>777.97497599999997</v>
      </c>
      <c r="D106" s="15">
        <f t="shared" si="6"/>
        <v>7.1148270485721143E-2</v>
      </c>
      <c r="F106" s="48">
        <v>18314.800781000002</v>
      </c>
      <c r="G106" s="15">
        <f t="shared" si="7"/>
        <v>1.3603452376999448E-2</v>
      </c>
    </row>
    <row r="107" spans="2:7" x14ac:dyDescent="0.35">
      <c r="B107" s="95">
        <v>45061</v>
      </c>
      <c r="C107" s="61">
        <v>793.77502400000003</v>
      </c>
      <c r="D107" s="15">
        <f t="shared" si="6"/>
        <v>2.0309198222848934E-2</v>
      </c>
      <c r="F107" s="48">
        <v>18203.400390999999</v>
      </c>
      <c r="G107" s="15">
        <f t="shared" si="7"/>
        <v>-6.0825335384249168E-3</v>
      </c>
    </row>
    <row r="108" spans="2:7" x14ac:dyDescent="0.35">
      <c r="B108" s="95">
        <v>45068</v>
      </c>
      <c r="C108" s="61">
        <v>850.97497599999997</v>
      </c>
      <c r="D108" s="15">
        <f t="shared" si="6"/>
        <v>7.2060659847619446E-2</v>
      </c>
      <c r="F108" s="48">
        <v>18499.349609000001</v>
      </c>
      <c r="G108" s="15">
        <f t="shared" si="7"/>
        <v>1.6257908502980811E-2</v>
      </c>
    </row>
    <row r="109" spans="2:7" x14ac:dyDescent="0.35">
      <c r="B109" s="95">
        <v>45075</v>
      </c>
      <c r="C109" s="61">
        <v>847.57501200000002</v>
      </c>
      <c r="D109" s="15">
        <f t="shared" si="6"/>
        <v>-3.9953748299174086E-3</v>
      </c>
      <c r="F109" s="48">
        <v>18534.099609000001</v>
      </c>
      <c r="G109" s="15">
        <f t="shared" si="7"/>
        <v>1.8784444174779757E-3</v>
      </c>
    </row>
    <row r="110" spans="2:7" x14ac:dyDescent="0.35">
      <c r="B110" s="95">
        <v>45082</v>
      </c>
      <c r="C110" s="61">
        <v>795.70001200000002</v>
      </c>
      <c r="D110" s="15">
        <f t="shared" si="6"/>
        <v>-6.1204022376251888E-2</v>
      </c>
      <c r="F110" s="48">
        <v>18563.400390999999</v>
      </c>
      <c r="G110" s="15">
        <f t="shared" si="7"/>
        <v>1.5809120819534339E-3</v>
      </c>
    </row>
    <row r="111" spans="2:7" x14ac:dyDescent="0.35">
      <c r="B111" s="95">
        <v>45089</v>
      </c>
      <c r="C111" s="61">
        <v>821.25</v>
      </c>
      <c r="D111" s="15">
        <f t="shared" si="6"/>
        <v>3.2110076177804592E-2</v>
      </c>
      <c r="F111" s="48">
        <v>18826</v>
      </c>
      <c r="G111" s="15">
        <f t="shared" si="7"/>
        <v>1.4146094113625551E-2</v>
      </c>
    </row>
  </sheetData>
  <mergeCells count="3">
    <mergeCell ref="B4:D4"/>
    <mergeCell ref="F4:G4"/>
    <mergeCell ref="I4:J4"/>
  </mergeCells>
  <pageMargins left="0.25" right="0.25" top="0.75" bottom="0.75" header="0.3" footer="0.3"/>
  <pageSetup paperSize="9" scale="4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topLeftCell="A10" workbookViewId="0">
      <selection activeCell="F26" sqref="F26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sheetPr>
    <tabColor rgb="FFFF0000"/>
    <pageSetUpPr fitToPage="1"/>
  </sheetPr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1" sqref="B1"/>
    </sheetView>
  </sheetViews>
  <sheetFormatPr defaultColWidth="10.453125" defaultRowHeight="12.5" x14ac:dyDescent="0.25"/>
  <cols>
    <col min="1" max="1" width="26.7265625" style="2" bestFit="1" customWidth="1"/>
    <col min="2" max="11" width="11.453125" style="2" bestFit="1" customWidth="1"/>
    <col min="12" max="16384" width="10.453125" style="2"/>
  </cols>
  <sheetData>
    <row r="1" spans="1:11" s="1" customFormat="1" ht="13" x14ac:dyDescent="0.3">
      <c r="A1" s="1" t="s">
        <v>0</v>
      </c>
      <c r="B1" s="1" t="s">
        <v>1</v>
      </c>
      <c r="E1" s="141" t="str">
        <f>IF(B2&lt;&gt;B3, "A NEW VERSION OF THE WORKSHEET IS AVAILABLE", "")</f>
        <v/>
      </c>
      <c r="F1" s="141"/>
      <c r="G1" s="141"/>
      <c r="H1" s="141"/>
      <c r="I1" s="141"/>
      <c r="J1" s="141"/>
      <c r="K1" s="141"/>
    </row>
    <row r="2" spans="1:11" ht="13" x14ac:dyDescent="0.3">
      <c r="A2" s="1" t="s">
        <v>2</v>
      </c>
      <c r="B2" s="2">
        <v>2.1</v>
      </c>
      <c r="E2" s="142" t="s">
        <v>3</v>
      </c>
      <c r="F2" s="142"/>
      <c r="G2" s="142"/>
      <c r="H2" s="142"/>
      <c r="I2" s="142"/>
      <c r="J2" s="142"/>
      <c r="K2" s="142"/>
    </row>
    <row r="3" spans="1:11" ht="13" x14ac:dyDescent="0.3">
      <c r="A3" s="1" t="s">
        <v>4</v>
      </c>
      <c r="B3" s="2">
        <v>2.1</v>
      </c>
    </row>
    <row r="4" spans="1:11" ht="13" x14ac:dyDescent="0.3">
      <c r="A4" s="1"/>
    </row>
    <row r="5" spans="1:11" ht="13" x14ac:dyDescent="0.3">
      <c r="A5" s="1" t="s">
        <v>5</v>
      </c>
    </row>
    <row r="6" spans="1:11" x14ac:dyDescent="0.25">
      <c r="A6" s="2" t="s">
        <v>6</v>
      </c>
      <c r="B6" s="2">
        <f>IF(B9&gt;0, B9/B8, 0)</f>
        <v>24.086828576493531</v>
      </c>
    </row>
    <row r="7" spans="1:11" x14ac:dyDescent="0.25">
      <c r="A7" s="2" t="s">
        <v>7</v>
      </c>
      <c r="B7" s="3">
        <v>1</v>
      </c>
    </row>
    <row r="8" spans="1:11" x14ac:dyDescent="0.25">
      <c r="A8" s="2" t="s">
        <v>8</v>
      </c>
      <c r="B8" s="3">
        <v>5076.8999999999996</v>
      </c>
    </row>
    <row r="9" spans="1:11" x14ac:dyDescent="0.25">
      <c r="A9" s="2" t="s">
        <v>9</v>
      </c>
      <c r="B9" s="3">
        <v>122286.42</v>
      </c>
    </row>
    <row r="15" spans="1:11" ht="13" x14ac:dyDescent="0.3">
      <c r="A15" s="1" t="s">
        <v>10</v>
      </c>
      <c r="B15" s="2">
        <f>B26+B34</f>
        <v>743.58000000000015</v>
      </c>
      <c r="K15" s="2">
        <f>K17-K18-K20-K21-K22-K23-K19</f>
        <v>5905.8099999999995</v>
      </c>
    </row>
    <row r="16" spans="1:11" s="6" customFormat="1" ht="13" x14ac:dyDescent="0.3">
      <c r="A16" s="4" t="s">
        <v>11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x14ac:dyDescent="0.25">
      <c r="A17" s="2" t="s">
        <v>12</v>
      </c>
      <c r="B17" s="3">
        <v>6912.71</v>
      </c>
      <c r="C17" s="3">
        <v>7858.42</v>
      </c>
      <c r="D17" s="3">
        <v>8397.23</v>
      </c>
      <c r="E17" s="3">
        <v>9054.09</v>
      </c>
      <c r="F17" s="3">
        <v>9913.99</v>
      </c>
      <c r="G17" s="3">
        <v>11054.67</v>
      </c>
      <c r="H17" s="3">
        <v>11599.55</v>
      </c>
      <c r="I17" s="3">
        <v>13136.14</v>
      </c>
      <c r="J17" s="3">
        <v>14136.26</v>
      </c>
      <c r="K17" s="3">
        <v>16300.55</v>
      </c>
    </row>
    <row r="18" spans="1:11" ht="14.5" x14ac:dyDescent="0.35">
      <c r="A18" s="2" t="s">
        <v>13</v>
      </c>
      <c r="B18" s="7">
        <v>4182.53</v>
      </c>
      <c r="C18" s="7">
        <v>4722.21</v>
      </c>
      <c r="D18" s="7">
        <v>5016.99</v>
      </c>
      <c r="E18" s="7">
        <v>5642.88</v>
      </c>
      <c r="F18" s="7">
        <v>6100.8</v>
      </c>
      <c r="G18" s="7">
        <v>6616.64</v>
      </c>
      <c r="H18" s="7">
        <v>6874.9</v>
      </c>
      <c r="I18" s="7">
        <v>7663.22</v>
      </c>
      <c r="J18" s="7">
        <v>8835.56</v>
      </c>
      <c r="K18" s="7">
        <v>9663.83</v>
      </c>
    </row>
    <row r="19" spans="1:11" ht="14.5" x14ac:dyDescent="0.35">
      <c r="A19" s="2" t="s">
        <v>14</v>
      </c>
      <c r="B19" s="7">
        <v>11.51</v>
      </c>
      <c r="C19" s="7">
        <v>30.4</v>
      </c>
      <c r="D19" s="7">
        <v>4.2699999999999996</v>
      </c>
      <c r="E19" s="7">
        <v>54.2</v>
      </c>
      <c r="F19" s="7">
        <v>-6.3</v>
      </c>
      <c r="G19" s="7">
        <v>55.18</v>
      </c>
      <c r="H19" s="7">
        <v>-52.57</v>
      </c>
      <c r="I19" s="7">
        <v>37.119999999999997</v>
      </c>
      <c r="J19" s="7">
        <v>75.260000000000005</v>
      </c>
      <c r="K19" s="7">
        <v>72.53</v>
      </c>
    </row>
    <row r="20" spans="1:11" x14ac:dyDescent="0.25">
      <c r="A20" s="2" t="s">
        <v>15</v>
      </c>
      <c r="B20" s="3">
        <v>110.72</v>
      </c>
      <c r="C20" s="3">
        <v>110.96</v>
      </c>
      <c r="D20" s="3">
        <v>95.16</v>
      </c>
      <c r="E20" s="3">
        <v>104.28</v>
      </c>
      <c r="F20" s="3">
        <v>128.83000000000001</v>
      </c>
      <c r="G20" s="3">
        <v>175.17</v>
      </c>
      <c r="H20" s="3">
        <v>177.7</v>
      </c>
      <c r="I20" s="3">
        <v>182.29</v>
      </c>
      <c r="J20" s="3">
        <v>217.68</v>
      </c>
      <c r="K20" s="3"/>
    </row>
    <row r="21" spans="1:11" x14ac:dyDescent="0.25">
      <c r="A21" s="2" t="s">
        <v>16</v>
      </c>
      <c r="B21" s="3">
        <v>509.95</v>
      </c>
      <c r="C21" s="3">
        <v>555.67999999999995</v>
      </c>
      <c r="D21" s="3">
        <v>510.15</v>
      </c>
      <c r="E21" s="3">
        <v>509.93</v>
      </c>
      <c r="F21" s="3">
        <v>487.59</v>
      </c>
      <c r="G21" s="3">
        <v>621.32000000000005</v>
      </c>
      <c r="H21" s="3">
        <v>610.67999999999995</v>
      </c>
      <c r="I21" s="3">
        <v>672.21</v>
      </c>
      <c r="J21" s="3">
        <v>752.29</v>
      </c>
      <c r="K21" s="3"/>
    </row>
    <row r="22" spans="1:11" x14ac:dyDescent="0.25">
      <c r="A22" s="2" t="s">
        <v>17</v>
      </c>
      <c r="B22" s="3">
        <v>262.66000000000003</v>
      </c>
      <c r="C22" s="3">
        <v>294.44</v>
      </c>
      <c r="D22" s="3">
        <v>341.36</v>
      </c>
      <c r="E22" s="3">
        <v>352.61</v>
      </c>
      <c r="F22" s="3">
        <v>401.6</v>
      </c>
      <c r="G22" s="3">
        <v>441.82</v>
      </c>
      <c r="H22" s="3">
        <v>486.69</v>
      </c>
      <c r="I22" s="3">
        <v>527.38</v>
      </c>
      <c r="J22" s="3">
        <v>542.26</v>
      </c>
      <c r="K22" s="3">
        <v>658.38</v>
      </c>
    </row>
    <row r="23" spans="1:11" x14ac:dyDescent="0.25">
      <c r="A23" s="2" t="s">
        <v>18</v>
      </c>
      <c r="B23" s="3">
        <v>1030.8900000000001</v>
      </c>
      <c r="C23" s="3">
        <v>1129.07</v>
      </c>
      <c r="D23" s="3">
        <v>956.77</v>
      </c>
      <c r="E23" s="3">
        <v>915.01</v>
      </c>
      <c r="F23" s="3">
        <v>953.48</v>
      </c>
      <c r="G23" s="3">
        <v>1107.49</v>
      </c>
      <c r="H23" s="3">
        <v>1125.23</v>
      </c>
      <c r="I23" s="3">
        <v>1163.82</v>
      </c>
      <c r="J23" s="3">
        <v>1187.32</v>
      </c>
      <c r="K23" s="3"/>
    </row>
    <row r="24" spans="1:11" x14ac:dyDescent="0.25">
      <c r="A24" s="2" t="s">
        <v>19</v>
      </c>
      <c r="B24" s="3">
        <v>200.27</v>
      </c>
      <c r="C24" s="3">
        <v>206.14</v>
      </c>
      <c r="D24" s="3">
        <v>257.5</v>
      </c>
      <c r="E24" s="3">
        <v>305.39999999999998</v>
      </c>
      <c r="F24" s="3">
        <v>333.92</v>
      </c>
      <c r="G24" s="3">
        <v>414.96</v>
      </c>
      <c r="H24" s="3">
        <v>428.6</v>
      </c>
      <c r="I24" s="3">
        <v>455.05</v>
      </c>
      <c r="J24" s="3">
        <v>475.1</v>
      </c>
      <c r="K24" s="3">
        <v>3219.96</v>
      </c>
    </row>
    <row r="25" spans="1:11" x14ac:dyDescent="0.25">
      <c r="A25" s="2" t="s">
        <v>20</v>
      </c>
      <c r="B25" s="3">
        <v>33.590000000000003</v>
      </c>
      <c r="C25" s="3">
        <v>227.61</v>
      </c>
      <c r="D25" s="3">
        <v>115.17</v>
      </c>
      <c r="E25" s="3">
        <v>150.54</v>
      </c>
      <c r="F25" s="3">
        <v>166.37</v>
      </c>
      <c r="G25" s="3">
        <v>206.45</v>
      </c>
      <c r="H25" s="3">
        <v>262.83</v>
      </c>
      <c r="I25" s="3">
        <v>313.07</v>
      </c>
      <c r="J25" s="3">
        <v>221.85</v>
      </c>
      <c r="K25" s="3">
        <v>596.87</v>
      </c>
    </row>
    <row r="26" spans="1:11" x14ac:dyDescent="0.25">
      <c r="A26" s="2" t="s">
        <v>21</v>
      </c>
      <c r="B26" s="3">
        <v>83.18</v>
      </c>
      <c r="C26" s="3">
        <v>144.47999999999999</v>
      </c>
      <c r="D26" s="3">
        <v>113.41</v>
      </c>
      <c r="E26" s="3">
        <v>119.27</v>
      </c>
      <c r="F26" s="3">
        <v>142.07</v>
      </c>
      <c r="G26" s="3">
        <v>161.88</v>
      </c>
      <c r="H26" s="3">
        <v>184.81</v>
      </c>
      <c r="I26" s="3">
        <v>197.85</v>
      </c>
      <c r="J26" s="3">
        <v>200.54</v>
      </c>
      <c r="K26" s="3">
        <v>225.91</v>
      </c>
    </row>
    <row r="27" spans="1:11" ht="14.5" x14ac:dyDescent="0.35">
      <c r="A27" s="2" t="s">
        <v>22</v>
      </c>
      <c r="B27" s="3">
        <v>8.2899999999999991</v>
      </c>
      <c r="C27" s="3">
        <v>3.86</v>
      </c>
      <c r="D27" s="3">
        <v>4.87</v>
      </c>
      <c r="E27" s="3">
        <v>5.45</v>
      </c>
      <c r="F27" s="3">
        <v>7.59</v>
      </c>
      <c r="G27" s="3">
        <v>9.09</v>
      </c>
      <c r="H27" s="3">
        <v>76.900000000000006</v>
      </c>
      <c r="I27" s="3">
        <v>110.9</v>
      </c>
      <c r="J27" s="7">
        <v>144.29</v>
      </c>
      <c r="K27" s="7">
        <v>169.1</v>
      </c>
    </row>
    <row r="28" spans="1:11" x14ac:dyDescent="0.25">
      <c r="A28" s="2" t="s">
        <v>23</v>
      </c>
      <c r="B28" s="3">
        <v>569.32000000000005</v>
      </c>
      <c r="C28" s="3">
        <v>949.59</v>
      </c>
      <c r="D28" s="3">
        <v>1220.46</v>
      </c>
      <c r="E28" s="3">
        <v>1304</v>
      </c>
      <c r="F28" s="3">
        <v>1518.18</v>
      </c>
      <c r="G28" s="3">
        <v>1767.93</v>
      </c>
      <c r="H28" s="3">
        <v>1844.3</v>
      </c>
      <c r="I28" s="3">
        <v>2513.61</v>
      </c>
      <c r="J28" s="3">
        <v>2078.33</v>
      </c>
      <c r="K28" s="3">
        <v>3032.77</v>
      </c>
    </row>
    <row r="29" spans="1:11" x14ac:dyDescent="0.25">
      <c r="A29" s="2" t="s">
        <v>24</v>
      </c>
      <c r="B29" s="3">
        <v>173.58</v>
      </c>
      <c r="C29" s="3">
        <v>261.11</v>
      </c>
      <c r="D29" s="3">
        <v>396.1</v>
      </c>
      <c r="E29" s="3">
        <v>419.67</v>
      </c>
      <c r="F29" s="3">
        <v>514.22</v>
      </c>
      <c r="G29" s="3">
        <v>612.47</v>
      </c>
      <c r="H29" s="3">
        <v>450.7</v>
      </c>
      <c r="I29" s="3">
        <v>663.02</v>
      </c>
      <c r="J29" s="3">
        <v>562.35</v>
      </c>
      <c r="K29" s="3">
        <v>716.45</v>
      </c>
    </row>
    <row r="30" spans="1:11" x14ac:dyDescent="0.25">
      <c r="A30" s="2" t="s">
        <v>25</v>
      </c>
      <c r="B30" s="3">
        <v>395.35</v>
      </c>
      <c r="C30" s="3">
        <v>688.64</v>
      </c>
      <c r="D30" s="3">
        <v>824.58</v>
      </c>
      <c r="E30" s="3">
        <v>884.47</v>
      </c>
      <c r="F30" s="3">
        <v>1004.23</v>
      </c>
      <c r="G30" s="3">
        <v>1159.1199999999999</v>
      </c>
      <c r="H30" s="3">
        <v>1402.63</v>
      </c>
      <c r="I30" s="3">
        <v>1863.9</v>
      </c>
      <c r="J30" s="3">
        <v>1524.82</v>
      </c>
      <c r="K30" s="3">
        <v>2321.77</v>
      </c>
    </row>
    <row r="31" spans="1:11" x14ac:dyDescent="0.25">
      <c r="A31" s="2" t="s">
        <v>26</v>
      </c>
      <c r="B31" s="3">
        <v>143.94</v>
      </c>
      <c r="C31" s="3">
        <v>191.92</v>
      </c>
      <c r="D31" s="3">
        <v>240</v>
      </c>
      <c r="E31" s="3">
        <v>264</v>
      </c>
      <c r="F31" s="3">
        <v>300.12</v>
      </c>
      <c r="G31" s="3">
        <v>360.45</v>
      </c>
      <c r="H31" s="3">
        <v>841.75</v>
      </c>
      <c r="I31" s="3">
        <v>3794.18</v>
      </c>
      <c r="J31" s="3">
        <v>1361.08</v>
      </c>
      <c r="K31" s="3">
        <v>1734.48</v>
      </c>
    </row>
    <row r="32" spans="1:11" x14ac:dyDescent="0.25">
      <c r="A32" s="2" t="s">
        <v>27</v>
      </c>
      <c r="B32" s="8">
        <f>B29/B28</f>
        <v>0.30489004426333172</v>
      </c>
      <c r="C32" s="8">
        <f t="shared" ref="C32:K32" si="0">C29/C28</f>
        <v>0.27497130340462728</v>
      </c>
      <c r="D32" s="8">
        <f t="shared" si="0"/>
        <v>0.32454975992658508</v>
      </c>
      <c r="E32" s="8">
        <f t="shared" si="0"/>
        <v>0.32183282208588959</v>
      </c>
      <c r="F32" s="8">
        <f t="shared" si="0"/>
        <v>0.33870819006968872</v>
      </c>
      <c r="G32" s="8">
        <f t="shared" si="0"/>
        <v>0.34643339951242413</v>
      </c>
      <c r="H32" s="8">
        <f t="shared" si="0"/>
        <v>0.24437455945345118</v>
      </c>
      <c r="I32" s="8">
        <f t="shared" si="0"/>
        <v>0.26377202509538072</v>
      </c>
      <c r="J32" s="8">
        <f t="shared" si="0"/>
        <v>0.2705778196917718</v>
      </c>
      <c r="K32" s="8">
        <f t="shared" si="0"/>
        <v>0.23623618012575964</v>
      </c>
    </row>
    <row r="34" spans="1:11" x14ac:dyDescent="0.25">
      <c r="A34" s="2" t="s">
        <v>28</v>
      </c>
      <c r="B34" s="2">
        <f>+B30+B29+B27+B26</f>
        <v>660.40000000000009</v>
      </c>
      <c r="C34" s="2">
        <f t="shared" ref="C34:K34" si="1">+C30+C29+C27+C26</f>
        <v>1098.0899999999999</v>
      </c>
      <c r="D34" s="2">
        <f t="shared" si="1"/>
        <v>1338.96</v>
      </c>
      <c r="E34" s="2">
        <f t="shared" si="1"/>
        <v>1428.8600000000001</v>
      </c>
      <c r="F34" s="2">
        <f t="shared" si="1"/>
        <v>1668.11</v>
      </c>
      <c r="G34" s="2">
        <f t="shared" si="1"/>
        <v>1942.56</v>
      </c>
      <c r="H34" s="2">
        <f t="shared" si="1"/>
        <v>2115.0400000000004</v>
      </c>
      <c r="I34" s="2">
        <f t="shared" si="1"/>
        <v>2835.67</v>
      </c>
      <c r="J34" s="2">
        <f t="shared" si="1"/>
        <v>2432</v>
      </c>
      <c r="K34" s="2">
        <f t="shared" si="1"/>
        <v>3433.23</v>
      </c>
    </row>
    <row r="36" spans="1:11" x14ac:dyDescent="0.25">
      <c r="A36" s="2" t="s">
        <v>289</v>
      </c>
      <c r="B36" s="2">
        <f>B34-B26</f>
        <v>577.22</v>
      </c>
      <c r="C36" s="2">
        <f t="shared" ref="C36:K36" si="2">C34-C26</f>
        <v>953.6099999999999</v>
      </c>
      <c r="D36" s="2">
        <f t="shared" si="2"/>
        <v>1225.55</v>
      </c>
      <c r="E36" s="2">
        <f t="shared" si="2"/>
        <v>1309.5900000000001</v>
      </c>
      <c r="F36" s="2">
        <f t="shared" si="2"/>
        <v>1526.04</v>
      </c>
      <c r="G36" s="2">
        <f t="shared" si="2"/>
        <v>1780.6799999999998</v>
      </c>
      <c r="H36" s="2">
        <f t="shared" si="2"/>
        <v>1930.2300000000005</v>
      </c>
      <c r="I36" s="2">
        <f t="shared" si="2"/>
        <v>2637.82</v>
      </c>
      <c r="J36" s="2">
        <f t="shared" si="2"/>
        <v>2231.46</v>
      </c>
      <c r="K36" s="2">
        <f t="shared" si="2"/>
        <v>3207.32</v>
      </c>
    </row>
    <row r="40" spans="1:11" ht="13" x14ac:dyDescent="0.3">
      <c r="A40" s="1" t="s">
        <v>29</v>
      </c>
    </row>
    <row r="41" spans="1:11" s="6" customFormat="1" ht="13" x14ac:dyDescent="0.3">
      <c r="A41" s="4" t="s">
        <v>11</v>
      </c>
      <c r="B41" s="5">
        <v>44196</v>
      </c>
      <c r="C41" s="5">
        <v>44286</v>
      </c>
      <c r="D41" s="5">
        <v>44377</v>
      </c>
      <c r="E41" s="5">
        <v>44469</v>
      </c>
      <c r="F41" s="5">
        <v>44561</v>
      </c>
      <c r="G41" s="5">
        <v>44651</v>
      </c>
      <c r="H41" s="5">
        <v>44742</v>
      </c>
      <c r="I41" s="5">
        <v>44834</v>
      </c>
      <c r="J41" s="5">
        <v>44926</v>
      </c>
      <c r="K41" s="5">
        <v>45016</v>
      </c>
    </row>
    <row r="42" spans="1:11" x14ac:dyDescent="0.25">
      <c r="A42" s="2" t="s">
        <v>12</v>
      </c>
      <c r="B42" s="3">
        <v>3165.61</v>
      </c>
      <c r="C42" s="3">
        <v>3130.75</v>
      </c>
      <c r="D42" s="3">
        <v>3403.46</v>
      </c>
      <c r="E42" s="3">
        <v>3607.37</v>
      </c>
      <c r="F42" s="3">
        <v>3574.98</v>
      </c>
      <c r="G42" s="3">
        <v>3550.45</v>
      </c>
      <c r="H42" s="3">
        <v>3700.96</v>
      </c>
      <c r="I42" s="3">
        <v>4379.6099999999997</v>
      </c>
      <c r="J42" s="3">
        <v>4196.8</v>
      </c>
      <c r="K42" s="3">
        <v>4023.18</v>
      </c>
    </row>
    <row r="43" spans="1:11" x14ac:dyDescent="0.25">
      <c r="A43" s="2" t="s">
        <v>30</v>
      </c>
      <c r="B43" s="3">
        <v>2554.09</v>
      </c>
      <c r="C43" s="3">
        <v>2625.36</v>
      </c>
      <c r="D43" s="3">
        <v>2849.68</v>
      </c>
      <c r="E43" s="3">
        <v>3049.04</v>
      </c>
      <c r="F43" s="3">
        <v>3035.97</v>
      </c>
      <c r="G43" s="3">
        <v>3000.77</v>
      </c>
      <c r="H43" s="3">
        <v>3200.37</v>
      </c>
      <c r="I43" s="3">
        <v>3667.91</v>
      </c>
      <c r="J43" s="3">
        <v>3379.22</v>
      </c>
      <c r="K43" s="3">
        <v>3222.29</v>
      </c>
    </row>
    <row r="44" spans="1:11" x14ac:dyDescent="0.25">
      <c r="A44" s="2" t="s">
        <v>20</v>
      </c>
      <c r="B44" s="3">
        <v>82.58</v>
      </c>
      <c r="C44" s="3">
        <v>63.77</v>
      </c>
      <c r="D44" s="3">
        <v>60.68</v>
      </c>
      <c r="E44" s="3">
        <v>53.62</v>
      </c>
      <c r="F44" s="3">
        <v>54.15</v>
      </c>
      <c r="G44" s="3">
        <v>53.91</v>
      </c>
      <c r="H44" s="3">
        <v>55.5</v>
      </c>
      <c r="I44" s="3">
        <v>53.3</v>
      </c>
      <c r="J44" s="3">
        <v>427.82</v>
      </c>
      <c r="K44" s="3">
        <v>60.4</v>
      </c>
    </row>
    <row r="45" spans="1:11" x14ac:dyDescent="0.25">
      <c r="A45" s="2" t="s">
        <v>21</v>
      </c>
      <c r="B45" s="3">
        <v>48.58</v>
      </c>
      <c r="C45" s="3">
        <v>52.82</v>
      </c>
      <c r="D45" s="3">
        <v>49.07</v>
      </c>
      <c r="E45" s="3">
        <v>50.16</v>
      </c>
      <c r="F45" s="3">
        <v>50.38</v>
      </c>
      <c r="G45" s="3">
        <v>50.93</v>
      </c>
      <c r="H45" s="3">
        <v>50.96</v>
      </c>
      <c r="I45" s="3">
        <v>51.66</v>
      </c>
      <c r="J45" s="3">
        <v>57.96</v>
      </c>
      <c r="K45" s="3">
        <v>65.33</v>
      </c>
    </row>
    <row r="46" spans="1:11" ht="14.5" x14ac:dyDescent="0.35">
      <c r="A46" s="2" t="s">
        <v>22</v>
      </c>
      <c r="B46" s="7">
        <v>31.79</v>
      </c>
      <c r="C46" s="7">
        <v>23.69</v>
      </c>
      <c r="D46" s="7">
        <v>34.21</v>
      </c>
      <c r="E46" s="7">
        <v>38.950000000000003</v>
      </c>
      <c r="F46" s="7">
        <v>37.380000000000003</v>
      </c>
      <c r="G46" s="7">
        <v>33.75</v>
      </c>
      <c r="H46" s="7">
        <v>41.97</v>
      </c>
      <c r="I46" s="7">
        <v>54.14</v>
      </c>
      <c r="J46" s="7">
        <v>38.130000000000003</v>
      </c>
      <c r="K46" s="7">
        <v>34.86</v>
      </c>
    </row>
    <row r="47" spans="1:11" x14ac:dyDescent="0.25">
      <c r="A47" s="2" t="s">
        <v>23</v>
      </c>
      <c r="B47" s="3">
        <v>613.73</v>
      </c>
      <c r="C47" s="3">
        <v>492.65</v>
      </c>
      <c r="D47" s="3">
        <v>531.17999999999995</v>
      </c>
      <c r="E47" s="3">
        <v>522.84</v>
      </c>
      <c r="F47" s="3">
        <v>505.4</v>
      </c>
      <c r="G47" s="3">
        <v>518.91</v>
      </c>
      <c r="H47" s="3">
        <v>463.16</v>
      </c>
      <c r="I47" s="3">
        <v>659.2</v>
      </c>
      <c r="J47" s="3">
        <v>1149.31</v>
      </c>
      <c r="K47" s="3">
        <v>761.1</v>
      </c>
    </row>
    <row r="48" spans="1:11" x14ac:dyDescent="0.25">
      <c r="A48" s="2" t="s">
        <v>24</v>
      </c>
      <c r="B48" s="3">
        <v>161.09</v>
      </c>
      <c r="C48" s="3">
        <v>132.58000000000001</v>
      </c>
      <c r="D48" s="3">
        <v>144.16999999999999</v>
      </c>
      <c r="E48" s="3">
        <v>141</v>
      </c>
      <c r="F48" s="3">
        <v>136.22</v>
      </c>
      <c r="G48" s="3">
        <v>140.96</v>
      </c>
      <c r="H48" s="3">
        <v>127.42</v>
      </c>
      <c r="I48" s="3">
        <v>168.62</v>
      </c>
      <c r="J48" s="3">
        <v>216.91</v>
      </c>
      <c r="K48" s="3">
        <v>203.5</v>
      </c>
    </row>
    <row r="49" spans="1:11" x14ac:dyDescent="0.25">
      <c r="A49" s="2" t="s">
        <v>25</v>
      </c>
      <c r="B49" s="3">
        <v>455.75</v>
      </c>
      <c r="C49" s="3">
        <v>364.32</v>
      </c>
      <c r="D49" s="3">
        <v>389.55</v>
      </c>
      <c r="E49" s="3">
        <v>384.22</v>
      </c>
      <c r="F49" s="3">
        <v>371.18</v>
      </c>
      <c r="G49" s="3">
        <v>379.87</v>
      </c>
      <c r="H49" s="3">
        <v>337.44</v>
      </c>
      <c r="I49" s="3">
        <v>493.28</v>
      </c>
      <c r="J49" s="3">
        <v>932.39</v>
      </c>
      <c r="K49" s="3">
        <v>558.66</v>
      </c>
    </row>
    <row r="50" spans="1:11" x14ac:dyDescent="0.25">
      <c r="A50" s="2" t="s">
        <v>31</v>
      </c>
      <c r="B50" s="3">
        <v>611.52</v>
      </c>
      <c r="C50" s="3">
        <v>505.39</v>
      </c>
      <c r="D50" s="3">
        <v>553.78</v>
      </c>
      <c r="E50" s="3">
        <v>558.33000000000004</v>
      </c>
      <c r="F50" s="3">
        <v>539.01</v>
      </c>
      <c r="G50" s="3">
        <v>549.67999999999995</v>
      </c>
      <c r="H50" s="3">
        <v>500.59</v>
      </c>
      <c r="I50" s="3">
        <v>711.7</v>
      </c>
      <c r="J50" s="3">
        <v>817.58</v>
      </c>
      <c r="K50" s="3">
        <v>800.89</v>
      </c>
    </row>
    <row r="51" spans="1:11" x14ac:dyDescent="0.25">
      <c r="A51" s="2" t="s">
        <v>28</v>
      </c>
      <c r="B51" s="2">
        <f>B49+B48+B46+B45</f>
        <v>697.21</v>
      </c>
      <c r="C51" s="2">
        <f t="shared" ref="C51:K51" si="3">C49+C48+C46+C45</f>
        <v>573.41000000000008</v>
      </c>
      <c r="D51" s="2">
        <f t="shared" si="3"/>
        <v>617.00000000000011</v>
      </c>
      <c r="E51" s="2">
        <f t="shared" si="3"/>
        <v>614.33000000000004</v>
      </c>
      <c r="F51" s="2">
        <f t="shared" si="3"/>
        <v>595.16</v>
      </c>
      <c r="G51" s="2">
        <f t="shared" si="3"/>
        <v>605.51</v>
      </c>
      <c r="H51" s="2">
        <f t="shared" si="3"/>
        <v>557.79000000000008</v>
      </c>
      <c r="I51" s="2">
        <f t="shared" si="3"/>
        <v>767.69999999999993</v>
      </c>
      <c r="J51" s="2">
        <f t="shared" si="3"/>
        <v>1245.3900000000001</v>
      </c>
      <c r="K51" s="2">
        <f t="shared" si="3"/>
        <v>862.35</v>
      </c>
    </row>
    <row r="55" spans="1:11" ht="13" x14ac:dyDescent="0.3">
      <c r="A55" s="1" t="s">
        <v>32</v>
      </c>
    </row>
    <row r="56" spans="1:11" s="6" customFormat="1" ht="13" x14ac:dyDescent="0.3">
      <c r="A56" s="4" t="s">
        <v>11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25">
      <c r="A57" s="2" t="s">
        <v>33</v>
      </c>
      <c r="B57" s="3">
        <v>23.99</v>
      </c>
      <c r="C57" s="3">
        <v>23.99</v>
      </c>
      <c r="D57" s="3">
        <v>24</v>
      </c>
      <c r="E57" s="3">
        <v>24</v>
      </c>
      <c r="F57" s="3">
        <v>24.01</v>
      </c>
      <c r="G57" s="3">
        <v>24.03</v>
      </c>
      <c r="H57" s="3">
        <v>24.05</v>
      </c>
      <c r="I57" s="3">
        <v>24.09</v>
      </c>
      <c r="J57" s="3">
        <v>24.09</v>
      </c>
      <c r="K57" s="3">
        <v>24.09</v>
      </c>
    </row>
    <row r="58" spans="1:11" x14ac:dyDescent="0.25">
      <c r="A58" s="2" t="s">
        <v>34</v>
      </c>
      <c r="B58" s="3">
        <v>774.12</v>
      </c>
      <c r="C58" s="3">
        <v>1221.1199999999999</v>
      </c>
      <c r="D58" s="3">
        <v>2067.6799999999998</v>
      </c>
      <c r="E58" s="3">
        <v>2672.42</v>
      </c>
      <c r="F58" s="3">
        <v>3382.22</v>
      </c>
      <c r="G58" s="3">
        <v>4229.22</v>
      </c>
      <c r="H58" s="3">
        <v>4378.78</v>
      </c>
      <c r="I58" s="3">
        <v>3523.57</v>
      </c>
      <c r="J58" s="3">
        <v>2534.0100000000002</v>
      </c>
      <c r="K58" s="3">
        <v>3510.18</v>
      </c>
    </row>
    <row r="59" spans="1:11" ht="14.5" x14ac:dyDescent="0.35">
      <c r="A59" s="2" t="s">
        <v>35</v>
      </c>
      <c r="B59" s="7">
        <v>149.76</v>
      </c>
      <c r="C59" s="7">
        <v>145.07</v>
      </c>
      <c r="D59" s="7">
        <v>131.05000000000001</v>
      </c>
      <c r="E59" s="7">
        <v>124.56</v>
      </c>
      <c r="F59" s="7">
        <v>200.7</v>
      </c>
      <c r="G59" s="7">
        <v>156.02000000000001</v>
      </c>
      <c r="H59" s="7">
        <v>1537.59</v>
      </c>
      <c r="I59" s="7">
        <v>2121.5100000000002</v>
      </c>
      <c r="J59" s="7">
        <v>2481.1999999999998</v>
      </c>
      <c r="K59" s="7">
        <v>2997.37</v>
      </c>
    </row>
    <row r="60" spans="1:11" x14ac:dyDescent="0.25">
      <c r="A60" s="2" t="s">
        <v>36</v>
      </c>
      <c r="B60" s="3">
        <v>1159</v>
      </c>
      <c r="C60" s="3">
        <v>1403.17</v>
      </c>
      <c r="D60" s="3">
        <v>1271.18</v>
      </c>
      <c r="E60" s="3">
        <v>1287.82</v>
      </c>
      <c r="F60" s="3">
        <v>1580.99</v>
      </c>
      <c r="G60" s="3">
        <v>1828.68</v>
      </c>
      <c r="H60" s="3">
        <v>1889.12</v>
      </c>
      <c r="I60" s="3">
        <v>2330.92</v>
      </c>
      <c r="J60" s="3">
        <v>2475.42</v>
      </c>
      <c r="K60" s="3">
        <v>2821.08</v>
      </c>
    </row>
    <row r="61" spans="1:11" s="1" customFormat="1" ht="13" x14ac:dyDescent="0.3">
      <c r="A61" s="1" t="s">
        <v>37</v>
      </c>
      <c r="B61" s="3">
        <v>2106.87</v>
      </c>
      <c r="C61" s="3">
        <v>2793.35</v>
      </c>
      <c r="D61" s="3">
        <v>3493.91</v>
      </c>
      <c r="E61" s="3">
        <v>4108.8</v>
      </c>
      <c r="F61" s="3">
        <v>5187.92</v>
      </c>
      <c r="G61" s="3">
        <v>6237.95</v>
      </c>
      <c r="H61" s="3">
        <v>7829.54</v>
      </c>
      <c r="I61" s="3">
        <v>8000.09</v>
      </c>
      <c r="J61" s="3">
        <v>7514.72</v>
      </c>
      <c r="K61" s="3">
        <v>9352.7199999999993</v>
      </c>
    </row>
    <row r="62" spans="1:11" x14ac:dyDescent="0.25">
      <c r="A62" s="2" t="s">
        <v>38</v>
      </c>
      <c r="B62" s="3">
        <v>847.59</v>
      </c>
      <c r="C62" s="3">
        <v>844.07</v>
      </c>
      <c r="D62" s="3">
        <v>950.24</v>
      </c>
      <c r="E62" s="3">
        <v>1159.99</v>
      </c>
      <c r="F62" s="3">
        <v>1345.6</v>
      </c>
      <c r="G62" s="3">
        <v>1688.3</v>
      </c>
      <c r="H62" s="3">
        <v>1878.18</v>
      </c>
      <c r="I62" s="3">
        <v>1792.95</v>
      </c>
      <c r="J62" s="3">
        <v>1753.21</v>
      </c>
      <c r="K62" s="3">
        <v>2655.22</v>
      </c>
    </row>
    <row r="63" spans="1:11" x14ac:dyDescent="0.25">
      <c r="A63" s="2" t="s">
        <v>39</v>
      </c>
      <c r="B63" s="3">
        <v>107.09</v>
      </c>
      <c r="C63" s="3">
        <v>48.37</v>
      </c>
      <c r="D63" s="3">
        <v>90.07</v>
      </c>
      <c r="E63" s="3">
        <v>30.07</v>
      </c>
      <c r="F63" s="3">
        <v>202.82</v>
      </c>
      <c r="G63" s="3">
        <v>101.24</v>
      </c>
      <c r="H63" s="3">
        <v>39.549999999999997</v>
      </c>
      <c r="I63" s="3">
        <v>116.52</v>
      </c>
      <c r="J63" s="3">
        <v>535.67999999999995</v>
      </c>
      <c r="K63" s="3">
        <v>105</v>
      </c>
    </row>
    <row r="64" spans="1:11" ht="14.5" x14ac:dyDescent="0.35">
      <c r="A64" s="2" t="s">
        <v>40</v>
      </c>
      <c r="B64" s="3">
        <v>197.87</v>
      </c>
      <c r="C64" s="7">
        <v>517.94000000000005</v>
      </c>
      <c r="D64" s="3">
        <v>788.38</v>
      </c>
      <c r="E64" s="3">
        <v>486.85</v>
      </c>
      <c r="F64" s="3">
        <v>1079.28</v>
      </c>
      <c r="G64" s="3">
        <v>1476.28</v>
      </c>
      <c r="H64" s="3">
        <v>2893.23</v>
      </c>
      <c r="I64" s="3">
        <v>2780.91</v>
      </c>
      <c r="J64" s="3">
        <v>1762.37</v>
      </c>
      <c r="K64" s="3">
        <v>3324.24</v>
      </c>
    </row>
    <row r="65" spans="1:11" x14ac:dyDescent="0.25">
      <c r="A65" s="2" t="s">
        <v>41</v>
      </c>
      <c r="B65" s="3">
        <v>954.32</v>
      </c>
      <c r="C65" s="3">
        <v>1382.97</v>
      </c>
      <c r="D65" s="3">
        <v>1665.22</v>
      </c>
      <c r="E65" s="3">
        <v>2431.89</v>
      </c>
      <c r="F65" s="3">
        <v>2560.2199999999998</v>
      </c>
      <c r="G65" s="3">
        <v>2972.13</v>
      </c>
      <c r="H65" s="3">
        <v>3018.58</v>
      </c>
      <c r="I65" s="3">
        <v>3309.71</v>
      </c>
      <c r="J65" s="3">
        <v>3463.46</v>
      </c>
      <c r="K65" s="3">
        <v>3268.26</v>
      </c>
    </row>
    <row r="66" spans="1:11" s="1" customFormat="1" ht="13" x14ac:dyDescent="0.3">
      <c r="A66" s="1" t="s">
        <v>37</v>
      </c>
      <c r="B66" s="3">
        <v>2106.87</v>
      </c>
      <c r="C66" s="3">
        <v>2793.35</v>
      </c>
      <c r="D66" s="3">
        <v>3493.91</v>
      </c>
      <c r="E66" s="3">
        <v>4108.8</v>
      </c>
      <c r="F66" s="3">
        <v>5187.92</v>
      </c>
      <c r="G66" s="3">
        <v>6237.95</v>
      </c>
      <c r="H66" s="3">
        <v>7829.54</v>
      </c>
      <c r="I66" s="3">
        <v>8000.09</v>
      </c>
      <c r="J66" s="3">
        <v>7514.72</v>
      </c>
      <c r="K66" s="3">
        <v>9352.7199999999993</v>
      </c>
    </row>
    <row r="67" spans="1:11" x14ac:dyDescent="0.25">
      <c r="A67" s="2" t="s">
        <v>42</v>
      </c>
      <c r="B67" s="3">
        <v>108.7</v>
      </c>
      <c r="C67" s="3">
        <v>135.81</v>
      </c>
      <c r="D67" s="3">
        <v>170.61</v>
      </c>
      <c r="E67" s="3">
        <v>179.16</v>
      </c>
      <c r="F67" s="3">
        <v>304.60000000000002</v>
      </c>
      <c r="G67" s="3">
        <v>394.24</v>
      </c>
      <c r="H67" s="3">
        <v>320.36</v>
      </c>
      <c r="I67" s="3">
        <v>257.27</v>
      </c>
      <c r="J67" s="3">
        <v>331.93</v>
      </c>
      <c r="K67" s="3">
        <v>328.94</v>
      </c>
    </row>
    <row r="68" spans="1:11" ht="14.5" x14ac:dyDescent="0.35">
      <c r="A68" s="2" t="s">
        <v>43</v>
      </c>
      <c r="B68" s="7">
        <v>420.27</v>
      </c>
      <c r="C68" s="7">
        <v>404.04</v>
      </c>
      <c r="D68" s="7">
        <v>440.65</v>
      </c>
      <c r="E68" s="7">
        <v>661.45</v>
      </c>
      <c r="F68" s="7">
        <v>652.79</v>
      </c>
      <c r="G68" s="7">
        <v>781.38</v>
      </c>
      <c r="H68" s="7">
        <v>740.96</v>
      </c>
      <c r="I68" s="7">
        <v>1091.49</v>
      </c>
      <c r="J68" s="7">
        <v>1367.49</v>
      </c>
      <c r="K68" s="7">
        <v>1193.26</v>
      </c>
    </row>
    <row r="69" spans="1:11" x14ac:dyDescent="0.25">
      <c r="A69" s="2" t="s">
        <v>44</v>
      </c>
      <c r="B69" s="3">
        <v>109.07</v>
      </c>
      <c r="C69" s="3">
        <v>226.33</v>
      </c>
      <c r="D69" s="3">
        <v>87.65</v>
      </c>
      <c r="E69" s="3">
        <v>120.76</v>
      </c>
      <c r="F69" s="3">
        <v>186.42</v>
      </c>
      <c r="G69" s="3">
        <v>109.82</v>
      </c>
      <c r="H69" s="3">
        <v>122.85</v>
      </c>
      <c r="I69" s="3">
        <v>211.34</v>
      </c>
      <c r="J69" s="3">
        <v>184.9</v>
      </c>
      <c r="K69" s="3">
        <v>197.98</v>
      </c>
    </row>
    <row r="70" spans="1:11" x14ac:dyDescent="0.25">
      <c r="A70" s="2" t="s">
        <v>45</v>
      </c>
      <c r="B70" s="3">
        <v>119925800</v>
      </c>
      <c r="C70" s="3">
        <v>119925800</v>
      </c>
      <c r="D70" s="3">
        <v>119975815</v>
      </c>
      <c r="E70" s="3">
        <v>120000815</v>
      </c>
      <c r="F70" s="3">
        <v>120059148</v>
      </c>
      <c r="G70" s="3">
        <v>240318294</v>
      </c>
      <c r="H70" s="3">
        <v>240468296</v>
      </c>
      <c r="I70" s="3">
        <v>240868296</v>
      </c>
      <c r="J70" s="3">
        <v>240868296</v>
      </c>
      <c r="K70" s="3"/>
    </row>
    <row r="71" spans="1:11" ht="14" x14ac:dyDescent="0.3">
      <c r="A71" s="2" t="s">
        <v>46</v>
      </c>
      <c r="B71" s="9"/>
      <c r="C71" s="9"/>
      <c r="G71" s="9"/>
      <c r="H71" s="9"/>
    </row>
    <row r="72" spans="1:11" x14ac:dyDescent="0.25">
      <c r="A72" s="2" t="s">
        <v>47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25">
      <c r="H73" s="2">
        <f>H62-G62+H45</f>
        <v>240.84000000000012</v>
      </c>
      <c r="I73" s="2">
        <f t="shared" ref="I73:K73" si="4">I62-H62+I45</f>
        <v>-33.570000000000022</v>
      </c>
      <c r="J73" s="2">
        <f t="shared" si="4"/>
        <v>18.219999999999992</v>
      </c>
      <c r="K73" s="2">
        <f t="shared" si="4"/>
        <v>967.3399999999998</v>
      </c>
    </row>
    <row r="75" spans="1:11" x14ac:dyDescent="0.25">
      <c r="A75" s="2" t="s">
        <v>154</v>
      </c>
      <c r="B75" s="2">
        <f>B65-SUM(B67:B69)</f>
        <v>316.28000000000009</v>
      </c>
      <c r="C75" s="2">
        <f t="shared" ref="C75:K75" si="5">C65-SUM(C67:C69)</f>
        <v>616.79</v>
      </c>
      <c r="D75" s="2">
        <f t="shared" si="5"/>
        <v>966.31000000000006</v>
      </c>
      <c r="E75" s="2">
        <f t="shared" si="5"/>
        <v>1470.52</v>
      </c>
      <c r="F75" s="2">
        <f t="shared" si="5"/>
        <v>1416.4099999999999</v>
      </c>
      <c r="G75" s="2">
        <f t="shared" si="5"/>
        <v>1686.6900000000003</v>
      </c>
      <c r="H75" s="2">
        <f t="shared" si="5"/>
        <v>1834.4099999999999</v>
      </c>
      <c r="I75" s="2">
        <f t="shared" si="5"/>
        <v>1749.6100000000001</v>
      </c>
      <c r="J75" s="2">
        <f t="shared" si="5"/>
        <v>1579.1399999999999</v>
      </c>
      <c r="K75" s="2">
        <f t="shared" si="5"/>
        <v>1548.0800000000002</v>
      </c>
    </row>
    <row r="76" spans="1:11" x14ac:dyDescent="0.25">
      <c r="A76" s="2" t="s">
        <v>153</v>
      </c>
      <c r="B76" s="2">
        <f>B61</f>
        <v>2106.87</v>
      </c>
      <c r="C76" s="2">
        <f t="shared" ref="C76:K76" si="6">C61</f>
        <v>2793.35</v>
      </c>
      <c r="D76" s="2">
        <f t="shared" si="6"/>
        <v>3493.91</v>
      </c>
      <c r="E76" s="2">
        <f t="shared" si="6"/>
        <v>4108.8</v>
      </c>
      <c r="F76" s="2">
        <f t="shared" si="6"/>
        <v>5187.92</v>
      </c>
      <c r="G76" s="2">
        <f t="shared" si="6"/>
        <v>6237.95</v>
      </c>
      <c r="H76" s="2">
        <f t="shared" si="6"/>
        <v>7829.54</v>
      </c>
      <c r="I76" s="2">
        <f t="shared" si="6"/>
        <v>8000.09</v>
      </c>
      <c r="J76" s="2">
        <f t="shared" si="6"/>
        <v>7514.72</v>
      </c>
      <c r="K76" s="2">
        <f t="shared" si="6"/>
        <v>9352.7199999999993</v>
      </c>
    </row>
    <row r="80" spans="1:11" ht="13" x14ac:dyDescent="0.3">
      <c r="A80" s="1" t="s">
        <v>48</v>
      </c>
    </row>
    <row r="81" spans="1:12" s="6" customFormat="1" ht="13" x14ac:dyDescent="0.3">
      <c r="A81" s="4" t="s">
        <v>11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  <c r="L81" s="5"/>
    </row>
    <row r="82" spans="1:12" s="1" customFormat="1" ht="13" x14ac:dyDescent="0.3">
      <c r="A82" s="2" t="s">
        <v>49</v>
      </c>
      <c r="B82" s="3">
        <v>671.48</v>
      </c>
      <c r="C82" s="3">
        <v>584.46</v>
      </c>
      <c r="D82" s="3">
        <v>959.23</v>
      </c>
      <c r="E82" s="3">
        <v>441.28</v>
      </c>
      <c r="F82" s="3">
        <v>1248.77</v>
      </c>
      <c r="G82" s="3">
        <v>1155.78</v>
      </c>
      <c r="H82" s="3">
        <v>1484.53</v>
      </c>
      <c r="I82" s="3">
        <v>1875.52</v>
      </c>
      <c r="J82" s="3">
        <v>1299.52</v>
      </c>
      <c r="K82" s="3">
        <v>2526.21</v>
      </c>
    </row>
    <row r="83" spans="1:12" x14ac:dyDescent="0.25">
      <c r="A83" s="2" t="s">
        <v>50</v>
      </c>
      <c r="B83" s="3">
        <v>-245.64</v>
      </c>
      <c r="C83" s="3">
        <v>-450.3</v>
      </c>
      <c r="D83" s="3">
        <v>-705.2</v>
      </c>
      <c r="E83" s="3">
        <v>-149.85</v>
      </c>
      <c r="F83" s="3">
        <v>-956.52</v>
      </c>
      <c r="G83" s="3">
        <v>-852.22</v>
      </c>
      <c r="H83" s="3">
        <v>-1525.93</v>
      </c>
      <c r="I83" s="3">
        <v>433.17</v>
      </c>
      <c r="J83" s="3">
        <v>914.19</v>
      </c>
      <c r="K83" s="3">
        <v>-1517.06</v>
      </c>
    </row>
    <row r="84" spans="1:12" x14ac:dyDescent="0.25">
      <c r="A84" s="2" t="s">
        <v>51</v>
      </c>
      <c r="B84" s="3">
        <v>-357.34</v>
      </c>
      <c r="C84" s="3">
        <v>-181.37</v>
      </c>
      <c r="D84" s="3">
        <v>-246.18</v>
      </c>
      <c r="E84" s="3">
        <v>-295.08</v>
      </c>
      <c r="F84" s="3">
        <v>-231.75</v>
      </c>
      <c r="G84" s="3">
        <v>-352.68</v>
      </c>
      <c r="H84" s="3">
        <v>57.94</v>
      </c>
      <c r="I84" s="3">
        <v>-2242.5</v>
      </c>
      <c r="J84" s="3">
        <v>-2245.84</v>
      </c>
      <c r="K84" s="3">
        <v>-1028.3699999999999</v>
      </c>
    </row>
    <row r="85" spans="1:12" s="1" customFormat="1" ht="13" x14ac:dyDescent="0.3">
      <c r="A85" s="2" t="s">
        <v>52</v>
      </c>
      <c r="B85" s="3">
        <v>68.5</v>
      </c>
      <c r="C85" s="3">
        <v>-47.21</v>
      </c>
      <c r="D85" s="3">
        <v>7.85</v>
      </c>
      <c r="E85" s="3">
        <v>-3.65</v>
      </c>
      <c r="F85" s="3">
        <v>60.5</v>
      </c>
      <c r="G85" s="3">
        <v>-49.12</v>
      </c>
      <c r="H85" s="3">
        <v>16.54</v>
      </c>
      <c r="I85" s="3">
        <v>66.19</v>
      </c>
      <c r="J85" s="3">
        <v>-32.130000000000003</v>
      </c>
      <c r="K85" s="3">
        <v>-19.22</v>
      </c>
    </row>
    <row r="90" spans="1:12" s="1" customFormat="1" ht="13" x14ac:dyDescent="0.3">
      <c r="A90" s="1" t="s">
        <v>53</v>
      </c>
      <c r="B90" s="3">
        <v>421.7</v>
      </c>
      <c r="C90" s="3">
        <v>1079.28</v>
      </c>
      <c r="D90" s="3">
        <v>1343.25</v>
      </c>
      <c r="E90" s="3">
        <v>1687</v>
      </c>
      <c r="F90" s="3">
        <v>2485.3000000000002</v>
      </c>
      <c r="G90" s="3">
        <v>3085.5</v>
      </c>
      <c r="H90" s="3">
        <v>2688.95</v>
      </c>
      <c r="I90" s="3">
        <v>3625.05</v>
      </c>
      <c r="J90" s="3">
        <v>3206.4</v>
      </c>
      <c r="K90" s="3">
        <v>4322.1499999999996</v>
      </c>
    </row>
    <row r="92" spans="1:12" s="1" customFormat="1" ht="13" x14ac:dyDescent="0.3">
      <c r="A92" s="1" t="s">
        <v>54</v>
      </c>
    </row>
    <row r="93" spans="1:12" x14ac:dyDescent="0.25">
      <c r="A93" s="2" t="s">
        <v>55</v>
      </c>
      <c r="B93" s="10">
        <v>23.99</v>
      </c>
      <c r="C93" s="10">
        <v>23.99</v>
      </c>
      <c r="D93" s="10">
        <v>24</v>
      </c>
      <c r="E93" s="10">
        <v>24</v>
      </c>
      <c r="F93" s="10">
        <v>24.01</v>
      </c>
      <c r="G93" s="10">
        <v>24.03</v>
      </c>
      <c r="H93" s="10">
        <v>24.05</v>
      </c>
      <c r="I93" s="10">
        <v>24.09</v>
      </c>
      <c r="J93" s="10">
        <v>24.09</v>
      </c>
      <c r="K93" s="10">
        <v>24.09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25" right="0.25" top="0.75" bottom="0.75" header="0.3" footer="0.3"/>
  <pageSetup paperSize="9" scale="6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Financials&gt;</vt:lpstr>
      <vt:lpstr>HistoricalFS</vt:lpstr>
      <vt:lpstr>Ratio Analysis</vt:lpstr>
      <vt:lpstr>Forecasting</vt:lpstr>
      <vt:lpstr>Common Size Statement</vt:lpstr>
      <vt:lpstr>DCF&gt;</vt:lpstr>
      <vt:lpstr>Beta-Regression </vt:lpstr>
      <vt:lpstr>WACC</vt:lpstr>
      <vt:lpstr>Intrinsic Growth</vt:lpstr>
      <vt:lpstr>DCF</vt:lpstr>
      <vt:lpstr>Raw FS&amp;CF</vt:lpstr>
      <vt:lpstr>Data&gt; </vt:lpstr>
      <vt:lpstr>Beta-Comps</vt:lpstr>
      <vt:lpstr>Beta-Regression 1</vt:lpstr>
      <vt:lpstr>Beta-Regression 2</vt:lpstr>
      <vt:lpstr>Beta-Regression 3</vt:lpstr>
      <vt:lpstr>Beta-Regression 4</vt:lpstr>
      <vt:lpstr>Beta-Regression 5</vt:lpstr>
      <vt:lpstr>Data Room&gt;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Sparsh Singhal</cp:lastModifiedBy>
  <cp:lastPrinted>2023-06-21T13:52:03Z</cp:lastPrinted>
  <dcterms:created xsi:type="dcterms:W3CDTF">2023-01-14T08:22:33Z</dcterms:created>
  <dcterms:modified xsi:type="dcterms:W3CDTF">2023-06-21T14:03:29Z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