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n\Desktop\FP&amp;A\project itc\"/>
    </mc:Choice>
  </mc:AlternateContent>
  <xr:revisionPtr revIDLastSave="0" documentId="13_ncr:1_{418351E1-0828-4BAA-B1EE-5641F8AF3C73}" xr6:coauthVersionLast="47" xr6:coauthVersionMax="47" xr10:uidLastSave="{00000000-0000-0000-0000-000000000000}"/>
  <bookViews>
    <workbookView xWindow="-120" yWindow="-120" windowWidth="29040" windowHeight="15720" tabRatio="765" firstSheet="2" activeTab="11" xr2:uid="{68C7248F-77A8-45AE-9E68-AB3B58D557F8}"/>
  </bookViews>
  <sheets>
    <sheet name="Data Sheet" sheetId="9" r:id="rId1"/>
    <sheet name="Assumption Driver" sheetId="6" r:id="rId2"/>
    <sheet name="Financials Statements" sheetId="7" r:id="rId3"/>
    <sheet name="Common Size Statement" sheetId="18" r:id="rId4"/>
    <sheet name="Ratios" sheetId="11" r:id="rId5"/>
    <sheet name="Forecasting" sheetId="12" r:id="rId6"/>
    <sheet name="Beta Calculation" sheetId="14" r:id="rId7"/>
    <sheet name="WACC data Sheet" sheetId="16" r:id="rId8"/>
    <sheet name="WACC Calculation" sheetId="13" r:id="rId9"/>
    <sheet name="DCF" sheetId="20" r:id="rId10"/>
    <sheet name="Intrinsic Growth" sheetId="19" r:id="rId11"/>
    <sheet name="Comps_val" sheetId="21" r:id="rId12"/>
  </sheets>
  <definedNames>
    <definedName name="_xlnm._FilterDatabase" localSheetId="6" hidden="1">'Beta Calculation'!$B$9:$D$117</definedName>
    <definedName name="Beta">'Assumption Driver'!#REF!</definedName>
    <definedName name="CostofDebt">'Assumption Driver'!#REF!</definedName>
    <definedName name="Costofequity">'Assumption Driver'!#REF!</definedName>
    <definedName name="DebtValue">'Assumption Driver'!#REF!</definedName>
    <definedName name="EquityValue">'Assumption Driver'!#REF!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MarketReturns">'Assumption Driver'!#REF!</definedName>
    <definedName name="RiskFreeRate">'Assumption Driver'!#REF!</definedName>
    <definedName name="TaxRate">'Assumption Driver'!#REF!</definedName>
    <definedName name="UPDATE">'Data Sheet'!$E$1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7" i="19" l="1"/>
  <c r="F57" i="19"/>
  <c r="G57" i="19"/>
  <c r="H57" i="19"/>
  <c r="I57" i="19"/>
  <c r="J57" i="19"/>
  <c r="K57" i="19"/>
  <c r="L57" i="19"/>
  <c r="M57" i="19"/>
  <c r="N57" i="19"/>
  <c r="O57" i="19"/>
  <c r="D57" i="19"/>
  <c r="E41" i="19"/>
  <c r="F41" i="19"/>
  <c r="G41" i="19"/>
  <c r="H41" i="19"/>
  <c r="I41" i="19"/>
  <c r="J41" i="19"/>
  <c r="K41" i="19"/>
  <c r="L41" i="19"/>
  <c r="M41" i="19"/>
  <c r="N41" i="19"/>
  <c r="O41" i="19"/>
  <c r="D41" i="19"/>
  <c r="D4" i="19"/>
  <c r="E161" i="9"/>
  <c r="I161" i="9"/>
  <c r="G9" i="21" s="1"/>
  <c r="Q29" i="21" s="1"/>
  <c r="E162" i="9"/>
  <c r="I162" i="9"/>
  <c r="G8" i="21" s="1"/>
  <c r="P29" i="21" s="1"/>
  <c r="E163" i="9"/>
  <c r="I163" i="9"/>
  <c r="E164" i="9"/>
  <c r="I164" i="9"/>
  <c r="G11" i="21" s="1"/>
  <c r="E165" i="9"/>
  <c r="I165" i="9"/>
  <c r="G12" i="21" s="1"/>
  <c r="E166" i="9"/>
  <c r="I166" i="9"/>
  <c r="G13" i="21" s="1"/>
  <c r="E167" i="9"/>
  <c r="I167" i="9"/>
  <c r="G14" i="21" s="1"/>
  <c r="E168" i="9"/>
  <c r="I168" i="9"/>
  <c r="G15" i="21" s="1"/>
  <c r="E169" i="9"/>
  <c r="I169" i="9"/>
  <c r="E170" i="9"/>
  <c r="I170" i="9"/>
  <c r="G17" i="21" s="1"/>
  <c r="C119" i="9"/>
  <c r="D119" i="9" s="1"/>
  <c r="E119" i="9" s="1"/>
  <c r="F119" i="9" s="1"/>
  <c r="G119" i="9" s="1"/>
  <c r="H119" i="9" s="1"/>
  <c r="I119" i="9" s="1"/>
  <c r="J119" i="9" s="1"/>
  <c r="K119" i="9" s="1"/>
  <c r="L119" i="9" s="1"/>
  <c r="M119" i="9" s="1"/>
  <c r="O4" i="19" s="1"/>
  <c r="D3" i="20" s="1"/>
  <c r="E3" i="20" s="1"/>
  <c r="F3" i="20" s="1"/>
  <c r="G3" i="20" s="1"/>
  <c r="H3" i="20" s="1"/>
  <c r="I3" i="20" s="1"/>
  <c r="M17" i="21"/>
  <c r="L17" i="21"/>
  <c r="K17" i="21"/>
  <c r="E17" i="21"/>
  <c r="D17" i="21"/>
  <c r="F17" i="21" s="1"/>
  <c r="Q17" i="21" s="1"/>
  <c r="B17" i="21"/>
  <c r="M16" i="21"/>
  <c r="L16" i="21"/>
  <c r="K16" i="21"/>
  <c r="G16" i="21"/>
  <c r="E16" i="21"/>
  <c r="D16" i="21"/>
  <c r="B16" i="21"/>
  <c r="M15" i="21"/>
  <c r="L15" i="21"/>
  <c r="K15" i="21"/>
  <c r="E15" i="21"/>
  <c r="D15" i="21"/>
  <c r="B15" i="21"/>
  <c r="M14" i="21"/>
  <c r="L14" i="21"/>
  <c r="K14" i="21"/>
  <c r="E14" i="21"/>
  <c r="D14" i="21"/>
  <c r="F14" i="21" s="1"/>
  <c r="Q14" i="21" s="1"/>
  <c r="B14" i="21"/>
  <c r="M13" i="21"/>
  <c r="L13" i="21"/>
  <c r="K13" i="21"/>
  <c r="E13" i="21"/>
  <c r="D13" i="21"/>
  <c r="B13" i="21"/>
  <c r="M12" i="21"/>
  <c r="L12" i="21"/>
  <c r="K12" i="21"/>
  <c r="E12" i="21"/>
  <c r="D12" i="21"/>
  <c r="B12" i="21"/>
  <c r="M11" i="21"/>
  <c r="L11" i="21"/>
  <c r="K11" i="21"/>
  <c r="E11" i="21"/>
  <c r="D11" i="21"/>
  <c r="B11" i="21"/>
  <c r="M10" i="21"/>
  <c r="L10" i="21"/>
  <c r="K10" i="21"/>
  <c r="G10" i="21"/>
  <c r="E10" i="21"/>
  <c r="D10" i="21"/>
  <c r="B10" i="21"/>
  <c r="M9" i="21"/>
  <c r="L9" i="21"/>
  <c r="K9" i="21"/>
  <c r="E9" i="21"/>
  <c r="D9" i="21"/>
  <c r="B9" i="21"/>
  <c r="M8" i="21"/>
  <c r="L8" i="21"/>
  <c r="K8" i="21"/>
  <c r="E8" i="21"/>
  <c r="O31" i="21" s="1"/>
  <c r="D8" i="21"/>
  <c r="B8" i="21"/>
  <c r="D35" i="20"/>
  <c r="D34" i="20"/>
  <c r="D23" i="20"/>
  <c r="F10" i="20"/>
  <c r="G10" i="20" s="1"/>
  <c r="H10" i="20" s="1"/>
  <c r="I10" i="20" s="1"/>
  <c r="E6" i="20"/>
  <c r="B6" i="6"/>
  <c r="I7" i="6"/>
  <c r="J7" i="6"/>
  <c r="J9" i="6" s="1"/>
  <c r="J11" i="6" s="1"/>
  <c r="K7" i="6"/>
  <c r="L7" i="6" s="1"/>
  <c r="I8" i="6"/>
  <c r="I9" i="6" s="1"/>
  <c r="I11" i="6" s="1"/>
  <c r="I14" i="6" s="1"/>
  <c r="J8" i="6"/>
  <c r="D9" i="6"/>
  <c r="D11" i="6" s="1"/>
  <c r="D14" i="6" s="1"/>
  <c r="D16" i="6" s="1"/>
  <c r="E9" i="6"/>
  <c r="F9" i="6"/>
  <c r="G9" i="6"/>
  <c r="G11" i="6" s="1"/>
  <c r="G14" i="6" s="1"/>
  <c r="G16" i="6" s="1"/>
  <c r="H9" i="6"/>
  <c r="H11" i="6" s="1"/>
  <c r="H14" i="6" s="1"/>
  <c r="H16" i="6" s="1"/>
  <c r="I10" i="6"/>
  <c r="J10" i="6"/>
  <c r="K10" i="6"/>
  <c r="L10" i="6"/>
  <c r="M10" i="6"/>
  <c r="E11" i="6"/>
  <c r="F11" i="6"/>
  <c r="I12" i="6"/>
  <c r="I13" i="6"/>
  <c r="J13" i="6"/>
  <c r="K13" i="6"/>
  <c r="L13" i="6"/>
  <c r="M13" i="6"/>
  <c r="E14" i="6"/>
  <c r="E16" i="6" s="1"/>
  <c r="F14" i="6"/>
  <c r="F16" i="6"/>
  <c r="G43" i="19"/>
  <c r="H43" i="19"/>
  <c r="I43" i="19"/>
  <c r="J43" i="19"/>
  <c r="K43" i="19"/>
  <c r="L43" i="19"/>
  <c r="M43" i="19"/>
  <c r="N43" i="19"/>
  <c r="O43" i="19"/>
  <c r="F43" i="19"/>
  <c r="E37" i="19"/>
  <c r="E46" i="19" s="1"/>
  <c r="E48" i="19" s="1"/>
  <c r="D37" i="19"/>
  <c r="D46" i="19" s="1"/>
  <c r="D48" i="19" s="1"/>
  <c r="E33" i="19"/>
  <c r="F33" i="19"/>
  <c r="G33" i="19"/>
  <c r="H33" i="19"/>
  <c r="I33" i="19"/>
  <c r="J33" i="19"/>
  <c r="K33" i="19"/>
  <c r="L33" i="19"/>
  <c r="M33" i="19"/>
  <c r="N33" i="19"/>
  <c r="O33" i="19"/>
  <c r="D33" i="19"/>
  <c r="E32" i="19"/>
  <c r="E34" i="19" s="1"/>
  <c r="F32" i="19"/>
  <c r="F34" i="19" s="1"/>
  <c r="G32" i="19"/>
  <c r="G34" i="19" s="1"/>
  <c r="H32" i="19"/>
  <c r="H34" i="19" s="1"/>
  <c r="I32" i="19"/>
  <c r="I34" i="19" s="1"/>
  <c r="J32" i="19"/>
  <c r="J34" i="19" s="1"/>
  <c r="K32" i="19"/>
  <c r="K34" i="19" s="1"/>
  <c r="L32" i="19"/>
  <c r="L34" i="19" s="1"/>
  <c r="M32" i="19"/>
  <c r="M34" i="19" s="1"/>
  <c r="N32" i="19"/>
  <c r="N34" i="19" s="1"/>
  <c r="O32" i="19"/>
  <c r="O34" i="19" s="1"/>
  <c r="D32" i="19"/>
  <c r="D34" i="19" s="1"/>
  <c r="D23" i="19"/>
  <c r="E23" i="19"/>
  <c r="F23" i="19"/>
  <c r="G23" i="19"/>
  <c r="H23" i="19"/>
  <c r="I23" i="19"/>
  <c r="J23" i="19"/>
  <c r="K23" i="19"/>
  <c r="L23" i="19"/>
  <c r="M23" i="19"/>
  <c r="N23" i="19"/>
  <c r="O23" i="19"/>
  <c r="D24" i="19"/>
  <c r="E24" i="19"/>
  <c r="F24" i="19"/>
  <c r="G24" i="19"/>
  <c r="H24" i="19"/>
  <c r="I24" i="19"/>
  <c r="J24" i="19"/>
  <c r="K24" i="19"/>
  <c r="L24" i="19"/>
  <c r="M24" i="19"/>
  <c r="N24" i="19"/>
  <c r="O24" i="19"/>
  <c r="D25" i="19"/>
  <c r="E25" i="19"/>
  <c r="F25" i="19"/>
  <c r="G25" i="19"/>
  <c r="H25" i="19"/>
  <c r="I25" i="19"/>
  <c r="J25" i="19"/>
  <c r="K25" i="19"/>
  <c r="L25" i="19"/>
  <c r="M25" i="19"/>
  <c r="N25" i="19"/>
  <c r="O25" i="19"/>
  <c r="D26" i="19"/>
  <c r="E26" i="19"/>
  <c r="F26" i="19"/>
  <c r="G26" i="19"/>
  <c r="H26" i="19"/>
  <c r="I26" i="19"/>
  <c r="J26" i="19"/>
  <c r="K26" i="19"/>
  <c r="L26" i="19"/>
  <c r="M26" i="19"/>
  <c r="N26" i="19"/>
  <c r="O26" i="19"/>
  <c r="D27" i="19"/>
  <c r="E27" i="19"/>
  <c r="F27" i="19"/>
  <c r="G27" i="19"/>
  <c r="H27" i="19"/>
  <c r="I27" i="19"/>
  <c r="J27" i="19"/>
  <c r="K27" i="19"/>
  <c r="L27" i="19"/>
  <c r="M27" i="19"/>
  <c r="N27" i="19"/>
  <c r="O27" i="19"/>
  <c r="D28" i="19"/>
  <c r="E28" i="19"/>
  <c r="F28" i="19"/>
  <c r="G28" i="19"/>
  <c r="H28" i="19"/>
  <c r="I28" i="19"/>
  <c r="J28" i="19"/>
  <c r="K28" i="19"/>
  <c r="L28" i="19"/>
  <c r="M28" i="19"/>
  <c r="N28" i="19"/>
  <c r="O28" i="19"/>
  <c r="D29" i="19"/>
  <c r="E29" i="19"/>
  <c r="F29" i="19"/>
  <c r="G29" i="19"/>
  <c r="H29" i="19"/>
  <c r="I29" i="19"/>
  <c r="J29" i="19"/>
  <c r="K29" i="19"/>
  <c r="L29" i="19"/>
  <c r="M29" i="19"/>
  <c r="N29" i="19"/>
  <c r="O29" i="19"/>
  <c r="D30" i="19"/>
  <c r="E30" i="19"/>
  <c r="F30" i="19"/>
  <c r="G30" i="19"/>
  <c r="H30" i="19"/>
  <c r="I30" i="19"/>
  <c r="J30" i="19"/>
  <c r="K30" i="19"/>
  <c r="L30" i="19"/>
  <c r="M30" i="19"/>
  <c r="N30" i="19"/>
  <c r="O30" i="19"/>
  <c r="E22" i="19"/>
  <c r="F22" i="19"/>
  <c r="G22" i="19"/>
  <c r="H22" i="19"/>
  <c r="I22" i="19"/>
  <c r="J22" i="19"/>
  <c r="K22" i="19"/>
  <c r="L22" i="19"/>
  <c r="M22" i="19"/>
  <c r="N22" i="19"/>
  <c r="O22" i="19"/>
  <c r="D22" i="19"/>
  <c r="B23" i="19"/>
  <c r="B24" i="19"/>
  <c r="B25" i="19"/>
  <c r="B26" i="19"/>
  <c r="B27" i="19"/>
  <c r="B28" i="19"/>
  <c r="B29" i="19"/>
  <c r="B30" i="19"/>
  <c r="B22" i="19"/>
  <c r="N14" i="19"/>
  <c r="O14" i="19"/>
  <c r="N15" i="19"/>
  <c r="O15" i="19"/>
  <c r="N16" i="19"/>
  <c r="O16" i="19"/>
  <c r="N8" i="19"/>
  <c r="O8" i="19"/>
  <c r="N9" i="19"/>
  <c r="O9" i="19"/>
  <c r="N10" i="19"/>
  <c r="O10" i="19"/>
  <c r="N7" i="19"/>
  <c r="O7" i="19"/>
  <c r="D15" i="19"/>
  <c r="E15" i="19"/>
  <c r="F15" i="19"/>
  <c r="G15" i="19"/>
  <c r="H15" i="19"/>
  <c r="I15" i="19"/>
  <c r="J15" i="19"/>
  <c r="K15" i="19"/>
  <c r="L15" i="19"/>
  <c r="M15" i="19"/>
  <c r="D16" i="19"/>
  <c r="E16" i="19"/>
  <c r="F16" i="19"/>
  <c r="G16" i="19"/>
  <c r="H16" i="19"/>
  <c r="I16" i="19"/>
  <c r="J16" i="19"/>
  <c r="K16" i="19"/>
  <c r="L16" i="19"/>
  <c r="M16" i="19"/>
  <c r="E14" i="19"/>
  <c r="F14" i="19"/>
  <c r="G14" i="19"/>
  <c r="H14" i="19"/>
  <c r="I14" i="19"/>
  <c r="J14" i="19"/>
  <c r="K14" i="19"/>
  <c r="L14" i="19"/>
  <c r="M14" i="19"/>
  <c r="D14" i="19"/>
  <c r="B15" i="19"/>
  <c r="B16" i="19"/>
  <c r="B14" i="19"/>
  <c r="D10" i="19"/>
  <c r="E10" i="19"/>
  <c r="F10" i="19"/>
  <c r="G10" i="19"/>
  <c r="H10" i="19"/>
  <c r="I10" i="19"/>
  <c r="J10" i="19"/>
  <c r="K10" i="19"/>
  <c r="L10" i="19"/>
  <c r="M10" i="19"/>
  <c r="E9" i="19"/>
  <c r="F9" i="19"/>
  <c r="G9" i="19"/>
  <c r="H9" i="19"/>
  <c r="I9" i="19"/>
  <c r="J9" i="19"/>
  <c r="K9" i="19"/>
  <c r="L9" i="19"/>
  <c r="M9" i="19"/>
  <c r="B10" i="19"/>
  <c r="D9" i="19"/>
  <c r="D8" i="19"/>
  <c r="E8" i="19"/>
  <c r="F8" i="19"/>
  <c r="G8" i="19"/>
  <c r="H8" i="19"/>
  <c r="I8" i="19"/>
  <c r="J8" i="19"/>
  <c r="K8" i="19"/>
  <c r="L8" i="19"/>
  <c r="M8" i="19"/>
  <c r="E7" i="19"/>
  <c r="F7" i="19"/>
  <c r="G7" i="19"/>
  <c r="H7" i="19"/>
  <c r="I7" i="19"/>
  <c r="J7" i="19"/>
  <c r="K7" i="19"/>
  <c r="L7" i="19"/>
  <c r="M7" i="19"/>
  <c r="D7" i="19"/>
  <c r="B9" i="19"/>
  <c r="B8" i="19"/>
  <c r="B7" i="19"/>
  <c r="C75" i="9"/>
  <c r="D75" i="9"/>
  <c r="E75" i="9"/>
  <c r="F75" i="9"/>
  <c r="G75" i="9"/>
  <c r="H75" i="9"/>
  <c r="I75" i="9"/>
  <c r="J75" i="9"/>
  <c r="K75" i="9"/>
  <c r="B75" i="9"/>
  <c r="C74" i="9"/>
  <c r="E35" i="18" s="1"/>
  <c r="D74" i="9"/>
  <c r="F34" i="18" s="1"/>
  <c r="E74" i="9"/>
  <c r="G36" i="18" s="1"/>
  <c r="F74" i="9"/>
  <c r="H36" i="18" s="1"/>
  <c r="G74" i="9"/>
  <c r="I35" i="18" s="1"/>
  <c r="H74" i="9"/>
  <c r="J34" i="18" s="1"/>
  <c r="I74" i="9"/>
  <c r="K34" i="18" s="1"/>
  <c r="J74" i="9"/>
  <c r="L36" i="18" s="1"/>
  <c r="K74" i="9"/>
  <c r="M35" i="18" s="1"/>
  <c r="B74" i="9"/>
  <c r="D38" i="18" s="1"/>
  <c r="D29" i="18"/>
  <c r="E29" i="18"/>
  <c r="F29" i="18"/>
  <c r="G29" i="18"/>
  <c r="H29" i="18"/>
  <c r="I29" i="18"/>
  <c r="J29" i="18"/>
  <c r="K29" i="18"/>
  <c r="L29" i="18"/>
  <c r="M29" i="18"/>
  <c r="D30" i="18"/>
  <c r="E30" i="18"/>
  <c r="F30" i="18"/>
  <c r="G30" i="18"/>
  <c r="H30" i="18"/>
  <c r="I30" i="18"/>
  <c r="J30" i="18"/>
  <c r="K30" i="18"/>
  <c r="L30" i="18"/>
  <c r="M30" i="18"/>
  <c r="D31" i="18"/>
  <c r="E31" i="18"/>
  <c r="F31" i="18"/>
  <c r="G31" i="18"/>
  <c r="H31" i="18"/>
  <c r="I31" i="18"/>
  <c r="J31" i="18"/>
  <c r="K31" i="18"/>
  <c r="L31" i="18"/>
  <c r="M31" i="18"/>
  <c r="E28" i="18"/>
  <c r="F28" i="18"/>
  <c r="G28" i="18"/>
  <c r="H28" i="18"/>
  <c r="I28" i="18"/>
  <c r="J28" i="18"/>
  <c r="K28" i="18"/>
  <c r="L28" i="18"/>
  <c r="M28" i="18"/>
  <c r="D28" i="18"/>
  <c r="E27" i="18"/>
  <c r="F27" i="18"/>
  <c r="G27" i="18"/>
  <c r="H27" i="18"/>
  <c r="I27" i="18"/>
  <c r="J27" i="18"/>
  <c r="K27" i="18"/>
  <c r="L27" i="18"/>
  <c r="M27" i="18"/>
  <c r="D27" i="18"/>
  <c r="M25" i="18"/>
  <c r="L25" i="18"/>
  <c r="K25" i="18"/>
  <c r="J25" i="18"/>
  <c r="I25" i="18"/>
  <c r="H25" i="18"/>
  <c r="G25" i="18"/>
  <c r="F25" i="18"/>
  <c r="E25" i="18"/>
  <c r="D25" i="18"/>
  <c r="E4" i="18"/>
  <c r="F4" i="18"/>
  <c r="G4" i="18"/>
  <c r="H4" i="18"/>
  <c r="I4" i="18"/>
  <c r="J4" i="18"/>
  <c r="K4" i="18"/>
  <c r="L4" i="18"/>
  <c r="M4" i="18"/>
  <c r="D4" i="18"/>
  <c r="B29" i="18"/>
  <c r="B30" i="18"/>
  <c r="B31" i="18"/>
  <c r="B34" i="18"/>
  <c r="B35" i="18"/>
  <c r="B36" i="18"/>
  <c r="B37" i="18"/>
  <c r="B38" i="18"/>
  <c r="B39" i="18"/>
  <c r="B40" i="18"/>
  <c r="B28" i="18"/>
  <c r="B23" i="18"/>
  <c r="D7" i="18"/>
  <c r="E7" i="18"/>
  <c r="F7" i="18"/>
  <c r="G7" i="18"/>
  <c r="H7" i="18"/>
  <c r="I7" i="18"/>
  <c r="J7" i="18"/>
  <c r="K7" i="18"/>
  <c r="L7" i="18"/>
  <c r="M7" i="18"/>
  <c r="D8" i="18"/>
  <c r="E8" i="18"/>
  <c r="F8" i="18"/>
  <c r="G8" i="18"/>
  <c r="H8" i="18"/>
  <c r="I8" i="18"/>
  <c r="J8" i="18"/>
  <c r="K8" i="18"/>
  <c r="L8" i="18"/>
  <c r="M8" i="18"/>
  <c r="D9" i="18"/>
  <c r="E9" i="18"/>
  <c r="F9" i="18"/>
  <c r="G9" i="18"/>
  <c r="H9" i="18"/>
  <c r="I9" i="18"/>
  <c r="J9" i="18"/>
  <c r="K9" i="18"/>
  <c r="L9" i="18"/>
  <c r="M9" i="18"/>
  <c r="D10" i="18"/>
  <c r="E10" i="18"/>
  <c r="F10" i="18"/>
  <c r="G10" i="18"/>
  <c r="H10" i="18"/>
  <c r="I10" i="18"/>
  <c r="J10" i="18"/>
  <c r="K10" i="18"/>
  <c r="L10" i="18"/>
  <c r="M10" i="18"/>
  <c r="D11" i="18"/>
  <c r="E11" i="18"/>
  <c r="F11" i="18"/>
  <c r="G11" i="18"/>
  <c r="H11" i="18"/>
  <c r="I11" i="18"/>
  <c r="J11" i="18"/>
  <c r="K11" i="18"/>
  <c r="L11" i="18"/>
  <c r="M11" i="18"/>
  <c r="D12" i="18"/>
  <c r="E12" i="18"/>
  <c r="F12" i="18"/>
  <c r="G12" i="18"/>
  <c r="H12" i="18"/>
  <c r="I12" i="18"/>
  <c r="J12" i="18"/>
  <c r="K12" i="18"/>
  <c r="L12" i="18"/>
  <c r="M12" i="18"/>
  <c r="D13" i="18"/>
  <c r="E13" i="18"/>
  <c r="F13" i="18"/>
  <c r="G13" i="18"/>
  <c r="H13" i="18"/>
  <c r="I13" i="18"/>
  <c r="J13" i="18"/>
  <c r="K13" i="18"/>
  <c r="L13" i="18"/>
  <c r="M13" i="18"/>
  <c r="D14" i="18"/>
  <c r="E14" i="18"/>
  <c r="F14" i="18"/>
  <c r="G14" i="18"/>
  <c r="H14" i="18"/>
  <c r="I14" i="18"/>
  <c r="J14" i="18"/>
  <c r="K14" i="18"/>
  <c r="L14" i="18"/>
  <c r="M14" i="18"/>
  <c r="D15" i="18"/>
  <c r="E15" i="18"/>
  <c r="F15" i="18"/>
  <c r="G15" i="18"/>
  <c r="H15" i="18"/>
  <c r="I15" i="18"/>
  <c r="J15" i="18"/>
  <c r="K15" i="18"/>
  <c r="L15" i="18"/>
  <c r="M15" i="18"/>
  <c r="D16" i="18"/>
  <c r="E16" i="18"/>
  <c r="F16" i="18"/>
  <c r="G16" i="18"/>
  <c r="H16" i="18"/>
  <c r="I16" i="18"/>
  <c r="J16" i="18"/>
  <c r="K16" i="18"/>
  <c r="L16" i="18"/>
  <c r="M16" i="18"/>
  <c r="D17" i="18"/>
  <c r="E17" i="18"/>
  <c r="F17" i="18"/>
  <c r="G17" i="18"/>
  <c r="H17" i="18"/>
  <c r="I17" i="18"/>
  <c r="J17" i="18"/>
  <c r="K17" i="18"/>
  <c r="L17" i="18"/>
  <c r="M17" i="18"/>
  <c r="D18" i="18"/>
  <c r="E18" i="18"/>
  <c r="F18" i="18"/>
  <c r="G18" i="18"/>
  <c r="H18" i="18"/>
  <c r="I18" i="18"/>
  <c r="J18" i="18"/>
  <c r="K18" i="18"/>
  <c r="L18" i="18"/>
  <c r="M18" i="18"/>
  <c r="D19" i="18"/>
  <c r="E19" i="18"/>
  <c r="F19" i="18"/>
  <c r="G19" i="18"/>
  <c r="H19" i="18"/>
  <c r="I19" i="18"/>
  <c r="J19" i="18"/>
  <c r="K19" i="18"/>
  <c r="L19" i="18"/>
  <c r="M19" i="18"/>
  <c r="D20" i="18"/>
  <c r="E20" i="18"/>
  <c r="F20" i="18"/>
  <c r="G20" i="18"/>
  <c r="H20" i="18"/>
  <c r="I20" i="18"/>
  <c r="J20" i="18"/>
  <c r="K20" i="18"/>
  <c r="L20" i="18"/>
  <c r="M20" i="18"/>
  <c r="E6" i="18"/>
  <c r="F6" i="18"/>
  <c r="G6" i="18"/>
  <c r="H6" i="18"/>
  <c r="I6" i="18"/>
  <c r="J6" i="18"/>
  <c r="K6" i="18"/>
  <c r="L6" i="18"/>
  <c r="M6" i="18"/>
  <c r="D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6" i="18"/>
  <c r="B2" i="18"/>
  <c r="D37" i="6"/>
  <c r="D35" i="6"/>
  <c r="D34" i="6"/>
  <c r="D32" i="6"/>
  <c r="D30" i="6"/>
  <c r="D29" i="6"/>
  <c r="C32" i="13"/>
  <c r="B86" i="9"/>
  <c r="C86" i="9"/>
  <c r="D86" i="9"/>
  <c r="E86" i="9"/>
  <c r="F86" i="9"/>
  <c r="G86" i="9"/>
  <c r="H86" i="9"/>
  <c r="I86" i="9"/>
  <c r="J86" i="9"/>
  <c r="K86" i="9"/>
  <c r="F14" i="16"/>
  <c r="F16" i="16" s="1"/>
  <c r="C44" i="13" s="1"/>
  <c r="J44" i="13" s="1"/>
  <c r="Q11" i="13"/>
  <c r="Q12" i="13"/>
  <c r="Q13" i="13"/>
  <c r="Q14" i="13"/>
  <c r="Q10" i="13"/>
  <c r="K11" i="13"/>
  <c r="K12" i="13"/>
  <c r="K13" i="13"/>
  <c r="K14" i="13"/>
  <c r="K10" i="13"/>
  <c r="J11" i="13"/>
  <c r="J12" i="13"/>
  <c r="J13" i="13"/>
  <c r="J14" i="13"/>
  <c r="J10" i="13"/>
  <c r="P14" i="13"/>
  <c r="P13" i="13"/>
  <c r="P12" i="13"/>
  <c r="P10" i="13"/>
  <c r="J11" i="14"/>
  <c r="M10" i="14" s="1"/>
  <c r="E14" i="13" s="1"/>
  <c r="F9" i="21" l="1"/>
  <c r="I33" i="18"/>
  <c r="F16" i="21"/>
  <c r="Q16" i="21" s="1"/>
  <c r="L4" i="19"/>
  <c r="H4" i="19"/>
  <c r="E38" i="18"/>
  <c r="K4" i="19"/>
  <c r="G4" i="19"/>
  <c r="N4" i="19"/>
  <c r="J4" i="19"/>
  <c r="F4" i="19"/>
  <c r="M4" i="19"/>
  <c r="I4" i="19"/>
  <c r="E4" i="19"/>
  <c r="D39" i="18"/>
  <c r="F13" i="21"/>
  <c r="Q13" i="21" s="1"/>
  <c r="E33" i="18"/>
  <c r="L39" i="18"/>
  <c r="L35" i="18"/>
  <c r="F11" i="21"/>
  <c r="Q11" i="21" s="1"/>
  <c r="L37" i="18"/>
  <c r="H39" i="18"/>
  <c r="M34" i="18"/>
  <c r="H37" i="18"/>
  <c r="I38" i="18"/>
  <c r="I34" i="18"/>
  <c r="F10" i="21"/>
  <c r="H10" i="21" s="1"/>
  <c r="F12" i="21"/>
  <c r="Q12" i="21" s="1"/>
  <c r="F15" i="21"/>
  <c r="Q15" i="21" s="1"/>
  <c r="K37" i="18"/>
  <c r="G37" i="18"/>
  <c r="D37" i="18"/>
  <c r="J37" i="18"/>
  <c r="F37" i="18"/>
  <c r="E34" i="18"/>
  <c r="M33" i="18"/>
  <c r="M37" i="18"/>
  <c r="I37" i="18"/>
  <c r="E37" i="18"/>
  <c r="M38" i="18"/>
  <c r="H35" i="18"/>
  <c r="P31" i="21"/>
  <c r="Q10" i="21"/>
  <c r="Q9" i="21"/>
  <c r="H9" i="21"/>
  <c r="H14" i="21"/>
  <c r="H15" i="21"/>
  <c r="H17" i="21"/>
  <c r="O29" i="21"/>
  <c r="Q31" i="21"/>
  <c r="F8" i="21"/>
  <c r="F6" i="20"/>
  <c r="M7" i="6"/>
  <c r="L8" i="6"/>
  <c r="L9" i="6"/>
  <c r="L11" i="6" s="1"/>
  <c r="L12" i="6"/>
  <c r="I15" i="6"/>
  <c r="I16" i="6"/>
  <c r="J12" i="6"/>
  <c r="J14" i="6" s="1"/>
  <c r="K12" i="6"/>
  <c r="K8" i="6"/>
  <c r="K9" i="6" s="1"/>
  <c r="K11" i="6" s="1"/>
  <c r="K14" i="6" s="1"/>
  <c r="L33" i="18"/>
  <c r="H33" i="18"/>
  <c r="D34" i="18"/>
  <c r="D40" i="18"/>
  <c r="J40" i="18"/>
  <c r="F40" i="18"/>
  <c r="K39" i="18"/>
  <c r="G39" i="18"/>
  <c r="L38" i="18"/>
  <c r="H38" i="18"/>
  <c r="J36" i="18"/>
  <c r="F36" i="18"/>
  <c r="K35" i="18"/>
  <c r="G35" i="18"/>
  <c r="L34" i="18"/>
  <c r="H34" i="18"/>
  <c r="K40" i="18"/>
  <c r="K36" i="18"/>
  <c r="K33" i="18"/>
  <c r="G33" i="18"/>
  <c r="D35" i="18"/>
  <c r="M40" i="18"/>
  <c r="I40" i="18"/>
  <c r="E40" i="18"/>
  <c r="J39" i="18"/>
  <c r="F39" i="18"/>
  <c r="K38" i="18"/>
  <c r="G38" i="18"/>
  <c r="M36" i="18"/>
  <c r="I36" i="18"/>
  <c r="E36" i="18"/>
  <c r="J35" i="18"/>
  <c r="F35" i="18"/>
  <c r="G34" i="18"/>
  <c r="G40" i="18"/>
  <c r="D33" i="18"/>
  <c r="J33" i="18"/>
  <c r="F33" i="18"/>
  <c r="D36" i="18"/>
  <c r="L40" i="18"/>
  <c r="H40" i="18"/>
  <c r="M39" i="18"/>
  <c r="I39" i="18"/>
  <c r="E39" i="18"/>
  <c r="J38" i="18"/>
  <c r="F38" i="18"/>
  <c r="O11" i="19"/>
  <c r="O17" i="19"/>
  <c r="H17" i="19"/>
  <c r="M17" i="19"/>
  <c r="N17" i="19"/>
  <c r="L17" i="19"/>
  <c r="E17" i="19"/>
  <c r="N11" i="19"/>
  <c r="L11" i="19"/>
  <c r="D17" i="19"/>
  <c r="I17" i="19"/>
  <c r="J11" i="19"/>
  <c r="F11" i="19"/>
  <c r="K11" i="19"/>
  <c r="G11" i="19"/>
  <c r="F17" i="19"/>
  <c r="J17" i="19"/>
  <c r="M11" i="19"/>
  <c r="I11" i="19"/>
  <c r="I19" i="19" s="1"/>
  <c r="G17" i="19"/>
  <c r="K17" i="19"/>
  <c r="D11" i="19"/>
  <c r="D19" i="19" s="1"/>
  <c r="H11" i="19"/>
  <c r="E11" i="19"/>
  <c r="Q17" i="13"/>
  <c r="Q16" i="13"/>
  <c r="K16" i="13"/>
  <c r="H25" i="13" s="1"/>
  <c r="J17" i="13"/>
  <c r="K17" i="13"/>
  <c r="J16" i="13"/>
  <c r="M14" i="14"/>
  <c r="H13" i="21" l="1"/>
  <c r="H16" i="21"/>
  <c r="H12" i="21"/>
  <c r="P12" i="21" s="1"/>
  <c r="H11" i="21"/>
  <c r="P11" i="21" s="1"/>
  <c r="P14" i="21"/>
  <c r="O14" i="21"/>
  <c r="P17" i="21"/>
  <c r="O17" i="21"/>
  <c r="P13" i="21"/>
  <c r="O13" i="21"/>
  <c r="P9" i="21"/>
  <c r="O9" i="21"/>
  <c r="Q8" i="21"/>
  <c r="H8" i="21"/>
  <c r="P16" i="21"/>
  <c r="O16" i="21"/>
  <c r="P10" i="21"/>
  <c r="O10" i="21"/>
  <c r="P15" i="21"/>
  <c r="O15" i="21"/>
  <c r="G6" i="20"/>
  <c r="J15" i="6"/>
  <c r="J16" i="6" s="1"/>
  <c r="K15" i="6"/>
  <c r="K16" i="6" s="1"/>
  <c r="L14" i="6"/>
  <c r="M12" i="6"/>
  <c r="M8" i="6"/>
  <c r="M9" i="6" s="1"/>
  <c r="M11" i="6" s="1"/>
  <c r="M14" i="6" s="1"/>
  <c r="O19" i="19"/>
  <c r="O36" i="19" s="1"/>
  <c r="H19" i="19"/>
  <c r="I44" i="19" s="1"/>
  <c r="I50" i="19" s="1"/>
  <c r="I36" i="19"/>
  <c r="D36" i="19"/>
  <c r="D39" i="19" s="1"/>
  <c r="F19" i="19"/>
  <c r="L19" i="19"/>
  <c r="E19" i="19"/>
  <c r="E44" i="19" s="1"/>
  <c r="E50" i="19" s="1"/>
  <c r="E51" i="19" s="1"/>
  <c r="J19" i="19"/>
  <c r="J44" i="19" s="1"/>
  <c r="J50" i="19" s="1"/>
  <c r="N19" i="19"/>
  <c r="G19" i="19"/>
  <c r="M19" i="19"/>
  <c r="K19" i="19"/>
  <c r="E15" i="13"/>
  <c r="O11" i="13"/>
  <c r="P11" i="13" s="1"/>
  <c r="H38" i="13"/>
  <c r="H26" i="13"/>
  <c r="H24" i="13"/>
  <c r="O12" i="21" l="1"/>
  <c r="H36" i="19"/>
  <c r="O11" i="21"/>
  <c r="P8" i="21"/>
  <c r="O8" i="21"/>
  <c r="Q22" i="21"/>
  <c r="Q30" i="21" s="1"/>
  <c r="Q23" i="21"/>
  <c r="Q19" i="21"/>
  <c r="Q24" i="21"/>
  <c r="Q20" i="21"/>
  <c r="Q21" i="21"/>
  <c r="H6" i="20"/>
  <c r="M15" i="6"/>
  <c r="M16" i="6"/>
  <c r="L15" i="6"/>
  <c r="L16" i="6" s="1"/>
  <c r="E59" i="19"/>
  <c r="G36" i="19"/>
  <c r="H44" i="19"/>
  <c r="H50" i="19" s="1"/>
  <c r="L36" i="19"/>
  <c r="M44" i="19"/>
  <c r="M50" i="19" s="1"/>
  <c r="N36" i="19"/>
  <c r="O44" i="19"/>
  <c r="O50" i="19" s="1"/>
  <c r="F36" i="19"/>
  <c r="G44" i="19"/>
  <c r="G50" i="19" s="1"/>
  <c r="K36" i="19"/>
  <c r="L44" i="19"/>
  <c r="L50" i="19" s="1"/>
  <c r="J36" i="19"/>
  <c r="K44" i="19"/>
  <c r="K50" i="19" s="1"/>
  <c r="M36" i="19"/>
  <c r="N44" i="19"/>
  <c r="N50" i="19" s="1"/>
  <c r="E36" i="19"/>
  <c r="E39" i="19" s="1"/>
  <c r="E60" i="19" s="1"/>
  <c r="F44" i="19"/>
  <c r="F50" i="19" s="1"/>
  <c r="J10" i="14"/>
  <c r="J9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D117" i="14"/>
  <c r="D116" i="14"/>
  <c r="D115" i="14"/>
  <c r="D114" i="14"/>
  <c r="D113" i="14"/>
  <c r="D112" i="14"/>
  <c r="D111" i="14"/>
  <c r="D110" i="14"/>
  <c r="D109" i="14"/>
  <c r="D108" i="14"/>
  <c r="D107" i="14"/>
  <c r="D106" i="14"/>
  <c r="D105" i="14"/>
  <c r="D104" i="14"/>
  <c r="D103" i="14"/>
  <c r="D102" i="14"/>
  <c r="D101" i="14"/>
  <c r="D100" i="14"/>
  <c r="D99" i="14"/>
  <c r="D98" i="14"/>
  <c r="D97" i="14"/>
  <c r="D96" i="14"/>
  <c r="D95" i="14"/>
  <c r="D94" i="14"/>
  <c r="D93" i="14"/>
  <c r="D92" i="14"/>
  <c r="D91" i="14"/>
  <c r="D90" i="14"/>
  <c r="D89" i="14"/>
  <c r="D88" i="14"/>
  <c r="D87" i="14"/>
  <c r="D86" i="14"/>
  <c r="D85" i="14"/>
  <c r="D84" i="14"/>
  <c r="D83" i="14"/>
  <c r="D82" i="14"/>
  <c r="D81" i="14"/>
  <c r="D80" i="14"/>
  <c r="D79" i="14"/>
  <c r="D78" i="14"/>
  <c r="D77" i="14"/>
  <c r="D76" i="14"/>
  <c r="D75" i="14"/>
  <c r="D74" i="14"/>
  <c r="D73" i="14"/>
  <c r="D72" i="14"/>
  <c r="D71" i="14"/>
  <c r="D70" i="14"/>
  <c r="D69" i="14"/>
  <c r="D68" i="14"/>
  <c r="D67" i="14"/>
  <c r="D66" i="14"/>
  <c r="D65" i="14"/>
  <c r="D64" i="14"/>
  <c r="D63" i="14"/>
  <c r="D62" i="14"/>
  <c r="D61" i="14"/>
  <c r="D60" i="14"/>
  <c r="D59" i="14"/>
  <c r="D58" i="14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51" i="13"/>
  <c r="E11" i="13"/>
  <c r="C34" i="13" s="1"/>
  <c r="E10" i="13"/>
  <c r="C25" i="13" s="1"/>
  <c r="E9" i="13"/>
  <c r="I24" i="13"/>
  <c r="O17" i="13"/>
  <c r="O16" i="13"/>
  <c r="L17" i="13"/>
  <c r="L16" i="13"/>
  <c r="H39" i="13" s="1"/>
  <c r="H34" i="13" s="1"/>
  <c r="N14" i="13"/>
  <c r="N13" i="13"/>
  <c r="N12" i="13"/>
  <c r="N11" i="13"/>
  <c r="N10" i="13"/>
  <c r="M14" i="13"/>
  <c r="M13" i="13"/>
  <c r="M12" i="13"/>
  <c r="M11" i="13"/>
  <c r="M10" i="13"/>
  <c r="C43" i="6"/>
  <c r="C42" i="6"/>
  <c r="J19" i="6"/>
  <c r="K19" i="6" s="1"/>
  <c r="L19" i="6" s="1"/>
  <c r="M19" i="6" s="1"/>
  <c r="N5" i="12"/>
  <c r="L4" i="12"/>
  <c r="L7" i="12"/>
  <c r="L8" i="12" s="1"/>
  <c r="L9" i="12" s="1"/>
  <c r="L10" i="12" s="1"/>
  <c r="L11" i="12" s="1"/>
  <c r="L12" i="12" s="1"/>
  <c r="L13" i="12" s="1"/>
  <c r="L14" i="12" s="1"/>
  <c r="L15" i="12" s="1"/>
  <c r="L16" i="12" s="1"/>
  <c r="M6" i="12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H6" i="12"/>
  <c r="H7" i="12" s="1"/>
  <c r="H8" i="12" s="1"/>
  <c r="H9" i="12" s="1"/>
  <c r="H10" i="12" s="1"/>
  <c r="H11" i="12" s="1"/>
  <c r="H12" i="12" s="1"/>
  <c r="H13" i="12" s="1"/>
  <c r="H14" i="12" s="1"/>
  <c r="H15" i="12" s="1"/>
  <c r="H16" i="12" s="1"/>
  <c r="H17" i="12" s="1"/>
  <c r="H18" i="12" s="1"/>
  <c r="H19" i="12" s="1"/>
  <c r="H20" i="12" s="1"/>
  <c r="C6" i="12"/>
  <c r="C7" i="12" s="1"/>
  <c r="C8" i="12" s="1"/>
  <c r="C9" i="12" s="1"/>
  <c r="C10" i="12" s="1"/>
  <c r="C11" i="12" s="1"/>
  <c r="C12" i="12" s="1"/>
  <c r="C13" i="12" s="1"/>
  <c r="C14" i="12" s="1"/>
  <c r="C15" i="12" s="1"/>
  <c r="C16" i="12" s="1"/>
  <c r="C17" i="12" s="1"/>
  <c r="C18" i="12" s="1"/>
  <c r="C19" i="12" s="1"/>
  <c r="C20" i="12" s="1"/>
  <c r="G4" i="12"/>
  <c r="B4" i="12"/>
  <c r="G7" i="12"/>
  <c r="G8" i="12" s="1"/>
  <c r="G9" i="12" s="1"/>
  <c r="G10" i="12" s="1"/>
  <c r="G11" i="12" s="1"/>
  <c r="G12" i="12" s="1"/>
  <c r="G13" i="12" s="1"/>
  <c r="G14" i="12" s="1"/>
  <c r="G15" i="12" s="1"/>
  <c r="G16" i="12" s="1"/>
  <c r="D6" i="12" a="1"/>
  <c r="D6" i="12" s="1"/>
  <c r="B7" i="12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E13" i="13" l="1"/>
  <c r="P21" i="21"/>
  <c r="P20" i="21"/>
  <c r="P22" i="21"/>
  <c r="P28" i="21" s="1"/>
  <c r="P30" i="21" s="1"/>
  <c r="P33" i="21" s="1"/>
  <c r="P36" i="21" s="1"/>
  <c r="P23" i="21"/>
  <c r="P19" i="21"/>
  <c r="P24" i="21"/>
  <c r="Q33" i="21"/>
  <c r="Q36" i="21" s="1"/>
  <c r="Q28" i="21"/>
  <c r="O24" i="21"/>
  <c r="O20" i="21"/>
  <c r="O21" i="21"/>
  <c r="O22" i="21"/>
  <c r="O28" i="21" s="1"/>
  <c r="O30" i="21" s="1"/>
  <c r="O33" i="21" s="1"/>
  <c r="O36" i="21" s="1"/>
  <c r="O23" i="21"/>
  <c r="O19" i="21"/>
  <c r="I6" i="20"/>
  <c r="E62" i="19"/>
  <c r="H40" i="13"/>
  <c r="H51" i="13" s="1"/>
  <c r="E16" i="13"/>
  <c r="C38" i="13" s="1"/>
  <c r="C39" i="13"/>
  <c r="C24" i="13"/>
  <c r="E12" i="13"/>
  <c r="I25" i="13"/>
  <c r="I26" i="13" s="1"/>
  <c r="J26" i="13" s="1"/>
  <c r="M17" i="13"/>
  <c r="N17" i="13"/>
  <c r="M16" i="13"/>
  <c r="J24" i="13" s="1"/>
  <c r="I51" i="13" s="1"/>
  <c r="P17" i="13"/>
  <c r="H32" i="13" s="1"/>
  <c r="N16" i="13"/>
  <c r="L17" i="12"/>
  <c r="G17" i="12"/>
  <c r="D13" i="12"/>
  <c r="D9" i="12"/>
  <c r="D12" i="12"/>
  <c r="D8" i="12"/>
  <c r="D15" i="12"/>
  <c r="D11" i="12"/>
  <c r="D7" i="12"/>
  <c r="E7" i="12" s="1"/>
  <c r="D14" i="12"/>
  <c r="D10" i="12"/>
  <c r="C7" i="11"/>
  <c r="C6" i="11"/>
  <c r="B2" i="11"/>
  <c r="L3" i="11"/>
  <c r="K3" i="11"/>
  <c r="J3" i="11"/>
  <c r="I3" i="11"/>
  <c r="H3" i="11"/>
  <c r="G3" i="11"/>
  <c r="F3" i="11"/>
  <c r="E3" i="11"/>
  <c r="D3" i="11"/>
  <c r="C3" i="11"/>
  <c r="E15" i="12" l="1"/>
  <c r="J25" i="13"/>
  <c r="I52" i="13" s="1"/>
  <c r="C26" i="13"/>
  <c r="D25" i="13" s="1"/>
  <c r="D24" i="13"/>
  <c r="C40" i="13"/>
  <c r="C51" i="13" s="1"/>
  <c r="I28" i="13"/>
  <c r="P16" i="13"/>
  <c r="E12" i="12"/>
  <c r="E11" i="12"/>
  <c r="E9" i="12"/>
  <c r="D19" i="12"/>
  <c r="D18" i="12"/>
  <c r="E10" i="12"/>
  <c r="E13" i="12"/>
  <c r="D16" i="12"/>
  <c r="E16" i="12" s="1"/>
  <c r="D20" i="12"/>
  <c r="E20" i="12" s="1"/>
  <c r="E14" i="12"/>
  <c r="E8" i="12"/>
  <c r="D17" i="12"/>
  <c r="L18" i="12"/>
  <c r="G18" i="12"/>
  <c r="L99" i="7"/>
  <c r="K99" i="7"/>
  <c r="J99" i="7"/>
  <c r="I99" i="7"/>
  <c r="H99" i="7"/>
  <c r="G99" i="7"/>
  <c r="F99" i="7"/>
  <c r="E99" i="7"/>
  <c r="D99" i="7"/>
  <c r="C99" i="7"/>
  <c r="L98" i="7"/>
  <c r="K98" i="7"/>
  <c r="J98" i="7"/>
  <c r="I98" i="7"/>
  <c r="H98" i="7"/>
  <c r="G98" i="7"/>
  <c r="F98" i="7"/>
  <c r="E98" i="7"/>
  <c r="D98" i="7"/>
  <c r="C98" i="7"/>
  <c r="L97" i="7"/>
  <c r="K97" i="7"/>
  <c r="J97" i="7"/>
  <c r="I97" i="7"/>
  <c r="H97" i="7"/>
  <c r="G97" i="7"/>
  <c r="F97" i="7"/>
  <c r="E97" i="7"/>
  <c r="D97" i="7"/>
  <c r="C97" i="7"/>
  <c r="L96" i="7"/>
  <c r="K96" i="7"/>
  <c r="J96" i="7"/>
  <c r="I96" i="7"/>
  <c r="H96" i="7"/>
  <c r="G96" i="7"/>
  <c r="F96" i="7"/>
  <c r="E96" i="7"/>
  <c r="D96" i="7"/>
  <c r="C96" i="7"/>
  <c r="L95" i="7"/>
  <c r="K95" i="7"/>
  <c r="J95" i="7"/>
  <c r="I95" i="7"/>
  <c r="H95" i="7"/>
  <c r="G95" i="7"/>
  <c r="F95" i="7"/>
  <c r="E95" i="7"/>
  <c r="D95" i="7"/>
  <c r="C95" i="7"/>
  <c r="L94" i="7"/>
  <c r="K94" i="7"/>
  <c r="J94" i="7"/>
  <c r="I94" i="7"/>
  <c r="H94" i="7"/>
  <c r="G94" i="7"/>
  <c r="F94" i="7"/>
  <c r="E94" i="7"/>
  <c r="D94" i="7"/>
  <c r="C94" i="7"/>
  <c r="L93" i="7"/>
  <c r="K93" i="7"/>
  <c r="J93" i="7"/>
  <c r="I93" i="7"/>
  <c r="H93" i="7"/>
  <c r="G93" i="7"/>
  <c r="F93" i="7"/>
  <c r="E93" i="7"/>
  <c r="D93" i="7"/>
  <c r="C93" i="7"/>
  <c r="L89" i="7"/>
  <c r="K89" i="7"/>
  <c r="J89" i="7"/>
  <c r="I89" i="7"/>
  <c r="H89" i="7"/>
  <c r="G89" i="7"/>
  <c r="F89" i="7"/>
  <c r="E89" i="7"/>
  <c r="D89" i="7"/>
  <c r="C89" i="7"/>
  <c r="L88" i="7"/>
  <c r="K88" i="7"/>
  <c r="J88" i="7"/>
  <c r="I88" i="7"/>
  <c r="H88" i="7"/>
  <c r="G88" i="7"/>
  <c r="F88" i="7"/>
  <c r="E88" i="7"/>
  <c r="D88" i="7"/>
  <c r="C88" i="7"/>
  <c r="L87" i="7"/>
  <c r="K87" i="7"/>
  <c r="J87" i="7"/>
  <c r="I87" i="7"/>
  <c r="H87" i="7"/>
  <c r="G87" i="7"/>
  <c r="F87" i="7"/>
  <c r="E87" i="7"/>
  <c r="D87" i="7"/>
  <c r="C87" i="7"/>
  <c r="L86" i="7"/>
  <c r="K86" i="7"/>
  <c r="J86" i="7"/>
  <c r="I86" i="7"/>
  <c r="H86" i="7"/>
  <c r="G86" i="7"/>
  <c r="F86" i="7"/>
  <c r="E86" i="7"/>
  <c r="D86" i="7"/>
  <c r="C86" i="7"/>
  <c r="L85" i="7"/>
  <c r="K85" i="7"/>
  <c r="J85" i="7"/>
  <c r="I85" i="7"/>
  <c r="H85" i="7"/>
  <c r="G85" i="7"/>
  <c r="F85" i="7"/>
  <c r="E85" i="7"/>
  <c r="D85" i="7"/>
  <c r="C85" i="7"/>
  <c r="L84" i="7"/>
  <c r="K84" i="7"/>
  <c r="J84" i="7"/>
  <c r="I84" i="7"/>
  <c r="H84" i="7"/>
  <c r="G84" i="7"/>
  <c r="F84" i="7"/>
  <c r="E84" i="7"/>
  <c r="D84" i="7"/>
  <c r="C84" i="7"/>
  <c r="L83" i="7"/>
  <c r="K83" i="7"/>
  <c r="J83" i="7"/>
  <c r="I83" i="7"/>
  <c r="H83" i="7"/>
  <c r="G83" i="7"/>
  <c r="F83" i="7"/>
  <c r="E83" i="7"/>
  <c r="D83" i="7"/>
  <c r="C83" i="7"/>
  <c r="L82" i="7"/>
  <c r="K82" i="7"/>
  <c r="J82" i="7"/>
  <c r="I82" i="7"/>
  <c r="H82" i="7"/>
  <c r="G82" i="7"/>
  <c r="F82" i="7"/>
  <c r="E82" i="7"/>
  <c r="D82" i="7"/>
  <c r="C82" i="7"/>
  <c r="L81" i="7"/>
  <c r="K81" i="7"/>
  <c r="J81" i="7"/>
  <c r="I81" i="7"/>
  <c r="H81" i="7"/>
  <c r="G81" i="7"/>
  <c r="F81" i="7"/>
  <c r="E81" i="7"/>
  <c r="D81" i="7"/>
  <c r="C81" i="7"/>
  <c r="L80" i="7"/>
  <c r="K80" i="7"/>
  <c r="J80" i="7"/>
  <c r="I80" i="7"/>
  <c r="H80" i="7"/>
  <c r="G80" i="7"/>
  <c r="F80" i="7"/>
  <c r="E80" i="7"/>
  <c r="D80" i="7"/>
  <c r="C80" i="7"/>
  <c r="L76" i="7"/>
  <c r="K76" i="7"/>
  <c r="J76" i="7"/>
  <c r="I76" i="7"/>
  <c r="H76" i="7"/>
  <c r="G76" i="7"/>
  <c r="F76" i="7"/>
  <c r="E76" i="7"/>
  <c r="D76" i="7"/>
  <c r="C76" i="7"/>
  <c r="L75" i="7"/>
  <c r="K75" i="7"/>
  <c r="J75" i="7"/>
  <c r="I75" i="7"/>
  <c r="H75" i="7"/>
  <c r="G75" i="7"/>
  <c r="F75" i="7"/>
  <c r="E75" i="7"/>
  <c r="D75" i="7"/>
  <c r="C75" i="7"/>
  <c r="L74" i="7"/>
  <c r="K74" i="7"/>
  <c r="J74" i="7"/>
  <c r="I74" i="7"/>
  <c r="H74" i="7"/>
  <c r="G74" i="7"/>
  <c r="F74" i="7"/>
  <c r="E74" i="7"/>
  <c r="D74" i="7"/>
  <c r="C74" i="7"/>
  <c r="L73" i="7"/>
  <c r="K73" i="7"/>
  <c r="J73" i="7"/>
  <c r="I73" i="7"/>
  <c r="H73" i="7"/>
  <c r="G73" i="7"/>
  <c r="F73" i="7"/>
  <c r="E73" i="7"/>
  <c r="D73" i="7"/>
  <c r="C73" i="7"/>
  <c r="L72" i="7"/>
  <c r="K72" i="7"/>
  <c r="J72" i="7"/>
  <c r="I72" i="7"/>
  <c r="H72" i="7"/>
  <c r="G72" i="7"/>
  <c r="F72" i="7"/>
  <c r="E72" i="7"/>
  <c r="D72" i="7"/>
  <c r="C72" i="7"/>
  <c r="L71" i="7"/>
  <c r="K71" i="7"/>
  <c r="J71" i="7"/>
  <c r="I71" i="7"/>
  <c r="H71" i="7"/>
  <c r="G71" i="7"/>
  <c r="F71" i="7"/>
  <c r="E71" i="7"/>
  <c r="D71" i="7"/>
  <c r="C71" i="7"/>
  <c r="L70" i="7"/>
  <c r="K70" i="7"/>
  <c r="J70" i="7"/>
  <c r="I70" i="7"/>
  <c r="H70" i="7"/>
  <c r="G70" i="7"/>
  <c r="F70" i="7"/>
  <c r="E70" i="7"/>
  <c r="D70" i="7"/>
  <c r="C70" i="7"/>
  <c r="B68" i="7"/>
  <c r="B46" i="7"/>
  <c r="B5" i="7"/>
  <c r="A5" i="7" s="1"/>
  <c r="L56" i="7"/>
  <c r="K56" i="7"/>
  <c r="J56" i="7"/>
  <c r="I56" i="7"/>
  <c r="H56" i="7"/>
  <c r="G56" i="7"/>
  <c r="F56" i="7"/>
  <c r="E56" i="7"/>
  <c r="D56" i="7"/>
  <c r="C56" i="7"/>
  <c r="J90" i="7" l="1"/>
  <c r="F90" i="7"/>
  <c r="F77" i="7"/>
  <c r="I90" i="7"/>
  <c r="E90" i="7"/>
  <c r="D77" i="7"/>
  <c r="H77" i="7"/>
  <c r="L77" i="7"/>
  <c r="E77" i="7"/>
  <c r="I77" i="7"/>
  <c r="E19" i="12"/>
  <c r="J77" i="7"/>
  <c r="D90" i="7"/>
  <c r="H90" i="7"/>
  <c r="L90" i="7"/>
  <c r="D100" i="7"/>
  <c r="H100" i="7"/>
  <c r="L100" i="7"/>
  <c r="G77" i="7"/>
  <c r="K77" i="7"/>
  <c r="G90" i="7"/>
  <c r="K90" i="7"/>
  <c r="C100" i="7"/>
  <c r="G100" i="7"/>
  <c r="K100" i="7"/>
  <c r="E100" i="7"/>
  <c r="I100" i="7"/>
  <c r="F100" i="7"/>
  <c r="F102" i="7" s="1"/>
  <c r="J100" i="7"/>
  <c r="E18" i="12"/>
  <c r="E17" i="12"/>
  <c r="J28" i="13"/>
  <c r="H33" i="13" s="1"/>
  <c r="H35" i="13" s="1"/>
  <c r="J45" i="13" s="1"/>
  <c r="J46" i="13" s="1"/>
  <c r="H52" i="13" s="1"/>
  <c r="I53" i="13" s="1"/>
  <c r="D28" i="13"/>
  <c r="D26" i="13"/>
  <c r="E26" i="13" s="1"/>
  <c r="E25" i="13" s="1"/>
  <c r="L19" i="12"/>
  <c r="G19" i="12"/>
  <c r="C90" i="7"/>
  <c r="C77" i="7"/>
  <c r="I102" i="7" l="1"/>
  <c r="D102" i="7"/>
  <c r="H102" i="7"/>
  <c r="L102" i="7"/>
  <c r="G102" i="7"/>
  <c r="J102" i="7"/>
  <c r="E102" i="7"/>
  <c r="K102" i="7"/>
  <c r="E28" i="13"/>
  <c r="C33" i="13" s="1"/>
  <c r="C35" i="13" s="1"/>
  <c r="C45" i="13" s="1"/>
  <c r="C46" i="13" s="1"/>
  <c r="C52" i="13" s="1"/>
  <c r="D52" i="13"/>
  <c r="L20" i="12"/>
  <c r="G20" i="12"/>
  <c r="C102" i="7"/>
  <c r="D53" i="13" l="1"/>
  <c r="D17" i="20" s="1"/>
  <c r="C59" i="7"/>
  <c r="D59" i="7"/>
  <c r="E59" i="7"/>
  <c r="F59" i="7"/>
  <c r="G59" i="7"/>
  <c r="H59" i="7"/>
  <c r="I59" i="7"/>
  <c r="J59" i="7"/>
  <c r="K59" i="7"/>
  <c r="L59" i="7"/>
  <c r="C60" i="7"/>
  <c r="D60" i="7"/>
  <c r="E60" i="7"/>
  <c r="F60" i="7"/>
  <c r="G60" i="7"/>
  <c r="H60" i="7"/>
  <c r="I60" i="7"/>
  <c r="J60" i="7"/>
  <c r="K60" i="7"/>
  <c r="K62" i="7" s="1"/>
  <c r="L60" i="7"/>
  <c r="C61" i="7"/>
  <c r="D61" i="7"/>
  <c r="E61" i="7"/>
  <c r="F61" i="7"/>
  <c r="G61" i="7"/>
  <c r="H61" i="7"/>
  <c r="I61" i="7"/>
  <c r="J61" i="7"/>
  <c r="K61" i="7"/>
  <c r="L61" i="7"/>
  <c r="C62" i="7"/>
  <c r="L55" i="7"/>
  <c r="K55" i="7"/>
  <c r="J55" i="7"/>
  <c r="I55" i="7"/>
  <c r="H55" i="7"/>
  <c r="G55" i="7"/>
  <c r="F55" i="7"/>
  <c r="E55" i="7"/>
  <c r="D55" i="7"/>
  <c r="C55" i="7"/>
  <c r="L54" i="7"/>
  <c r="K54" i="7"/>
  <c r="J54" i="7"/>
  <c r="I54" i="7"/>
  <c r="H54" i="7"/>
  <c r="G54" i="7"/>
  <c r="F54" i="7"/>
  <c r="E54" i="7"/>
  <c r="D54" i="7"/>
  <c r="C54" i="7"/>
  <c r="L53" i="7"/>
  <c r="K53" i="7"/>
  <c r="J53" i="7"/>
  <c r="I53" i="7"/>
  <c r="H53" i="7"/>
  <c r="G53" i="7"/>
  <c r="F53" i="7"/>
  <c r="E53" i="7"/>
  <c r="D53" i="7"/>
  <c r="C53" i="7"/>
  <c r="L51" i="7"/>
  <c r="K51" i="7"/>
  <c r="J51" i="7"/>
  <c r="I51" i="7"/>
  <c r="H51" i="7"/>
  <c r="G51" i="7"/>
  <c r="F51" i="7"/>
  <c r="E51" i="7"/>
  <c r="D51" i="7"/>
  <c r="C51" i="7"/>
  <c r="L50" i="7"/>
  <c r="K50" i="7"/>
  <c r="J50" i="7"/>
  <c r="I50" i="7"/>
  <c r="H50" i="7"/>
  <c r="G50" i="7"/>
  <c r="F50" i="7"/>
  <c r="E50" i="7"/>
  <c r="D50" i="7"/>
  <c r="C50" i="7"/>
  <c r="L49" i="7"/>
  <c r="L47" i="11" s="1"/>
  <c r="K49" i="7"/>
  <c r="K47" i="11" s="1"/>
  <c r="J49" i="7"/>
  <c r="J47" i="11" s="1"/>
  <c r="I49" i="7"/>
  <c r="I47" i="11" s="1"/>
  <c r="H49" i="7"/>
  <c r="H47" i="11" s="1"/>
  <c r="G49" i="7"/>
  <c r="G47" i="11" s="1"/>
  <c r="F49" i="7"/>
  <c r="F47" i="11" s="1"/>
  <c r="E49" i="7"/>
  <c r="E47" i="11" s="1"/>
  <c r="D49" i="7"/>
  <c r="D47" i="11" s="1"/>
  <c r="C49" i="7"/>
  <c r="C47" i="11" s="1"/>
  <c r="L48" i="7"/>
  <c r="K48" i="7"/>
  <c r="J48" i="7"/>
  <c r="I48" i="7"/>
  <c r="H48" i="7"/>
  <c r="G48" i="7"/>
  <c r="F48" i="7"/>
  <c r="E48" i="7"/>
  <c r="D48" i="7"/>
  <c r="C48" i="7"/>
  <c r="L47" i="7"/>
  <c r="K47" i="7"/>
  <c r="J47" i="7"/>
  <c r="I47" i="7"/>
  <c r="H47" i="7"/>
  <c r="G47" i="7"/>
  <c r="F47" i="7"/>
  <c r="E47" i="7"/>
  <c r="D47" i="7"/>
  <c r="C47" i="7"/>
  <c r="C36" i="7"/>
  <c r="C41" i="7" s="1"/>
  <c r="C10" i="11" s="1"/>
  <c r="L36" i="7"/>
  <c r="L41" i="7" s="1"/>
  <c r="K36" i="7"/>
  <c r="K41" i="7" s="1"/>
  <c r="J36" i="7"/>
  <c r="J41" i="7" s="1"/>
  <c r="I36" i="7"/>
  <c r="I41" i="7" s="1"/>
  <c r="H36" i="7"/>
  <c r="H41" i="7" s="1"/>
  <c r="G36" i="7"/>
  <c r="G41" i="7" s="1"/>
  <c r="F36" i="7"/>
  <c r="F41" i="7" s="1"/>
  <c r="E36" i="7"/>
  <c r="E41" i="7" s="1"/>
  <c r="D36" i="7"/>
  <c r="D41" i="7" s="1"/>
  <c r="D10" i="11" s="1"/>
  <c r="L30" i="7"/>
  <c r="K30" i="7"/>
  <c r="J30" i="7"/>
  <c r="I30" i="7"/>
  <c r="H30" i="7"/>
  <c r="G30" i="7"/>
  <c r="F30" i="7"/>
  <c r="E30" i="7"/>
  <c r="D30" i="7"/>
  <c r="C30" i="7"/>
  <c r="L24" i="7"/>
  <c r="K24" i="7"/>
  <c r="J24" i="7"/>
  <c r="I24" i="7"/>
  <c r="H24" i="7"/>
  <c r="G24" i="7"/>
  <c r="F24" i="7"/>
  <c r="E24" i="7"/>
  <c r="D24" i="7"/>
  <c r="C24" i="7"/>
  <c r="L21" i="7"/>
  <c r="K21" i="7"/>
  <c r="J21" i="7"/>
  <c r="I21" i="7"/>
  <c r="H21" i="7"/>
  <c r="G21" i="7"/>
  <c r="F21" i="7"/>
  <c r="E21" i="7"/>
  <c r="D21" i="7"/>
  <c r="C21" i="7"/>
  <c r="L15" i="7"/>
  <c r="K15" i="7"/>
  <c r="J15" i="7"/>
  <c r="I15" i="7"/>
  <c r="H15" i="7"/>
  <c r="G15" i="7"/>
  <c r="F15" i="7"/>
  <c r="E15" i="7"/>
  <c r="D15" i="7"/>
  <c r="C15" i="7"/>
  <c r="L9" i="7"/>
  <c r="K9" i="7"/>
  <c r="J9" i="7"/>
  <c r="I9" i="7"/>
  <c r="H9" i="7"/>
  <c r="G9" i="7"/>
  <c r="F9" i="7"/>
  <c r="E9" i="7"/>
  <c r="D9" i="7"/>
  <c r="C9" i="7"/>
  <c r="D6" i="7"/>
  <c r="E6" i="7"/>
  <c r="F6" i="7"/>
  <c r="G6" i="7"/>
  <c r="H6" i="7"/>
  <c r="I6" i="7"/>
  <c r="J6" i="7"/>
  <c r="K6" i="7"/>
  <c r="L6" i="7"/>
  <c r="C6" i="7"/>
  <c r="D3" i="7"/>
  <c r="E3" i="7"/>
  <c r="F3" i="7"/>
  <c r="G3" i="7"/>
  <c r="H3" i="7"/>
  <c r="I3" i="7"/>
  <c r="J3" i="7"/>
  <c r="K3" i="7"/>
  <c r="L3" i="7"/>
  <c r="C3" i="7"/>
  <c r="B2" i="7"/>
  <c r="E10" i="11" l="1"/>
  <c r="I10" i="11"/>
  <c r="D22" i="20"/>
  <c r="E11" i="20"/>
  <c r="G11" i="20"/>
  <c r="F11" i="20"/>
  <c r="H11" i="20"/>
  <c r="I11" i="20"/>
  <c r="H36" i="11"/>
  <c r="H33" i="11" a="1"/>
  <c r="H33" i="11" s="1"/>
  <c r="H40" i="11" s="1"/>
  <c r="H35" i="11"/>
  <c r="H32" i="11"/>
  <c r="H39" i="11" s="1"/>
  <c r="H34" i="11"/>
  <c r="H41" i="11" s="1"/>
  <c r="H45" i="11"/>
  <c r="D36" i="11"/>
  <c r="D33" i="11" a="1"/>
  <c r="D33" i="11" s="1"/>
  <c r="D40" i="11" s="1"/>
  <c r="D35" i="11"/>
  <c r="D32" i="11"/>
  <c r="D39" i="11" s="1"/>
  <c r="D34" i="11"/>
  <c r="D41" i="11" s="1"/>
  <c r="D45" i="11"/>
  <c r="F10" i="11"/>
  <c r="J10" i="11"/>
  <c r="N47" i="11"/>
  <c r="O47" i="11"/>
  <c r="K45" i="11"/>
  <c r="K33" i="11" a="1"/>
  <c r="K33" i="11" s="1"/>
  <c r="K40" i="11" s="1"/>
  <c r="K36" i="11"/>
  <c r="K35" i="11"/>
  <c r="K32" i="11"/>
  <c r="K39" i="11" s="1"/>
  <c r="K34" i="11"/>
  <c r="K41" i="11" s="1"/>
  <c r="J34" i="11"/>
  <c r="J41" i="11" s="1"/>
  <c r="J45" i="11"/>
  <c r="J36" i="11"/>
  <c r="J33" i="11" a="1"/>
  <c r="J33" i="11" s="1"/>
  <c r="J40" i="11" s="1"/>
  <c r="J35" i="11"/>
  <c r="J32" i="11"/>
  <c r="J39" i="11" s="1"/>
  <c r="F34" i="11"/>
  <c r="F41" i="11" s="1"/>
  <c r="F45" i="11"/>
  <c r="F36" i="11"/>
  <c r="F33" i="11" a="1"/>
  <c r="F33" i="11" s="1"/>
  <c r="F40" i="11" s="1"/>
  <c r="F35" i="11"/>
  <c r="F32" i="11"/>
  <c r="F39" i="11" s="1"/>
  <c r="G10" i="11"/>
  <c r="K10" i="11"/>
  <c r="L36" i="11"/>
  <c r="L35" i="11"/>
  <c r="L32" i="11"/>
  <c r="L39" i="11" s="1"/>
  <c r="L34" i="11"/>
  <c r="L41" i="11" s="1"/>
  <c r="L45" i="11"/>
  <c r="L33" i="11" a="1"/>
  <c r="L33" i="11" s="1"/>
  <c r="L40" i="11" s="1"/>
  <c r="G45" i="11"/>
  <c r="G36" i="11"/>
  <c r="G33" i="11" a="1"/>
  <c r="G33" i="11" s="1"/>
  <c r="G40" i="11" s="1"/>
  <c r="G35" i="11"/>
  <c r="G32" i="11"/>
  <c r="G39" i="11" s="1"/>
  <c r="G34" i="11"/>
  <c r="G41" i="11" s="1"/>
  <c r="C34" i="11"/>
  <c r="C33" i="11" a="1"/>
  <c r="C33" i="11" s="1"/>
  <c r="C45" i="11"/>
  <c r="C36" i="11"/>
  <c r="C32" i="11"/>
  <c r="C35" i="11"/>
  <c r="I12" i="7"/>
  <c r="I35" i="11"/>
  <c r="I32" i="11"/>
  <c r="I39" i="11" s="1"/>
  <c r="I34" i="11"/>
  <c r="I41" i="11" s="1"/>
  <c r="I45" i="11"/>
  <c r="I36" i="11"/>
  <c r="I33" i="11" a="1"/>
  <c r="I33" i="11" s="1"/>
  <c r="I40" i="11" s="1"/>
  <c r="E35" i="11"/>
  <c r="E32" i="11"/>
  <c r="E39" i="11" s="1"/>
  <c r="E34" i="11"/>
  <c r="E41" i="11" s="1"/>
  <c r="E45" i="11"/>
  <c r="E36" i="11"/>
  <c r="E33" i="11" a="1"/>
  <c r="E33" i="11" s="1"/>
  <c r="E40" i="11" s="1"/>
  <c r="H10" i="11"/>
  <c r="L10" i="11"/>
  <c r="G62" i="7"/>
  <c r="L62" i="7"/>
  <c r="H62" i="7"/>
  <c r="I62" i="7"/>
  <c r="D62" i="7"/>
  <c r="I18" i="7"/>
  <c r="G31" i="7"/>
  <c r="K31" i="7"/>
  <c r="E57" i="7"/>
  <c r="I57" i="7"/>
  <c r="E62" i="7"/>
  <c r="F57" i="7"/>
  <c r="J57" i="7"/>
  <c r="J62" i="7"/>
  <c r="C57" i="7"/>
  <c r="C64" i="7" s="1"/>
  <c r="G57" i="7"/>
  <c r="K57" i="7"/>
  <c r="K64" i="7" s="1"/>
  <c r="D57" i="7"/>
  <c r="H57" i="7"/>
  <c r="L57" i="7"/>
  <c r="F62" i="7"/>
  <c r="H31" i="7"/>
  <c r="L31" i="7"/>
  <c r="E31" i="7"/>
  <c r="I31" i="7"/>
  <c r="D31" i="7"/>
  <c r="J12" i="7"/>
  <c r="J13" i="7" s="1"/>
  <c r="J13" i="11" s="1"/>
  <c r="D10" i="7"/>
  <c r="H22" i="7"/>
  <c r="F31" i="7"/>
  <c r="J31" i="7"/>
  <c r="E10" i="7"/>
  <c r="J7" i="7"/>
  <c r="J6" i="11" s="1"/>
  <c r="I10" i="7"/>
  <c r="K7" i="7"/>
  <c r="K6" i="11" s="1"/>
  <c r="G7" i="7"/>
  <c r="G6" i="11" s="1"/>
  <c r="F10" i="7"/>
  <c r="E22" i="7"/>
  <c r="C10" i="7"/>
  <c r="E12" i="7"/>
  <c r="E18" i="7" s="1"/>
  <c r="L10" i="7"/>
  <c r="E16" i="7"/>
  <c r="E20" i="11" s="1"/>
  <c r="E25" i="7"/>
  <c r="E21" i="11" s="1"/>
  <c r="C12" i="7"/>
  <c r="C13" i="7" s="1"/>
  <c r="C13" i="11" s="1"/>
  <c r="F7" i="7"/>
  <c r="F6" i="11" s="1"/>
  <c r="F16" i="7"/>
  <c r="F20" i="11" s="1"/>
  <c r="J16" i="7"/>
  <c r="J20" i="11" s="1"/>
  <c r="I16" i="7"/>
  <c r="I20" i="11" s="1"/>
  <c r="F22" i="7"/>
  <c r="J22" i="7"/>
  <c r="J10" i="7"/>
  <c r="C22" i="7"/>
  <c r="G22" i="7"/>
  <c r="K22" i="7"/>
  <c r="I22" i="7"/>
  <c r="F25" i="7"/>
  <c r="F21" i="11" s="1"/>
  <c r="J25" i="7"/>
  <c r="J21" i="11" s="1"/>
  <c r="I25" i="7"/>
  <c r="I21" i="11" s="1"/>
  <c r="L7" i="7"/>
  <c r="L6" i="11" s="1"/>
  <c r="L12" i="7"/>
  <c r="H7" i="7"/>
  <c r="H6" i="11" s="1"/>
  <c r="H12" i="7"/>
  <c r="D7" i="7"/>
  <c r="D6" i="11" s="1"/>
  <c r="D12" i="7"/>
  <c r="K12" i="7"/>
  <c r="I13" i="7"/>
  <c r="I13" i="11" s="1"/>
  <c r="D16" i="7"/>
  <c r="D20" i="11" s="1"/>
  <c r="L16" i="7"/>
  <c r="L20" i="11" s="1"/>
  <c r="D25" i="7"/>
  <c r="D21" i="11" s="1"/>
  <c r="L25" i="7"/>
  <c r="L21" i="11" s="1"/>
  <c r="G10" i="7"/>
  <c r="K10" i="7"/>
  <c r="H10" i="7"/>
  <c r="F12" i="7"/>
  <c r="D22" i="7"/>
  <c r="L22" i="7"/>
  <c r="G12" i="7"/>
  <c r="C16" i="7"/>
  <c r="C20" i="11" s="1"/>
  <c r="G16" i="7"/>
  <c r="G20" i="11" s="1"/>
  <c r="K16" i="7"/>
  <c r="K20" i="11" s="1"/>
  <c r="H16" i="7"/>
  <c r="H20" i="11" s="1"/>
  <c r="C25" i="7"/>
  <c r="C21" i="11" s="1"/>
  <c r="G25" i="7"/>
  <c r="G21" i="11" s="1"/>
  <c r="K25" i="7"/>
  <c r="K21" i="11" s="1"/>
  <c r="H25" i="7"/>
  <c r="H21" i="11" s="1"/>
  <c r="I7" i="7"/>
  <c r="I6" i="11" s="1"/>
  <c r="E7" i="7"/>
  <c r="E6" i="11" s="1"/>
  <c r="L64" i="7" l="1"/>
  <c r="J64" i="7"/>
  <c r="J66" i="7" s="1"/>
  <c r="L42" i="11"/>
  <c r="J42" i="11"/>
  <c r="H42" i="11"/>
  <c r="N10" i="11"/>
  <c r="O10" i="11"/>
  <c r="C66" i="7"/>
  <c r="C46" i="11"/>
  <c r="E42" i="11"/>
  <c r="O45" i="11"/>
  <c r="N45" i="11"/>
  <c r="O35" i="11"/>
  <c r="N35" i="11"/>
  <c r="O33" i="11"/>
  <c r="N33" i="11"/>
  <c r="C40" i="11"/>
  <c r="K42" i="11"/>
  <c r="O21" i="11"/>
  <c r="N21" i="11"/>
  <c r="O20" i="11"/>
  <c r="N20" i="11"/>
  <c r="K66" i="7"/>
  <c r="K46" i="11"/>
  <c r="I19" i="7"/>
  <c r="I14" i="11" s="1"/>
  <c r="I15" i="11"/>
  <c r="I22" i="11" s="1"/>
  <c r="I25" i="11"/>
  <c r="I29" i="11"/>
  <c r="I27" i="7"/>
  <c r="L37" i="19" s="1"/>
  <c r="I42" i="11"/>
  <c r="C39" i="11"/>
  <c r="N32" i="11"/>
  <c r="O32" i="11"/>
  <c r="C41" i="11"/>
  <c r="N34" i="11"/>
  <c r="O34" i="11"/>
  <c r="G42" i="11"/>
  <c r="N6" i="11"/>
  <c r="O6" i="11"/>
  <c r="E19" i="7"/>
  <c r="E14" i="11" s="1"/>
  <c r="E15" i="11"/>
  <c r="E22" i="11" s="1"/>
  <c r="E25" i="11"/>
  <c r="E29" i="11"/>
  <c r="E27" i="7"/>
  <c r="H37" i="19" s="1"/>
  <c r="L66" i="7"/>
  <c r="L46" i="11"/>
  <c r="N36" i="11"/>
  <c r="O36" i="11"/>
  <c r="F42" i="11"/>
  <c r="D42" i="11"/>
  <c r="G64" i="7"/>
  <c r="H64" i="7"/>
  <c r="D64" i="7"/>
  <c r="E13" i="7"/>
  <c r="E13" i="11" s="1"/>
  <c r="F64" i="7"/>
  <c r="E64" i="7"/>
  <c r="I64" i="7"/>
  <c r="J18" i="7"/>
  <c r="C18" i="7"/>
  <c r="D18" i="7"/>
  <c r="E7" i="11" s="1"/>
  <c r="D13" i="7"/>
  <c r="D13" i="11" s="1"/>
  <c r="L18" i="7"/>
  <c r="L13" i="7"/>
  <c r="L13" i="11" s="1"/>
  <c r="F13" i="7"/>
  <c r="F13" i="11" s="1"/>
  <c r="F18" i="7"/>
  <c r="H18" i="7"/>
  <c r="H13" i="7"/>
  <c r="H13" i="11" s="1"/>
  <c r="G13" i="7"/>
  <c r="G13" i="11" s="1"/>
  <c r="G18" i="7"/>
  <c r="K13" i="7"/>
  <c r="K13" i="11" s="1"/>
  <c r="K18" i="7"/>
  <c r="J46" i="11" l="1"/>
  <c r="L46" i="19"/>
  <c r="L48" i="19" s="1"/>
  <c r="L51" i="19" s="1"/>
  <c r="L59" i="19" s="1"/>
  <c r="L39" i="19"/>
  <c r="L60" i="19" s="1"/>
  <c r="H46" i="19"/>
  <c r="H48" i="19" s="1"/>
  <c r="H51" i="19" s="1"/>
  <c r="H59" i="19" s="1"/>
  <c r="H39" i="19"/>
  <c r="H60" i="19" s="1"/>
  <c r="N13" i="11"/>
  <c r="H19" i="7"/>
  <c r="H14" i="11" s="1"/>
  <c r="H27" i="7"/>
  <c r="H15" i="11"/>
  <c r="H22" i="11" s="1"/>
  <c r="H7" i="11"/>
  <c r="H25" i="11"/>
  <c r="H29" i="11"/>
  <c r="J19" i="7"/>
  <c r="J14" i="11" s="1"/>
  <c r="J25" i="11"/>
  <c r="J29" i="11"/>
  <c r="J27" i="7"/>
  <c r="M37" i="19" s="1"/>
  <c r="J15" i="11"/>
  <c r="J22" i="11" s="1"/>
  <c r="J7" i="11"/>
  <c r="I66" i="7"/>
  <c r="I46" i="11"/>
  <c r="D66" i="7"/>
  <c r="D46" i="11"/>
  <c r="O13" i="11"/>
  <c r="O40" i="11"/>
  <c r="N40" i="11"/>
  <c r="C42" i="11"/>
  <c r="K19" i="7"/>
  <c r="K14" i="11" s="1"/>
  <c r="K29" i="11"/>
  <c r="K27" i="7"/>
  <c r="N37" i="19" s="1"/>
  <c r="K15" i="11"/>
  <c r="K22" i="11" s="1"/>
  <c r="K7" i="11"/>
  <c r="K25" i="11"/>
  <c r="G19" i="7"/>
  <c r="G14" i="11" s="1"/>
  <c r="G29" i="11"/>
  <c r="G27" i="7"/>
  <c r="J37" i="19" s="1"/>
  <c r="G15" i="11"/>
  <c r="G22" i="11" s="1"/>
  <c r="G25" i="11"/>
  <c r="G7" i="11"/>
  <c r="F19" i="7"/>
  <c r="F14" i="11" s="1"/>
  <c r="F25" i="11"/>
  <c r="F29" i="11"/>
  <c r="F27" i="7"/>
  <c r="I37" i="19" s="1"/>
  <c r="F15" i="11"/>
  <c r="F22" i="11" s="1"/>
  <c r="F7" i="11"/>
  <c r="E66" i="7"/>
  <c r="E46" i="11"/>
  <c r="H66" i="7"/>
  <c r="H46" i="11"/>
  <c r="E33" i="7"/>
  <c r="E28" i="7"/>
  <c r="E16" i="11" s="1"/>
  <c r="O39" i="11"/>
  <c r="N39" i="11"/>
  <c r="L19" i="7"/>
  <c r="L14" i="11" s="1"/>
  <c r="L27" i="7"/>
  <c r="L15" i="11"/>
  <c r="L22" i="11" s="1"/>
  <c r="L7" i="11"/>
  <c r="L25" i="11"/>
  <c r="L29" i="11"/>
  <c r="G66" i="7"/>
  <c r="G46" i="11"/>
  <c r="N41" i="11"/>
  <c r="O41" i="11"/>
  <c r="I7" i="11"/>
  <c r="D19" i="7"/>
  <c r="D14" i="11" s="1"/>
  <c r="D27" i="7"/>
  <c r="D7" i="11"/>
  <c r="D15" i="11"/>
  <c r="D22" i="11" s="1"/>
  <c r="D25" i="11"/>
  <c r="D29" i="11"/>
  <c r="C19" i="7"/>
  <c r="C14" i="11" s="1"/>
  <c r="I6" i="12" a="1"/>
  <c r="C27" i="7"/>
  <c r="F37" i="19" s="1"/>
  <c r="C25" i="11"/>
  <c r="C29" i="11"/>
  <c r="C15" i="11"/>
  <c r="F66" i="7"/>
  <c r="F46" i="11"/>
  <c r="I33" i="7"/>
  <c r="I28" i="7"/>
  <c r="I16" i="11" s="1"/>
  <c r="O46" i="11" l="1"/>
  <c r="O37" i="19"/>
  <c r="O39" i="19" s="1"/>
  <c r="O60" i="19" s="1"/>
  <c r="D5" i="20"/>
  <c r="H62" i="19"/>
  <c r="N46" i="19"/>
  <c r="N48" i="19" s="1"/>
  <c r="N51" i="19" s="1"/>
  <c r="N59" i="19" s="1"/>
  <c r="N39" i="19"/>
  <c r="N60" i="19" s="1"/>
  <c r="F46" i="19"/>
  <c r="F48" i="19" s="1"/>
  <c r="F51" i="19" s="1"/>
  <c r="F39" i="19"/>
  <c r="F60" i="19" s="1"/>
  <c r="M46" i="19"/>
  <c r="M48" i="19" s="1"/>
  <c r="M51" i="19" s="1"/>
  <c r="M59" i="19" s="1"/>
  <c r="M39" i="19"/>
  <c r="M60" i="19" s="1"/>
  <c r="I8" i="11"/>
  <c r="K37" i="19"/>
  <c r="E8" i="11"/>
  <c r="G37" i="19"/>
  <c r="J46" i="19"/>
  <c r="J48" i="19" s="1"/>
  <c r="J51" i="19" s="1"/>
  <c r="J59" i="19" s="1"/>
  <c r="J39" i="19"/>
  <c r="J60" i="19" s="1"/>
  <c r="L62" i="19"/>
  <c r="O46" i="19"/>
  <c r="O48" i="19" s="1"/>
  <c r="O51" i="19" s="1"/>
  <c r="O59" i="19" s="1"/>
  <c r="I46" i="19"/>
  <c r="I48" i="19" s="1"/>
  <c r="I51" i="19" s="1"/>
  <c r="I59" i="19" s="1"/>
  <c r="I39" i="19"/>
  <c r="I60" i="19" s="1"/>
  <c r="D8" i="11"/>
  <c r="C8" i="11"/>
  <c r="C31" i="7"/>
  <c r="C33" i="7"/>
  <c r="C28" i="7"/>
  <c r="C16" i="11" s="1"/>
  <c r="I27" i="11"/>
  <c r="I38" i="7"/>
  <c r="I34" i="7"/>
  <c r="I17" i="11" s="1"/>
  <c r="C22" i="11"/>
  <c r="O15" i="11"/>
  <c r="N15" i="11"/>
  <c r="I6" i="12"/>
  <c r="I15" i="12"/>
  <c r="I14" i="12"/>
  <c r="I13" i="12"/>
  <c r="I11" i="12"/>
  <c r="I10" i="12"/>
  <c r="I9" i="12"/>
  <c r="I7" i="12"/>
  <c r="I8" i="12"/>
  <c r="I12" i="12"/>
  <c r="N46" i="11"/>
  <c r="E27" i="11"/>
  <c r="E34" i="7"/>
  <c r="E17" i="11" s="1"/>
  <c r="E38" i="7"/>
  <c r="F8" i="11"/>
  <c r="F33" i="7"/>
  <c r="F28" i="7"/>
  <c r="F16" i="11" s="1"/>
  <c r="O42" i="11"/>
  <c r="N42" i="11"/>
  <c r="O29" i="11"/>
  <c r="N29" i="11"/>
  <c r="O14" i="11"/>
  <c r="N14" i="11"/>
  <c r="O7" i="11"/>
  <c r="N7" i="11"/>
  <c r="K8" i="11"/>
  <c r="K28" i="7"/>
  <c r="K16" i="11" s="1"/>
  <c r="K33" i="7"/>
  <c r="O25" i="11"/>
  <c r="N25" i="11"/>
  <c r="D28" i="7"/>
  <c r="D16" i="11" s="1"/>
  <c r="D33" i="7"/>
  <c r="E9" i="11" s="1"/>
  <c r="J8" i="11"/>
  <c r="J33" i="7"/>
  <c r="J28" i="7"/>
  <c r="J16" i="11" s="1"/>
  <c r="H8" i="11"/>
  <c r="H28" i="7"/>
  <c r="H16" i="11" s="1"/>
  <c r="H33" i="7"/>
  <c r="L8" i="11"/>
  <c r="L33" i="7"/>
  <c r="L28" i="7"/>
  <c r="L16" i="11" s="1"/>
  <c r="G8" i="11"/>
  <c r="G28" i="7"/>
  <c r="G16" i="11" s="1"/>
  <c r="G33" i="7"/>
  <c r="B6" i="9"/>
  <c r="D37" i="20" s="1"/>
  <c r="E1" i="9"/>
  <c r="O62" i="19" l="1"/>
  <c r="D7" i="20"/>
  <c r="J62" i="19"/>
  <c r="F59" i="19"/>
  <c r="F62" i="19" s="1"/>
  <c r="G46" i="19"/>
  <c r="G48" i="19" s="1"/>
  <c r="G51" i="19" s="1"/>
  <c r="G59" i="19" s="1"/>
  <c r="G39" i="19"/>
  <c r="G60" i="19" s="1"/>
  <c r="M62" i="19"/>
  <c r="N62" i="19"/>
  <c r="K46" i="19"/>
  <c r="K48" i="19" s="1"/>
  <c r="K51" i="19" s="1"/>
  <c r="K59" i="19" s="1"/>
  <c r="K39" i="19"/>
  <c r="K60" i="19" s="1"/>
  <c r="I62" i="19"/>
  <c r="J14" i="12"/>
  <c r="J12" i="12"/>
  <c r="J15" i="12"/>
  <c r="I16" i="12"/>
  <c r="J16" i="12" s="1"/>
  <c r="J7" i="12"/>
  <c r="J13" i="12"/>
  <c r="I42" i="7"/>
  <c r="I44" i="7" s="1"/>
  <c r="I26" i="11" s="1"/>
  <c r="I28" i="11" s="1"/>
  <c r="C27" i="11"/>
  <c r="C34" i="7"/>
  <c r="C17" i="11" s="1"/>
  <c r="C38" i="7"/>
  <c r="C9" i="11"/>
  <c r="H27" i="11"/>
  <c r="H9" i="11"/>
  <c r="H34" i="7"/>
  <c r="H17" i="11" s="1"/>
  <c r="H38" i="7"/>
  <c r="H42" i="7" s="1"/>
  <c r="H44" i="7" s="1"/>
  <c r="H26" i="11" s="1"/>
  <c r="J9" i="11"/>
  <c r="J27" i="11"/>
  <c r="J34" i="7"/>
  <c r="J17" i="11" s="1"/>
  <c r="J38" i="7"/>
  <c r="E42" i="7"/>
  <c r="E44" i="7" s="1"/>
  <c r="E26" i="11" s="1"/>
  <c r="E28" i="11" s="1"/>
  <c r="J9" i="12"/>
  <c r="I9" i="11"/>
  <c r="J10" i="12"/>
  <c r="N22" i="11"/>
  <c r="O22" i="11"/>
  <c r="O8" i="11"/>
  <c r="G9" i="11"/>
  <c r="G27" i="11"/>
  <c r="G38" i="7"/>
  <c r="G34" i="7"/>
  <c r="G17" i="11" s="1"/>
  <c r="L27" i="11"/>
  <c r="L38" i="7"/>
  <c r="L9" i="11"/>
  <c r="L34" i="7"/>
  <c r="L17" i="11" s="1"/>
  <c r="D38" i="7"/>
  <c r="E39" i="7" s="1"/>
  <c r="D27" i="11"/>
  <c r="D9" i="11"/>
  <c r="D34" i="7"/>
  <c r="D17" i="11" s="1"/>
  <c r="K27" i="11"/>
  <c r="K34" i="7"/>
  <c r="K17" i="11" s="1"/>
  <c r="K9" i="11"/>
  <c r="K38" i="7"/>
  <c r="F9" i="11"/>
  <c r="F27" i="11"/>
  <c r="F38" i="7"/>
  <c r="F34" i="7"/>
  <c r="F17" i="11" s="1"/>
  <c r="J8" i="12"/>
  <c r="J11" i="12"/>
  <c r="N16" i="11"/>
  <c r="O16" i="11"/>
  <c r="N8" i="11"/>
  <c r="J21" i="6"/>
  <c r="K21" i="6" s="1"/>
  <c r="L21" i="6" s="1"/>
  <c r="B41" i="6"/>
  <c r="E19" i="6"/>
  <c r="D23" i="6"/>
  <c r="D22" i="6"/>
  <c r="D21" i="6"/>
  <c r="D20" i="6"/>
  <c r="D4" i="6"/>
  <c r="O53" i="19" l="1"/>
  <c r="D8" i="20" s="1"/>
  <c r="E8" i="20" s="1"/>
  <c r="F8" i="20" s="1"/>
  <c r="G8" i="20" s="1"/>
  <c r="H8" i="20" s="1"/>
  <c r="K62" i="19"/>
  <c r="G62" i="19"/>
  <c r="O54" i="19"/>
  <c r="D31" i="6"/>
  <c r="H28" i="11"/>
  <c r="K42" i="7"/>
  <c r="K44" i="7" s="1"/>
  <c r="K26" i="11" s="1"/>
  <c r="K28" i="11" s="1"/>
  <c r="K39" i="7"/>
  <c r="O17" i="11"/>
  <c r="N17" i="11"/>
  <c r="F42" i="7"/>
  <c r="F44" i="7" s="1"/>
  <c r="F26" i="11" s="1"/>
  <c r="F28" i="11" s="1"/>
  <c r="F39" i="7"/>
  <c r="N9" i="11"/>
  <c r="H39" i="7"/>
  <c r="G39" i="7"/>
  <c r="G42" i="7"/>
  <c r="G44" i="7" s="1"/>
  <c r="G26" i="11" s="1"/>
  <c r="G28" i="11" s="1"/>
  <c r="O27" i="11"/>
  <c r="N27" i="11"/>
  <c r="I17" i="12"/>
  <c r="L42" i="7"/>
  <c r="L44" i="7" s="1"/>
  <c r="L26" i="11" s="1"/>
  <c r="L28" i="11" s="1"/>
  <c r="L39" i="7"/>
  <c r="J39" i="7"/>
  <c r="J42" i="7"/>
  <c r="J44" i="7" s="1"/>
  <c r="J26" i="11" s="1"/>
  <c r="J28" i="11" s="1"/>
  <c r="O9" i="11"/>
  <c r="I39" i="7"/>
  <c r="D39" i="7"/>
  <c r="D42" i="7"/>
  <c r="D44" i="7" s="1"/>
  <c r="D26" i="11" s="1"/>
  <c r="D28" i="11" s="1"/>
  <c r="N6" i="12" a="1"/>
  <c r="C42" i="7"/>
  <c r="C44" i="7" s="1"/>
  <c r="C26" i="11" s="1"/>
  <c r="L32" i="6"/>
  <c r="M21" i="6"/>
  <c r="M32" i="6" s="1"/>
  <c r="O65" i="19" l="1"/>
  <c r="D15" i="20" s="1"/>
  <c r="E5" i="20" s="1"/>
  <c r="F5" i="20" s="1"/>
  <c r="O64" i="19"/>
  <c r="D9" i="20"/>
  <c r="D33" i="6"/>
  <c r="C28" i="11"/>
  <c r="O26" i="11"/>
  <c r="N26" i="11"/>
  <c r="N6" i="12"/>
  <c r="N9" i="12"/>
  <c r="N11" i="12"/>
  <c r="N12" i="12"/>
  <c r="N7" i="12"/>
  <c r="N8" i="12"/>
  <c r="N14" i="12"/>
  <c r="N13" i="12"/>
  <c r="O13" i="12" s="1"/>
  <c r="N15" i="12"/>
  <c r="N10" i="12"/>
  <c r="J17" i="12"/>
  <c r="I18" i="12"/>
  <c r="J18" i="12" s="1"/>
  <c r="H37" i="6"/>
  <c r="G37" i="6"/>
  <c r="F37" i="6"/>
  <c r="E37" i="6"/>
  <c r="H35" i="6"/>
  <c r="G35" i="6"/>
  <c r="F35" i="6"/>
  <c r="E35" i="6"/>
  <c r="H34" i="6"/>
  <c r="G34" i="6"/>
  <c r="F34" i="6"/>
  <c r="E34" i="6"/>
  <c r="H32" i="6"/>
  <c r="G32" i="6"/>
  <c r="F32" i="6"/>
  <c r="E32" i="6"/>
  <c r="H30" i="6"/>
  <c r="G30" i="6"/>
  <c r="F30" i="6"/>
  <c r="E30" i="6"/>
  <c r="H29" i="6"/>
  <c r="G29" i="6"/>
  <c r="F29" i="6"/>
  <c r="E29" i="6"/>
  <c r="B27" i="6"/>
  <c r="I35" i="6"/>
  <c r="I32" i="6"/>
  <c r="J24" i="6"/>
  <c r="K24" i="6" s="1"/>
  <c r="L24" i="6" s="1"/>
  <c r="M24" i="6" s="1"/>
  <c r="J23" i="6"/>
  <c r="K23" i="6" s="1"/>
  <c r="J22" i="6"/>
  <c r="K22" i="6" s="1"/>
  <c r="L22" i="6" s="1"/>
  <c r="M22" i="6" s="1"/>
  <c r="K32" i="6"/>
  <c r="J32" i="6"/>
  <c r="J20" i="6"/>
  <c r="K20" i="6" s="1"/>
  <c r="L20" i="6" s="1"/>
  <c r="M20" i="6" s="1"/>
  <c r="E7" i="20" l="1"/>
  <c r="E9" i="20" s="1"/>
  <c r="E13" i="20" s="1"/>
  <c r="G5" i="20"/>
  <c r="F7" i="20"/>
  <c r="F9" i="20" s="1"/>
  <c r="F13" i="20" s="1"/>
  <c r="O15" i="12"/>
  <c r="D38" i="6"/>
  <c r="D36" i="6"/>
  <c r="D24" i="6"/>
  <c r="H31" i="6"/>
  <c r="C44" i="6"/>
  <c r="O14" i="12"/>
  <c r="O11" i="12"/>
  <c r="I19" i="12"/>
  <c r="J19" i="12" s="1"/>
  <c r="O7" i="12"/>
  <c r="N16" i="12"/>
  <c r="O16" i="12" s="1"/>
  <c r="O12" i="12"/>
  <c r="O10" i="12"/>
  <c r="O8" i="12"/>
  <c r="O9" i="12"/>
  <c r="N28" i="11"/>
  <c r="O28" i="11"/>
  <c r="K35" i="6"/>
  <c r="L23" i="6"/>
  <c r="I30" i="6"/>
  <c r="G42" i="6"/>
  <c r="I29" i="6"/>
  <c r="G31" i="6"/>
  <c r="J35" i="6"/>
  <c r="J29" i="6"/>
  <c r="H5" i="20" l="1"/>
  <c r="G7" i="20"/>
  <c r="G9" i="20" s="1"/>
  <c r="G13" i="20" s="1"/>
  <c r="I20" i="12"/>
  <c r="J20" i="12" s="1"/>
  <c r="N17" i="12"/>
  <c r="L35" i="6"/>
  <c r="M23" i="6"/>
  <c r="M35" i="6" s="1"/>
  <c r="I31" i="6"/>
  <c r="G43" i="6"/>
  <c r="G44" i="6" s="1"/>
  <c r="I34" i="6"/>
  <c r="J31" i="6"/>
  <c r="I5" i="20" l="1"/>
  <c r="I7" i="20" s="1"/>
  <c r="I9" i="20" s="1"/>
  <c r="H7" i="20"/>
  <c r="H9" i="20" s="1"/>
  <c r="H13" i="20" s="1"/>
  <c r="O17" i="12"/>
  <c r="N18" i="12"/>
  <c r="O18" i="12" s="1"/>
  <c r="K29" i="6"/>
  <c r="I33" i="6"/>
  <c r="J30" i="6"/>
  <c r="J34" i="6"/>
  <c r="J33" i="6"/>
  <c r="K30" i="6"/>
  <c r="I13" i="20" l="1"/>
  <c r="D30" i="20" s="1"/>
  <c r="D21" i="20"/>
  <c r="D25" i="20" s="1"/>
  <c r="N19" i="12"/>
  <c r="O19" i="12" s="1"/>
  <c r="L29" i="6"/>
  <c r="I36" i="6"/>
  <c r="K34" i="6"/>
  <c r="K31" i="6"/>
  <c r="J36" i="6"/>
  <c r="D31" i="20" l="1"/>
  <c r="D32" i="20" s="1"/>
  <c r="N20" i="12"/>
  <c r="O20" i="12" s="1"/>
  <c r="L30" i="6"/>
  <c r="L34" i="6"/>
  <c r="M29" i="6"/>
  <c r="I37" i="6"/>
  <c r="J37" i="6"/>
  <c r="K33" i="6"/>
  <c r="D36" i="20" l="1"/>
  <c r="D39" i="20" s="1"/>
  <c r="D42" i="20" s="1"/>
  <c r="M30" i="6"/>
  <c r="M34" i="6"/>
  <c r="L31" i="6"/>
  <c r="K36" i="6"/>
  <c r="M31" i="6" l="1"/>
  <c r="L33" i="6"/>
  <c r="I38" i="6"/>
  <c r="J38" i="6"/>
  <c r="K37" i="6"/>
  <c r="L36" i="6" l="1"/>
  <c r="M33" i="6"/>
  <c r="M36" i="6" l="1"/>
  <c r="L37" i="6"/>
  <c r="K38" i="6"/>
  <c r="L38" i="6" l="1"/>
  <c r="M37" i="6"/>
  <c r="H23" i="6"/>
  <c r="G23" i="6"/>
  <c r="F23" i="6"/>
  <c r="E23" i="6"/>
  <c r="H22" i="6"/>
  <c r="G22" i="6"/>
  <c r="F22" i="6"/>
  <c r="E22" i="6"/>
  <c r="H21" i="6"/>
  <c r="G21" i="6"/>
  <c r="F21" i="6"/>
  <c r="E21" i="6"/>
  <c r="H20" i="6"/>
  <c r="G20" i="6"/>
  <c r="F20" i="6"/>
  <c r="E20" i="6"/>
  <c r="F4" i="6"/>
  <c r="G4" i="6" s="1"/>
  <c r="H4" i="6" s="1"/>
  <c r="I4" i="6" s="1"/>
  <c r="J4" i="6" s="1"/>
  <c r="K4" i="6" s="1"/>
  <c r="L4" i="6" s="1"/>
  <c r="M4" i="6" s="1"/>
  <c r="B18" i="6"/>
  <c r="G19" i="6"/>
  <c r="H19" i="6"/>
  <c r="F19" i="6"/>
  <c r="M38" i="6" l="1"/>
  <c r="H33" i="6"/>
  <c r="G33" i="6"/>
  <c r="F31" i="6"/>
  <c r="E31" i="6"/>
  <c r="H38" i="6" l="1"/>
  <c r="H24" i="6"/>
  <c r="H36" i="6"/>
  <c r="G36" i="6"/>
  <c r="G24" i="6"/>
  <c r="F33" i="6"/>
  <c r="E33" i="6"/>
  <c r="G38" i="6" l="1"/>
  <c r="F36" i="6"/>
  <c r="F24" i="6"/>
  <c r="E36" i="6"/>
  <c r="E24" i="6"/>
  <c r="F38" i="6" l="1"/>
  <c r="E38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<sst xmlns="http://schemas.openxmlformats.org/spreadsheetml/2006/main" count="589" uniqueCount="405">
  <si>
    <t>#</t>
  </si>
  <si>
    <t>Revenue</t>
  </si>
  <si>
    <t>COGS</t>
  </si>
  <si>
    <t>Gross Profit</t>
  </si>
  <si>
    <t>Selling &amp; Adm Expenses</t>
  </si>
  <si>
    <t>EBITDA</t>
  </si>
  <si>
    <t>Depriciation</t>
  </si>
  <si>
    <t>Interest</t>
  </si>
  <si>
    <t>EBT</t>
  </si>
  <si>
    <t>Taxes</t>
  </si>
  <si>
    <t>Net Income</t>
  </si>
  <si>
    <t xml:space="preserve"> `</t>
  </si>
  <si>
    <t>Revenue Growth</t>
  </si>
  <si>
    <t>COGS % of Revenue</t>
  </si>
  <si>
    <t xml:space="preserve"> S&amp;G Expenses</t>
  </si>
  <si>
    <t>Depreciation % Sales</t>
  </si>
  <si>
    <t>NA</t>
  </si>
  <si>
    <t>INR (Crore)</t>
  </si>
  <si>
    <t xml:space="preserve"> </t>
  </si>
  <si>
    <t>Selling &amp; General Expenses</t>
  </si>
  <si>
    <t>Depreciation</t>
  </si>
  <si>
    <t>ITC</t>
  </si>
  <si>
    <t>Gross Margin</t>
  </si>
  <si>
    <t xml:space="preserve">Curent Sales </t>
  </si>
  <si>
    <t>Sales growth</t>
  </si>
  <si>
    <t>Next Year Sales</t>
  </si>
  <si>
    <t>Cost of Sales</t>
  </si>
  <si>
    <t>$C$72</t>
  </si>
  <si>
    <t>$C$73</t>
  </si>
  <si>
    <t>$C$74</t>
  </si>
  <si>
    <t>$G$72</t>
  </si>
  <si>
    <t>$G$73</t>
  </si>
  <si>
    <t>$G$74</t>
  </si>
  <si>
    <t>Base Scenario</t>
  </si>
  <si>
    <t>Worst Scenario</t>
  </si>
  <si>
    <t>Best scenario</t>
  </si>
  <si>
    <t>Scenario Summary</t>
  </si>
  <si>
    <t>Changing Cells:</t>
  </si>
  <si>
    <t>Current Values:</t>
  </si>
  <si>
    <t>Result Cells:</t>
  </si>
  <si>
    <t>Report Date</t>
  </si>
  <si>
    <t>COMPANY NAME</t>
  </si>
  <si>
    <t>ITC LTD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</si>
  <si>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</si>
  <si>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</si>
  <si>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</si>
  <si>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</si>
  <si>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</si>
  <si>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</si>
  <si>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</si>
  <si>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</si>
  <si>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</si>
  <si>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</si>
  <si>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</si>
  <si>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</si>
  <si>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</si>
  <si>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</si>
  <si>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</si>
  <si>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</si>
  <si>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</si>
  <si>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</si>
  <si>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Profit before tax</t>
  </si>
  <si>
    <t>Tax</t>
  </si>
  <si>
    <t>Net profit</t>
  </si>
  <si>
    <t>Dividend Amount</t>
  </si>
  <si>
    <t>Quarters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</si>
  <si>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</si>
  <si>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</si>
  <si>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</si>
  <si>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</si>
  <si>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</si>
  <si>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</si>
  <si>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</si>
  <si>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</si>
  <si>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</si>
  <si>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</si>
  <si>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</si>
  <si>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</si>
  <si>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</si>
  <si>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</si>
  <si>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</si>
  <si>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</si>
  <si>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</si>
  <si>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</si>
  <si>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Net Cash Flow</t>
  </si>
  <si>
    <t>PRICE:</t>
  </si>
  <si>
    <t>DERIVED:</t>
  </si>
  <si>
    <t>Adjusted Equity Shares in Cr</t>
  </si>
  <si>
    <t>Years</t>
  </si>
  <si>
    <t>Sales Growth</t>
  </si>
  <si>
    <t>-</t>
  </si>
  <si>
    <t>COGS % of Sales</t>
  </si>
  <si>
    <t>S&amp;G Exp % of Sales</t>
  </si>
  <si>
    <t>EBITDA Margin</t>
  </si>
  <si>
    <t xml:space="preserve">Interest </t>
  </si>
  <si>
    <t>Interest % of Sales</t>
  </si>
  <si>
    <t>Depriciation % of Sales</t>
  </si>
  <si>
    <t>Earning Before Tax</t>
  </si>
  <si>
    <t>EBT % of Sales</t>
  </si>
  <si>
    <t xml:space="preserve">Tax </t>
  </si>
  <si>
    <t>Net Profit</t>
  </si>
  <si>
    <t>Net Margin</t>
  </si>
  <si>
    <t xml:space="preserve">No of Equity Shares </t>
  </si>
  <si>
    <t>Earning Per Share</t>
  </si>
  <si>
    <t>EPS Growth %</t>
  </si>
  <si>
    <t>Dividend Per Share</t>
  </si>
  <si>
    <t>Dividend Payotu Ratio</t>
  </si>
  <si>
    <t>Retained Earning</t>
  </si>
  <si>
    <t>Effective tax Rate</t>
  </si>
  <si>
    <t>Total Liabillities</t>
  </si>
  <si>
    <t>Total Non Current Assets</t>
  </si>
  <si>
    <t>Total Current Assets</t>
  </si>
  <si>
    <t>Total Assets</t>
  </si>
  <si>
    <t>Check</t>
  </si>
  <si>
    <t>Profit from operations</t>
  </si>
  <si>
    <t>Payables</t>
  </si>
  <si>
    <t>Working capital changes</t>
  </si>
  <si>
    <t>Direct taxes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</si>
  <si>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</si>
  <si>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</si>
  <si>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</si>
  <si>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</si>
  <si>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</si>
  <si>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</si>
  <si>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 in subsidiaries</t>
  </si>
  <si>
    <t>Investment in group cos</t>
  </si>
  <si>
    <t>Redemp n Canc of Shares</t>
  </si>
  <si>
    <t>Other investing items</t>
  </si>
  <si>
    <t>Proceeds from shares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</si>
  <si>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</si>
  <si>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</si>
  <si>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</si>
  <si>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</si>
  <si>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</si>
  <si>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</si>
  <si>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from Operating Activity -</t>
  </si>
  <si>
    <t>Cash from Investing Activity -</t>
  </si>
  <si>
    <t>Cash from Financing Activity -</t>
  </si>
  <si>
    <t>Operating Activities</t>
  </si>
  <si>
    <t>Cash from Operating Activities</t>
  </si>
  <si>
    <t>Loan Advances`</t>
  </si>
  <si>
    <t>Loan Advances</t>
  </si>
  <si>
    <t>Investing Activities</t>
  </si>
  <si>
    <t>Financing Activities</t>
  </si>
  <si>
    <t>Cash From Financing Activities</t>
  </si>
  <si>
    <t>EBITDA Grwoth</t>
  </si>
  <si>
    <t>EBIT Growth</t>
  </si>
  <si>
    <t>Net Profit Growth</t>
  </si>
  <si>
    <t>Dividend Growth</t>
  </si>
  <si>
    <t>EBIT Margin</t>
  </si>
  <si>
    <t>EBT Margin</t>
  </si>
  <si>
    <t>Net Profit Margin</t>
  </si>
  <si>
    <t>Sales Expense %Sales</t>
  </si>
  <si>
    <t>Depriciation %Sales</t>
  </si>
  <si>
    <t>Operatin Income %Sales</t>
  </si>
  <si>
    <t>Return on Capital Employed</t>
  </si>
  <si>
    <t>Retained Earning %</t>
  </si>
  <si>
    <t>Return On Equity%</t>
  </si>
  <si>
    <t>Growth Ratios</t>
  </si>
  <si>
    <t>Margin Ratios</t>
  </si>
  <si>
    <t>Self Sustained Growth Rate</t>
  </si>
  <si>
    <t>Interest Coverage Ratio</t>
  </si>
  <si>
    <t>Debt Days</t>
  </si>
  <si>
    <t>Payables Days</t>
  </si>
  <si>
    <t>Inventory Days</t>
  </si>
  <si>
    <t>Debt Turnover Ratio</t>
  </si>
  <si>
    <t>Creditor Turnover Ratio</t>
  </si>
  <si>
    <t>Inventory Turnover</t>
  </si>
  <si>
    <t xml:space="preserve">Fixed Asset Turnover </t>
  </si>
  <si>
    <t>Capital Turnover Ratio</t>
  </si>
  <si>
    <t>Cash Conversion Cycle</t>
  </si>
  <si>
    <t>CFO/sales</t>
  </si>
  <si>
    <t>CFO/Total Asset</t>
  </si>
  <si>
    <t>CFO/Total Debt</t>
  </si>
  <si>
    <t>Mean</t>
  </si>
  <si>
    <t>Median</t>
  </si>
  <si>
    <t>Trend</t>
  </si>
  <si>
    <t>Year</t>
  </si>
  <si>
    <t>Year weight</t>
  </si>
  <si>
    <t>Weighted Average Cost of Capital</t>
  </si>
  <si>
    <t>Name of the comp</t>
  </si>
  <si>
    <t>Country</t>
  </si>
  <si>
    <t>Total Debt</t>
  </si>
  <si>
    <t>Total Equity</t>
  </si>
  <si>
    <t>Tax Rate</t>
  </si>
  <si>
    <r>
      <t xml:space="preserve">Tax Rate </t>
    </r>
    <r>
      <rPr>
        <vertAlign val="superscript"/>
        <sz val="11"/>
        <color theme="1"/>
        <rFont val="Calibri"/>
        <family val="2"/>
        <scheme val="minor"/>
      </rPr>
      <t>1</t>
    </r>
  </si>
  <si>
    <t>Debt</t>
  </si>
  <si>
    <t>Debt /</t>
  </si>
  <si>
    <t>Equity</t>
  </si>
  <si>
    <t>Capital</t>
  </si>
  <si>
    <t>Levered</t>
  </si>
  <si>
    <t>Unlevered</t>
  </si>
  <si>
    <r>
      <t>Beta</t>
    </r>
    <r>
      <rPr>
        <vertAlign val="superscript"/>
        <sz val="11"/>
        <color theme="1"/>
        <rFont val="Calibri"/>
        <family val="2"/>
        <scheme val="minor"/>
      </rPr>
      <t xml:space="preserve"> 2</t>
    </r>
  </si>
  <si>
    <r>
      <t xml:space="preserve">Beta </t>
    </r>
    <r>
      <rPr>
        <vertAlign val="superscript"/>
        <sz val="11"/>
        <color theme="1"/>
        <rFont val="Calibri"/>
        <family val="2"/>
        <scheme val="minor"/>
      </rPr>
      <t>3</t>
    </r>
  </si>
  <si>
    <t>India</t>
  </si>
  <si>
    <t>Average</t>
  </si>
  <si>
    <t>Pre-Tax Cost of Debt</t>
  </si>
  <si>
    <t>Post Tax Cost of Debt</t>
  </si>
  <si>
    <t>Cost of Equity</t>
  </si>
  <si>
    <t>Risk Free Rate</t>
  </si>
  <si>
    <t>Equity Risk premium</t>
  </si>
  <si>
    <t>Levered Beta</t>
  </si>
  <si>
    <r>
      <t>Levered Beta</t>
    </r>
    <r>
      <rPr>
        <vertAlign val="superscript"/>
        <sz val="11"/>
        <color theme="1"/>
        <rFont val="Calibri"/>
        <family val="2"/>
        <scheme val="minor"/>
      </rPr>
      <t xml:space="preserve"> 4</t>
    </r>
  </si>
  <si>
    <t>Cost of Debt</t>
  </si>
  <si>
    <t>Capital Structure</t>
  </si>
  <si>
    <t>Current</t>
  </si>
  <si>
    <t>Target</t>
  </si>
  <si>
    <t>Total Capital</t>
  </si>
  <si>
    <t>Comps Median Unlevered Beta</t>
  </si>
  <si>
    <t>Target Debt / Equity</t>
  </si>
  <si>
    <t>Debt / Equity</t>
  </si>
  <si>
    <t>Total cost</t>
  </si>
  <si>
    <t>total weight</t>
  </si>
  <si>
    <t>WACC</t>
  </si>
  <si>
    <t>ITC Ltd</t>
  </si>
  <si>
    <t>Debt / Capital</t>
  </si>
  <si>
    <r>
      <t xml:space="preserve">Levered Beta 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</si>
  <si>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Unlevered Beta </t>
    </r>
    <r>
      <rPr>
        <vertAlign val="superscript"/>
        <sz val="11"/>
        <color theme="1"/>
        <rFont val="Calibri"/>
        <family val="2"/>
        <scheme val="minor"/>
      </rPr>
      <t>3</t>
    </r>
  </si>
  <si>
    <t>Pre tax Cost of Debt</t>
  </si>
  <si>
    <t>Tax rate</t>
  </si>
  <si>
    <t>Interest Rate</t>
  </si>
  <si>
    <t>Equity Risk Premium</t>
  </si>
  <si>
    <r>
      <t xml:space="preserve">Levered Beta </t>
    </r>
    <r>
      <rPr>
        <vertAlign val="superscript"/>
        <sz val="11"/>
        <color theme="1"/>
        <rFont val="Calibri"/>
        <family val="2"/>
        <scheme val="minor"/>
      </rPr>
      <t>4</t>
    </r>
  </si>
  <si>
    <t>Unlevered Beta</t>
  </si>
  <si>
    <t>Total weight</t>
  </si>
  <si>
    <t>Date</t>
  </si>
  <si>
    <t>Closing Price</t>
  </si>
  <si>
    <t>Regression Beta</t>
  </si>
  <si>
    <t>ITC Weekly Returns</t>
  </si>
  <si>
    <t>Return</t>
  </si>
  <si>
    <t>Nifty Weekly Returns</t>
  </si>
  <si>
    <t>Beta 1</t>
  </si>
  <si>
    <t>Beta 2</t>
  </si>
  <si>
    <t>Beta 3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</si>
  <si>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</si>
  <si>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</si>
  <si>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</si>
  <si>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</si>
  <si>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</si>
  <si>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</si>
  <si>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</si>
  <si>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</si>
  <si>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</si>
  <si>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</si>
  <si>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</si>
  <si>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</si>
  <si>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</si>
  <si>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</si>
  <si>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</si>
  <si>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</si>
  <si>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</si>
  <si>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</si>
  <si>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</si>
  <si>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</si>
  <si>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</si>
  <si>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</si>
  <si>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</si>
  <si>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</si>
  <si>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Beta Drifting</t>
  </si>
  <si>
    <t>levered Raw Beta</t>
  </si>
  <si>
    <t>Beta Weight</t>
  </si>
  <si>
    <t>Market Beta Weight</t>
  </si>
  <si>
    <t>Market Beta</t>
  </si>
  <si>
    <t>Adjusted Beta</t>
  </si>
  <si>
    <t>Hind. Unilever</t>
  </si>
  <si>
    <t>Hindustan Foods</t>
  </si>
  <si>
    <t>Godavari Bioref.</t>
  </si>
  <si>
    <t>Davangere Sugar</t>
  </si>
  <si>
    <t>Peer Companies</t>
  </si>
  <si>
    <t>Debt/Equity</t>
  </si>
  <si>
    <t>S.No.</t>
  </si>
  <si>
    <t>Name</t>
  </si>
  <si>
    <t>Mar Cap Rs.Cr.</t>
  </si>
  <si>
    <t>Debt / Eq</t>
  </si>
  <si>
    <t>Debt Rs.Cr.</t>
  </si>
  <si>
    <t>Interest 12M Rs.Cr.</t>
  </si>
  <si>
    <t>All Figures are in INR Cr. unless stated otherwise</t>
  </si>
  <si>
    <t>year</t>
  </si>
  <si>
    <t>Annual Return</t>
  </si>
  <si>
    <t>Average Return</t>
  </si>
  <si>
    <t>Dividend Yeild</t>
  </si>
  <si>
    <t>Total Market Return</t>
  </si>
  <si>
    <r>
      <t xml:space="preserve">1.39% </t>
    </r>
    <r>
      <rPr>
        <vertAlign val="superscript"/>
        <sz val="11"/>
        <color rgb="FF0000FF"/>
        <rFont val="Calibri"/>
        <family val="2"/>
        <scheme val="minor"/>
      </rPr>
      <t>1</t>
    </r>
  </si>
  <si>
    <t>Enterprise Risk Premium Calculation</t>
  </si>
  <si>
    <t>Peer Companies Data</t>
  </si>
  <si>
    <t>Particulars</t>
  </si>
  <si>
    <t>Total Liabilities</t>
  </si>
  <si>
    <t>Total Asset</t>
  </si>
  <si>
    <t>other Asset</t>
  </si>
  <si>
    <t>Calculation of ROIC</t>
  </si>
  <si>
    <t>Current Assets</t>
  </si>
  <si>
    <t>Current Liabilities</t>
  </si>
  <si>
    <t>Equity Capital</t>
  </si>
  <si>
    <t>Borrowings -</t>
  </si>
  <si>
    <t>Long term Borrowings</t>
  </si>
  <si>
    <t>Short term Borrowings</t>
  </si>
  <si>
    <t>Lease Liabilities</t>
  </si>
  <si>
    <t>Other Borrowings</t>
  </si>
  <si>
    <t>Other Liabilities -</t>
  </si>
  <si>
    <t>Non controlling int</t>
  </si>
  <si>
    <t>Trade Payables</t>
  </si>
  <si>
    <t>Advance from Customers</t>
  </si>
  <si>
    <t>Other liability items</t>
  </si>
  <si>
    <t>Fixed Assets -</t>
  </si>
  <si>
    <t>Land</t>
  </si>
  <si>
    <t>Building</t>
  </si>
  <si>
    <t>Plant Machinery</t>
  </si>
  <si>
    <t>Equipments</t>
  </si>
  <si>
    <t>Furniture n fittings</t>
  </si>
  <si>
    <t>Railway sidings</t>
  </si>
  <si>
    <t>Vehicles</t>
  </si>
  <si>
    <t>Intangible Assets</t>
  </si>
  <si>
    <t>Other fixed assets</t>
  </si>
  <si>
    <t>Gross Block</t>
  </si>
  <si>
    <t>Accumulated Depreciation</t>
  </si>
  <si>
    <t>CWIP</t>
  </si>
  <si>
    <t>Other Assets -</t>
  </si>
  <si>
    <t>Inventories</t>
  </si>
  <si>
    <t>Trade receivables</t>
  </si>
  <si>
    <t>Cash Equivalents</t>
  </si>
  <si>
    <t>Loans n Advances</t>
  </si>
  <si>
    <t>Other asset items</t>
  </si>
  <si>
    <t>Total Current Liabilities</t>
  </si>
  <si>
    <t>Net Working Capital</t>
  </si>
  <si>
    <t>Non Current Asset</t>
  </si>
  <si>
    <t>Accumulated Depriciation</t>
  </si>
  <si>
    <t>Net Non Current Assets</t>
  </si>
  <si>
    <t>Invested Capital</t>
  </si>
  <si>
    <t>EBIT</t>
  </si>
  <si>
    <t>ROIC</t>
  </si>
  <si>
    <t>Calculation of Reinvestment Rate</t>
  </si>
  <si>
    <t>Net CapEx</t>
  </si>
  <si>
    <t>Change in Working Capital</t>
  </si>
  <si>
    <t>Marginal Tax Rate</t>
  </si>
  <si>
    <t>Reinvestment</t>
  </si>
  <si>
    <t>Reinvestment rate</t>
  </si>
  <si>
    <t>EBIT(1-Tax rate)</t>
  </si>
  <si>
    <t>10 Year Average</t>
  </si>
  <si>
    <t>10 Year Median</t>
  </si>
  <si>
    <t>Calculation of Growth Rate</t>
  </si>
  <si>
    <t>Intrinsic Growth</t>
  </si>
  <si>
    <t>Calculation of PV of FCFF</t>
  </si>
  <si>
    <t>EBIT(1-Tax)</t>
  </si>
  <si>
    <t>Less: Reinvestment Rate</t>
  </si>
  <si>
    <t>Free Cash Flow to Firm</t>
  </si>
  <si>
    <t>Mid year Convention</t>
  </si>
  <si>
    <t>Discounting Factor</t>
  </si>
  <si>
    <t>PV of FCFF</t>
  </si>
  <si>
    <t>Expected Growth</t>
  </si>
  <si>
    <t>Terminal Growth</t>
  </si>
  <si>
    <t>Calculation of Terminal Value</t>
  </si>
  <si>
    <t>FCFF(1n+1)</t>
  </si>
  <si>
    <t>Terminal Growth Rate</t>
  </si>
  <si>
    <t>Terminal Value</t>
  </si>
  <si>
    <t>PV of Terminal Value</t>
  </si>
  <si>
    <t>Enterprise Value</t>
  </si>
  <si>
    <t>Add: Cash</t>
  </si>
  <si>
    <t>Less: Debt</t>
  </si>
  <si>
    <t>Value of Equity</t>
  </si>
  <si>
    <t>No. of Shares</t>
  </si>
  <si>
    <t>Equity Value Per Share</t>
  </si>
  <si>
    <t>Share Price</t>
  </si>
  <si>
    <t>Discount/premium</t>
  </si>
  <si>
    <t>Amount in crores</t>
  </si>
  <si>
    <t>Comparable Company Valuation</t>
  </si>
  <si>
    <t>Market Data</t>
  </si>
  <si>
    <t>Financials</t>
  </si>
  <si>
    <t>Valuation</t>
  </si>
  <si>
    <t>Company</t>
  </si>
  <si>
    <t>Ticker</t>
  </si>
  <si>
    <t>Shares Outstanding</t>
  </si>
  <si>
    <t>Equity Value</t>
  </si>
  <si>
    <t>Net Debt</t>
  </si>
  <si>
    <t>EV/Revenue</t>
  </si>
  <si>
    <t>EV/EBITDA</t>
  </si>
  <si>
    <t>P/E</t>
  </si>
  <si>
    <t>High</t>
  </si>
  <si>
    <t>75th Percentile</t>
  </si>
  <si>
    <t>25th Percentile</t>
  </si>
  <si>
    <t>Low</t>
  </si>
  <si>
    <t>ITC Comparable Valuation</t>
  </si>
  <si>
    <t>Implied Enterprise Value</t>
  </si>
  <si>
    <t>Implied Market Value</t>
  </si>
  <si>
    <t>Implied Value per Share</t>
  </si>
  <si>
    <t>CMP Rs.</t>
  </si>
  <si>
    <t>No. Eq. Shares Cr.</t>
  </si>
  <si>
    <t>EV Rs.Cr.</t>
  </si>
  <si>
    <t>Cash end of last year</t>
  </si>
  <si>
    <t>Net debt</t>
  </si>
  <si>
    <t>Sales Rs.Cr.</t>
  </si>
  <si>
    <t>NP 12M Rs.Cr.</t>
  </si>
  <si>
    <t>Nestle India</t>
  </si>
  <si>
    <t>Varun Beverages</t>
  </si>
  <si>
    <t>Britannia Inds.</t>
  </si>
  <si>
    <t>Godrej Consumer</t>
  </si>
  <si>
    <t>Tata Consumer</t>
  </si>
  <si>
    <t>United Spirits</t>
  </si>
  <si>
    <t>Marico</t>
  </si>
  <si>
    <t>Dabur India</t>
  </si>
  <si>
    <t>Companies Comparable Data</t>
  </si>
  <si>
    <t>Calculation of Enterprise Value</t>
  </si>
  <si>
    <t>Value of Operating Asset</t>
  </si>
  <si>
    <t>Source: Screener.in</t>
  </si>
  <si>
    <t>EXTENDED BALANCE SHEET</t>
  </si>
  <si>
    <t>EXTENDED CASH FLOW: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</si>
</sst>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3" formatCode="_(* #,##0.00_);_(* \(#,##0.00\);_(* &quot;-&quot;??_);_(@_)"/>
    <numFmt numFmtId="164" formatCode="0&quot;A&quot;"/>
    <numFmt numFmtId="165" formatCode="0&quot;E&quot;"/>
    <numFmt numFmtId="166" formatCode="_(* #,##0.0_);_(* \(#,##0.0\);_(* &quot;-&quot;??_);_(@_)"/>
    <numFmt numFmtId="167" formatCode="_(* #,##0.0_);_(* \(#,##0.0\);_(* &quot;-&quot;?_);_(@_)"/>
    <numFmt numFmtId="168" formatCode="_ * #,##0.00_ ;_ * \-#,##0.00_ ;_ * &quot;-&quot;??_ ;_ @_ "/>
    <numFmt numFmtId="169" formatCode="[$-409]mmm\-yy;@"/>
    <numFmt numFmtId="170" formatCode="[$₹-4009]\ #,##0.0"/>
    <numFmt numFmtId="171" formatCode="\₹#,###.0;\(\₹#,###.0\);&quot;-&quot;"/>
    <numFmt numFmtId="172" formatCode="0.00&quot;x&quot;"/>
    <numFmt numFmtId="173" formatCode="0\ &quot;days&quot;"/>
    <numFmt numFmtId="174" formatCode="#,##0.0"/>
    <numFmt numFmtId="175" formatCode="yyyy&quot;A&quot;"/>
    <numFmt numFmtId="176" formatCode="yyyy&quot;E&quot;"/>
    <numFmt numFmtId="177" formatCode="0.000"/>
    <numFmt numFmtId="178" formatCode="dd\-mm\-yyyy;@"/>
    <numFmt numFmtId="179" formatCode="#,##0.0;\(#,##0.0\);\-"/>
    <numFmt numFmtId="180" formatCode="00,00#,##0.0;\(#,##0.0\);\-"/>
    <numFmt numFmtId="181" formatCode="0.00%;\(0.00\)%;\-"/>
    <numFmt numFmtId="182" formatCode="mmm\-yy\A"/>
    <numFmt numFmtId="183" formatCode="mmm\-yy\F"/>
    <numFmt numFmtId="184" formatCode="0.00\x"/>
    <numFmt numFmtId="185" formatCode="0.0\x"/>
    <numFmt numFmtId="186" formatCode="0.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 tint="-0.34998626667073579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vertAlign val="superscript"/>
      <sz val="11"/>
      <color rgb="FF0000FF"/>
      <name val="Calibri"/>
      <family val="2"/>
      <scheme val="minor"/>
    </font>
    <font>
      <i/>
      <sz val="11"/>
      <color theme="1"/>
      <name val="calibri"/>
      <family val="2"/>
    </font>
    <font>
      <b/>
      <sz val="12"/>
      <color rgb="FF002060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3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thin">
        <color rgb="FF00206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rgb="FF002060"/>
      </top>
      <bottom style="thick">
        <color rgb="FF002060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rgb="FF002060"/>
      </top>
      <bottom style="thin">
        <color rgb="FF002060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1" fillId="7" borderId="0" applyNumberFormat="0" applyBorder="0" applyAlignment="0" applyProtection="0"/>
    <xf numFmtId="168" fontId="2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</cellStyleXfs>
  <cellXfs count="29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3" fillId="2" borderId="0" xfId="0" applyFont="1" applyFill="1"/>
    <xf numFmtId="164" fontId="3" fillId="2" borderId="0" xfId="0" applyNumberFormat="1" applyFont="1" applyFill="1"/>
    <xf numFmtId="165" fontId="3" fillId="2" borderId="0" xfId="0" applyNumberFormat="1" applyFont="1" applyFill="1"/>
    <xf numFmtId="10" fontId="0" fillId="0" borderId="0" xfId="2" applyNumberFormat="1" applyFont="1" applyAlignment="1">
      <alignment horizontal="right"/>
    </xf>
    <xf numFmtId="166" fontId="4" fillId="0" borderId="0" xfId="1" applyNumberFormat="1" applyFont="1" applyAlignment="1"/>
    <xf numFmtId="0" fontId="1" fillId="3" borderId="0" xfId="0" applyFont="1" applyFill="1"/>
    <xf numFmtId="0" fontId="0" fillId="3" borderId="0" xfId="0" applyFill="1"/>
    <xf numFmtId="0" fontId="1" fillId="0" borderId="1" xfId="0" applyFont="1" applyBorder="1"/>
    <xf numFmtId="166" fontId="0" fillId="0" borderId="1" xfId="1" applyNumberFormat="1" applyFont="1" applyBorder="1" applyAlignment="1"/>
    <xf numFmtId="0" fontId="1" fillId="0" borderId="2" xfId="0" applyFont="1" applyBorder="1"/>
    <xf numFmtId="0" fontId="0" fillId="0" borderId="2" xfId="0" applyBorder="1"/>
    <xf numFmtId="166" fontId="0" fillId="0" borderId="2" xfId="1" applyNumberFormat="1" applyFont="1" applyBorder="1" applyAlignment="1"/>
    <xf numFmtId="166" fontId="0" fillId="0" borderId="0" xfId="0" applyNumberFormat="1" applyAlignment="1">
      <alignment horizontal="right"/>
    </xf>
    <xf numFmtId="43" fontId="0" fillId="0" borderId="2" xfId="0" applyNumberFormat="1" applyBorder="1"/>
    <xf numFmtId="10" fontId="0" fillId="0" borderId="0" xfId="0" applyNumberFormat="1"/>
    <xf numFmtId="10" fontId="4" fillId="0" borderId="0" xfId="0" applyNumberFormat="1" applyFont="1"/>
    <xf numFmtId="43" fontId="0" fillId="0" borderId="0" xfId="0" applyNumberFormat="1"/>
    <xf numFmtId="9" fontId="0" fillId="0" borderId="0" xfId="0" applyNumberFormat="1"/>
    <xf numFmtId="0" fontId="4" fillId="0" borderId="0" xfId="0" applyFont="1"/>
    <xf numFmtId="43" fontId="0" fillId="0" borderId="1" xfId="0" applyNumberFormat="1" applyBorder="1"/>
    <xf numFmtId="2" fontId="0" fillId="0" borderId="0" xfId="0" applyNumberFormat="1"/>
    <xf numFmtId="9" fontId="0" fillId="0" borderId="0" xfId="2" applyFont="1"/>
    <xf numFmtId="10" fontId="0" fillId="0" borderId="0" xfId="2" applyNumberFormat="1" applyFont="1"/>
    <xf numFmtId="9" fontId="4" fillId="0" borderId="0" xfId="0" applyNumberFormat="1" applyFont="1"/>
    <xf numFmtId="167" fontId="0" fillId="0" borderId="0" xfId="0" applyNumberFormat="1"/>
    <xf numFmtId="167" fontId="0" fillId="0" borderId="1" xfId="0" applyNumberFormat="1" applyBorder="1"/>
    <xf numFmtId="167" fontId="0" fillId="0" borderId="2" xfId="0" applyNumberFormat="1" applyBorder="1"/>
    <xf numFmtId="166" fontId="4" fillId="0" borderId="0" xfId="0" applyNumberFormat="1" applyFont="1"/>
    <xf numFmtId="166" fontId="0" fillId="0" borderId="0" xfId="0" applyNumberFormat="1"/>
    <xf numFmtId="166" fontId="5" fillId="0" borderId="0" xfId="1" applyNumberFormat="1" applyFont="1" applyAlignment="1"/>
    <xf numFmtId="166" fontId="5" fillId="0" borderId="3" xfId="1" applyNumberFormat="1" applyFont="1" applyBorder="1" applyAlignment="1"/>
    <xf numFmtId="166" fontId="0" fillId="0" borderId="5" xfId="0" applyNumberFormat="1" applyBorder="1"/>
    <xf numFmtId="0" fontId="6" fillId="4" borderId="6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/>
    </xf>
    <xf numFmtId="0" fontId="0" fillId="0" borderId="7" xfId="0" applyBorder="1"/>
    <xf numFmtId="0" fontId="7" fillId="5" borderId="0" xfId="0" applyFont="1" applyFill="1" applyAlignment="1">
      <alignment horizontal="left"/>
    </xf>
    <xf numFmtId="0" fontId="8" fillId="5" borderId="7" xfId="0" applyFont="1" applyFill="1" applyBorder="1" applyAlignment="1">
      <alignment horizontal="left"/>
    </xf>
    <xf numFmtId="0" fontId="7" fillId="5" borderId="5" xfId="0" applyFont="1" applyFill="1" applyBorder="1" applyAlignment="1">
      <alignment horizontal="left"/>
    </xf>
    <xf numFmtId="0" fontId="9" fillId="4" borderId="4" xfId="0" applyFont="1" applyFill="1" applyBorder="1" applyAlignment="1">
      <alignment horizontal="right"/>
    </xf>
    <xf numFmtId="0" fontId="9" fillId="4" borderId="6" xfId="0" applyFont="1" applyFill="1" applyBorder="1" applyAlignment="1">
      <alignment horizontal="right"/>
    </xf>
    <xf numFmtId="166" fontId="0" fillId="6" borderId="0" xfId="0" applyNumberFormat="1" applyFill="1"/>
    <xf numFmtId="10" fontId="0" fillId="6" borderId="0" xfId="0" applyNumberFormat="1" applyFill="1"/>
    <xf numFmtId="0" fontId="10" fillId="0" borderId="0" xfId="0" applyFont="1" applyAlignment="1">
      <alignment vertical="top" wrapText="1"/>
    </xf>
    <xf numFmtId="168" fontId="1" fillId="0" borderId="0" xfId="4" applyFont="1" applyBorder="1"/>
    <xf numFmtId="168" fontId="0" fillId="0" borderId="0" xfId="4" applyFont="1" applyBorder="1"/>
    <xf numFmtId="169" fontId="3" fillId="8" borderId="0" xfId="4" applyNumberFormat="1" applyFont="1" applyFill="1" applyBorder="1"/>
    <xf numFmtId="169" fontId="3" fillId="8" borderId="0" xfId="0" applyNumberFormat="1" applyFont="1" applyFill="1" applyAlignment="1">
      <alignment horizontal="center"/>
    </xf>
    <xf numFmtId="169" fontId="5" fillId="0" borderId="0" xfId="4" applyNumberFormat="1" applyFont="1" applyFill="1" applyBorder="1"/>
    <xf numFmtId="168" fontId="2" fillId="0" borderId="0" xfId="4" applyFont="1" applyBorder="1"/>
    <xf numFmtId="43" fontId="0" fillId="0" borderId="0" xfId="4" applyNumberFormat="1" applyFont="1" applyBorder="1"/>
    <xf numFmtId="17" fontId="3" fillId="9" borderId="0" xfId="0" applyNumberFormat="1" applyFont="1" applyFill="1" applyAlignment="1">
      <alignment horizontal="right"/>
    </xf>
    <xf numFmtId="0" fontId="0" fillId="0" borderId="0" xfId="0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10" fontId="13" fillId="0" borderId="0" xfId="2" applyNumberFormat="1" applyFont="1" applyAlignment="1">
      <alignment horizontal="right"/>
    </xf>
    <xf numFmtId="0" fontId="3" fillId="9" borderId="0" xfId="0" applyFont="1" applyFill="1" applyAlignment="1">
      <alignment horizontal="left"/>
    </xf>
    <xf numFmtId="170" fontId="0" fillId="0" borderId="0" xfId="0" applyNumberFormat="1" applyAlignment="1">
      <alignment horizontal="right"/>
    </xf>
    <xf numFmtId="170" fontId="0" fillId="0" borderId="0" xfId="0" applyNumberFormat="1"/>
    <xf numFmtId="0" fontId="13" fillId="0" borderId="0" xfId="0" applyFont="1"/>
    <xf numFmtId="10" fontId="13" fillId="0" borderId="0" xfId="2" applyNumberFormat="1" applyFont="1"/>
    <xf numFmtId="0" fontId="0" fillId="10" borderId="0" xfId="0" applyFill="1" applyAlignment="1">
      <alignment horizontal="right"/>
    </xf>
    <xf numFmtId="0" fontId="3" fillId="10" borderId="0" xfId="0" applyFont="1" applyFill="1" applyAlignment="1">
      <alignment horizontal="left"/>
    </xf>
    <xf numFmtId="17" fontId="3" fillId="10" borderId="0" xfId="0" applyNumberFormat="1" applyFont="1" applyFill="1" applyAlignment="1">
      <alignment horizontal="right"/>
    </xf>
    <xf numFmtId="0" fontId="0" fillId="10" borderId="0" xfId="0" applyFill="1"/>
    <xf numFmtId="0" fontId="0" fillId="11" borderId="0" xfId="0" applyFill="1" applyAlignment="1">
      <alignment horizontal="right"/>
    </xf>
    <xf numFmtId="0" fontId="1" fillId="12" borderId="0" xfId="0" applyFont="1" applyFill="1" applyAlignment="1">
      <alignment horizontal="left"/>
    </xf>
    <xf numFmtId="0" fontId="0" fillId="12" borderId="0" xfId="0" applyFill="1" applyAlignment="1">
      <alignment horizontal="right"/>
    </xf>
    <xf numFmtId="0" fontId="14" fillId="0" borderId="0" xfId="0" applyFont="1"/>
    <xf numFmtId="0" fontId="15" fillId="0" borderId="0" xfId="0" applyFont="1"/>
    <xf numFmtId="17" fontId="0" fillId="0" borderId="0" xfId="0" applyNumberFormat="1"/>
    <xf numFmtId="3" fontId="0" fillId="0" borderId="0" xfId="0" applyNumberFormat="1"/>
    <xf numFmtId="171" fontId="0" fillId="0" borderId="0" xfId="0" applyNumberFormat="1"/>
    <xf numFmtId="171" fontId="1" fillId="0" borderId="0" xfId="0" applyNumberFormat="1" applyFont="1"/>
    <xf numFmtId="0" fontId="1" fillId="0" borderId="8" xfId="0" applyFont="1" applyBorder="1"/>
    <xf numFmtId="170" fontId="1" fillId="0" borderId="8" xfId="0" applyNumberFormat="1" applyFont="1" applyBorder="1"/>
    <xf numFmtId="0" fontId="0" fillId="0" borderId="8" xfId="0" applyBorder="1"/>
    <xf numFmtId="0" fontId="16" fillId="0" borderId="8" xfId="0" applyFont="1" applyBorder="1"/>
    <xf numFmtId="171" fontId="16" fillId="0" borderId="8" xfId="0" applyNumberFormat="1" applyFont="1" applyBorder="1"/>
    <xf numFmtId="171" fontId="1" fillId="0" borderId="8" xfId="0" applyNumberFormat="1" applyFont="1" applyBorder="1"/>
    <xf numFmtId="0" fontId="0" fillId="0" borderId="9" xfId="0" applyBorder="1"/>
    <xf numFmtId="10" fontId="0" fillId="0" borderId="9" xfId="2" applyNumberFormat="1" applyFont="1" applyBorder="1" applyAlignment="1">
      <alignment horizontal="right"/>
    </xf>
    <xf numFmtId="10" fontId="0" fillId="0" borderId="9" xfId="2" applyNumberFormat="1" applyFont="1" applyBorder="1"/>
    <xf numFmtId="10" fontId="0" fillId="0" borderId="0" xfId="2" applyNumberFormat="1" applyFont="1" applyBorder="1"/>
    <xf numFmtId="0" fontId="0" fillId="0" borderId="10" xfId="0" applyBorder="1"/>
    <xf numFmtId="10" fontId="0" fillId="0" borderId="10" xfId="2" applyNumberFormat="1" applyFont="1" applyBorder="1"/>
    <xf numFmtId="10" fontId="0" fillId="0" borderId="10" xfId="0" applyNumberFormat="1" applyBorder="1"/>
    <xf numFmtId="172" fontId="0" fillId="0" borderId="10" xfId="2" applyNumberFormat="1" applyFont="1" applyBorder="1"/>
    <xf numFmtId="172" fontId="0" fillId="0" borderId="9" xfId="2" applyNumberFormat="1" applyFont="1" applyBorder="1"/>
    <xf numFmtId="172" fontId="0" fillId="0" borderId="0" xfId="2" applyNumberFormat="1" applyFont="1" applyBorder="1"/>
    <xf numFmtId="173" fontId="0" fillId="0" borderId="9" xfId="0" applyNumberFormat="1" applyBorder="1"/>
    <xf numFmtId="173" fontId="0" fillId="0" borderId="0" xfId="0" applyNumberFormat="1"/>
    <xf numFmtId="173" fontId="0" fillId="0" borderId="10" xfId="0" applyNumberFormat="1" applyBorder="1"/>
    <xf numFmtId="17" fontId="3" fillId="9" borderId="0" xfId="0" applyNumberFormat="1" applyFont="1" applyFill="1" applyAlignment="1">
      <alignment horizontal="center"/>
    </xf>
    <xf numFmtId="174" fontId="0" fillId="0" borderId="0" xfId="0" applyNumberFormat="1"/>
    <xf numFmtId="0" fontId="3" fillId="9" borderId="0" xfId="0" applyFont="1" applyFill="1" applyAlignment="1">
      <alignment horizontal="right"/>
    </xf>
    <xf numFmtId="3" fontId="3" fillId="9" borderId="0" xfId="0" applyNumberFormat="1" applyFont="1" applyFill="1" applyAlignment="1">
      <alignment horizontal="right"/>
    </xf>
    <xf numFmtId="165" fontId="0" fillId="0" borderId="0" xfId="0" applyNumberFormat="1"/>
    <xf numFmtId="175" fontId="0" fillId="0" borderId="0" xfId="0" applyNumberFormat="1"/>
    <xf numFmtId="176" fontId="0" fillId="0" borderId="0" xfId="0" applyNumberFormat="1"/>
    <xf numFmtId="0" fontId="0" fillId="13" borderId="0" xfId="0" applyFill="1" applyAlignment="1">
      <alignment horizontal="left"/>
    </xf>
    <xf numFmtId="176" fontId="0" fillId="13" borderId="0" xfId="0" applyNumberFormat="1" applyFill="1"/>
    <xf numFmtId="174" fontId="0" fillId="13" borderId="0" xfId="0" applyNumberFormat="1" applyFill="1"/>
    <xf numFmtId="10" fontId="0" fillId="13" borderId="0" xfId="2" applyNumberFormat="1" applyFont="1" applyFill="1"/>
    <xf numFmtId="0" fontId="15" fillId="0" borderId="0" xfId="0" applyFont="1" applyAlignment="1">
      <alignment horizontal="centerContinuous"/>
    </xf>
    <xf numFmtId="0" fontId="15" fillId="0" borderId="0" xfId="0" applyFont="1" applyAlignment="1">
      <alignment horizontal="center"/>
    </xf>
    <xf numFmtId="0" fontId="18" fillId="0" borderId="0" xfId="0" applyFont="1"/>
    <xf numFmtId="0" fontId="0" fillId="0" borderId="1" xfId="0" applyBorder="1"/>
    <xf numFmtId="0" fontId="0" fillId="0" borderId="6" xfId="0" applyBorder="1"/>
    <xf numFmtId="0" fontId="1" fillId="0" borderId="6" xfId="0" applyFont="1" applyBorder="1"/>
    <xf numFmtId="10" fontId="0" fillId="0" borderId="6" xfId="0" applyNumberFormat="1" applyBorder="1"/>
    <xf numFmtId="2" fontId="0" fillId="0" borderId="6" xfId="0" applyNumberFormat="1" applyBorder="1"/>
    <xf numFmtId="9" fontId="0" fillId="0" borderId="0" xfId="2" applyFont="1" applyBorder="1"/>
    <xf numFmtId="2" fontId="0" fillId="0" borderId="9" xfId="0" applyNumberFormat="1" applyBorder="1"/>
    <xf numFmtId="0" fontId="0" fillId="0" borderId="6" xfId="0" applyBorder="1" applyAlignment="1">
      <alignment horizontal="right"/>
    </xf>
    <xf numFmtId="0" fontId="5" fillId="0" borderId="9" xfId="0" applyFont="1" applyBorder="1"/>
    <xf numFmtId="0" fontId="0" fillId="0" borderId="14" xfId="0" applyBorder="1"/>
    <xf numFmtId="0" fontId="0" fillId="0" borderId="15" xfId="0" applyBorder="1"/>
    <xf numFmtId="0" fontId="1" fillId="0" borderId="0" xfId="0" applyFont="1" applyAlignment="1">
      <alignment horizontal="right"/>
    </xf>
    <xf numFmtId="10" fontId="0" fillId="0" borderId="15" xfId="2" applyNumberFormat="1" applyFont="1" applyBorder="1"/>
    <xf numFmtId="9" fontId="0" fillId="0" borderId="15" xfId="2" applyFont="1" applyBorder="1"/>
    <xf numFmtId="0" fontId="0" fillId="0" borderId="16" xfId="0" applyBorder="1"/>
    <xf numFmtId="2" fontId="0" fillId="0" borderId="15" xfId="0" applyNumberFormat="1" applyBorder="1"/>
    <xf numFmtId="10" fontId="0" fillId="0" borderId="15" xfId="0" applyNumberFormat="1" applyBorder="1"/>
    <xf numFmtId="9" fontId="0" fillId="0" borderId="15" xfId="0" applyNumberFormat="1" applyBorder="1"/>
    <xf numFmtId="2" fontId="0" fillId="0" borderId="17" xfId="0" applyNumberFormat="1" applyBorder="1"/>
    <xf numFmtId="0" fontId="1" fillId="0" borderId="18" xfId="0" applyFont="1" applyBorder="1"/>
    <xf numFmtId="0" fontId="0" fillId="0" borderId="19" xfId="0" applyBorder="1"/>
    <xf numFmtId="0" fontId="1" fillId="0" borderId="20" xfId="0" applyFont="1" applyBorder="1"/>
    <xf numFmtId="0" fontId="0" fillId="0" borderId="21" xfId="0" applyBorder="1"/>
    <xf numFmtId="10" fontId="0" fillId="0" borderId="22" xfId="2" applyNumberFormat="1" applyFont="1" applyBorder="1"/>
    <xf numFmtId="0" fontId="1" fillId="0" borderId="7" xfId="0" applyFont="1" applyBorder="1"/>
    <xf numFmtId="0" fontId="1" fillId="0" borderId="19" xfId="0" applyFont="1" applyBorder="1"/>
    <xf numFmtId="0" fontId="1" fillId="0" borderId="14" xfId="0" applyFont="1" applyBorder="1"/>
    <xf numFmtId="0" fontId="0" fillId="0" borderId="20" xfId="0" applyBorder="1"/>
    <xf numFmtId="10" fontId="0" fillId="10" borderId="22" xfId="0" applyNumberFormat="1" applyFill="1" applyBorder="1"/>
    <xf numFmtId="0" fontId="1" fillId="0" borderId="6" xfId="0" applyFont="1" applyBorder="1" applyAlignment="1">
      <alignment horizontal="right"/>
    </xf>
    <xf numFmtId="0" fontId="1" fillId="0" borderId="17" xfId="0" applyFont="1" applyBorder="1" applyAlignment="1">
      <alignment horizontal="right"/>
    </xf>
    <xf numFmtId="10" fontId="0" fillId="10" borderId="21" xfId="2" applyNumberFormat="1" applyFont="1" applyFill="1" applyBorder="1"/>
    <xf numFmtId="10" fontId="0" fillId="10" borderId="22" xfId="2" applyNumberFormat="1" applyFont="1" applyFill="1" applyBorder="1"/>
    <xf numFmtId="2" fontId="0" fillId="0" borderId="22" xfId="0" applyNumberFormat="1" applyBorder="1"/>
    <xf numFmtId="0" fontId="0" fillId="0" borderId="12" xfId="0" applyBorder="1"/>
    <xf numFmtId="0" fontId="0" fillId="0" borderId="13" xfId="0" applyBorder="1"/>
    <xf numFmtId="0" fontId="0" fillId="0" borderId="17" xfId="0" applyBorder="1"/>
    <xf numFmtId="0" fontId="4" fillId="0" borderId="14" xfId="0" applyFont="1" applyBorder="1"/>
    <xf numFmtId="10" fontId="4" fillId="10" borderId="0" xfId="2" applyNumberFormat="1" applyFont="1" applyFill="1" applyBorder="1"/>
    <xf numFmtId="0" fontId="4" fillId="0" borderId="12" xfId="0" applyFont="1" applyBorder="1"/>
    <xf numFmtId="0" fontId="4" fillId="0" borderId="1" xfId="0" applyFont="1" applyBorder="1"/>
    <xf numFmtId="10" fontId="4" fillId="10" borderId="1" xfId="2" applyNumberFormat="1" applyFont="1" applyFill="1" applyBorder="1"/>
    <xf numFmtId="0" fontId="1" fillId="0" borderId="16" xfId="0" applyFont="1" applyBorder="1"/>
    <xf numFmtId="0" fontId="5" fillId="0" borderId="0" xfId="0" applyFont="1"/>
    <xf numFmtId="167" fontId="5" fillId="0" borderId="0" xfId="0" applyNumberFormat="1" applyFont="1"/>
    <xf numFmtId="0" fontId="1" fillId="0" borderId="24" xfId="0" applyFont="1" applyBorder="1" applyAlignment="1">
      <alignment horizontal="right"/>
    </xf>
    <xf numFmtId="10" fontId="0" fillId="0" borderId="25" xfId="2" applyNumberFormat="1" applyFont="1" applyBorder="1"/>
    <xf numFmtId="10" fontId="0" fillId="0" borderId="24" xfId="2" applyNumberFormat="1" applyFont="1" applyBorder="1"/>
    <xf numFmtId="0" fontId="0" fillId="0" borderId="26" xfId="0" applyBorder="1"/>
    <xf numFmtId="0" fontId="0" fillId="0" borderId="18" xfId="0" applyBorder="1"/>
    <xf numFmtId="10" fontId="0" fillId="0" borderId="22" xfId="0" applyNumberFormat="1" applyBorder="1"/>
    <xf numFmtId="10" fontId="4" fillId="0" borderId="15" xfId="0" applyNumberFormat="1" applyFont="1" applyBorder="1"/>
    <xf numFmtId="0" fontId="0" fillId="0" borderId="27" xfId="0" applyBorder="1"/>
    <xf numFmtId="10" fontId="0" fillId="0" borderId="24" xfId="0" applyNumberFormat="1" applyBorder="1"/>
    <xf numFmtId="10" fontId="0" fillId="0" borderId="17" xfId="0" applyNumberFormat="1" applyBorder="1"/>
    <xf numFmtId="10" fontId="0" fillId="0" borderId="17" xfId="2" applyNumberFormat="1" applyFont="1" applyBorder="1"/>
    <xf numFmtId="178" fontId="0" fillId="0" borderId="0" xfId="0" applyNumberFormat="1" applyAlignment="1">
      <alignment horizontal="left"/>
    </xf>
    <xf numFmtId="178" fontId="1" fillId="0" borderId="28" xfId="0" applyNumberFormat="1" applyFont="1" applyBorder="1" applyAlignment="1">
      <alignment horizontal="left"/>
    </xf>
    <xf numFmtId="0" fontId="1" fillId="0" borderId="28" xfId="0" applyFont="1" applyBorder="1" applyAlignment="1">
      <alignment horizontal="right"/>
    </xf>
    <xf numFmtId="174" fontId="0" fillId="0" borderId="0" xfId="0" applyNumberFormat="1" applyAlignment="1">
      <alignment horizontal="right"/>
    </xf>
    <xf numFmtId="178" fontId="3" fillId="10" borderId="0" xfId="0" applyNumberFormat="1" applyFont="1" applyFill="1"/>
    <xf numFmtId="0" fontId="0" fillId="0" borderId="5" xfId="0" applyBorder="1"/>
    <xf numFmtId="0" fontId="15" fillId="0" borderId="29" xfId="0" applyFont="1" applyBorder="1" applyAlignment="1">
      <alignment horizontal="center"/>
    </xf>
    <xf numFmtId="0" fontId="15" fillId="0" borderId="29" xfId="0" applyFont="1" applyBorder="1" applyAlignment="1">
      <alignment horizontal="centerContinuous"/>
    </xf>
    <xf numFmtId="2" fontId="0" fillId="0" borderId="24" xfId="0" applyNumberFormat="1" applyBorder="1"/>
    <xf numFmtId="167" fontId="0" fillId="0" borderId="15" xfId="0" applyNumberFormat="1" applyBorder="1"/>
    <xf numFmtId="2" fontId="5" fillId="0" borderId="15" xfId="0" applyNumberFormat="1" applyFont="1" applyBorder="1"/>
    <xf numFmtId="177" fontId="0" fillId="0" borderId="15" xfId="0" applyNumberFormat="1" applyBorder="1"/>
    <xf numFmtId="0" fontId="5" fillId="0" borderId="1" xfId="0" applyFont="1" applyBorder="1"/>
    <xf numFmtId="10" fontId="5" fillId="10" borderId="1" xfId="2" applyNumberFormat="1" applyFont="1" applyFill="1" applyBorder="1"/>
    <xf numFmtId="2" fontId="4" fillId="10" borderId="1" xfId="2" applyNumberFormat="1" applyFont="1" applyFill="1" applyBorder="1"/>
    <xf numFmtId="10" fontId="5" fillId="10" borderId="0" xfId="2" applyNumberFormat="1" applyFont="1" applyFill="1" applyBorder="1"/>
    <xf numFmtId="2" fontId="4" fillId="10" borderId="0" xfId="0" applyNumberFormat="1" applyFont="1" applyFill="1"/>
    <xf numFmtId="2" fontId="4" fillId="10" borderId="0" xfId="2" applyNumberFormat="1" applyFont="1" applyFill="1" applyBorder="1"/>
    <xf numFmtId="2" fontId="5" fillId="0" borderId="0" xfId="0" applyNumberFormat="1" applyFont="1"/>
    <xf numFmtId="10" fontId="5" fillId="0" borderId="15" xfId="2" applyNumberFormat="1" applyFont="1" applyBorder="1"/>
    <xf numFmtId="2" fontId="5" fillId="10" borderId="0" xfId="0" applyNumberFormat="1" applyFont="1" applyFill="1"/>
    <xf numFmtId="0" fontId="21" fillId="9" borderId="13" xfId="0" applyFont="1" applyFill="1" applyBorder="1" applyAlignment="1">
      <alignment horizontal="center"/>
    </xf>
    <xf numFmtId="2" fontId="5" fillId="0" borderId="1" xfId="0" applyNumberFormat="1" applyFont="1" applyBorder="1"/>
    <xf numFmtId="0" fontId="4" fillId="0" borderId="15" xfId="0" applyFont="1" applyBorder="1"/>
    <xf numFmtId="2" fontId="0" fillId="0" borderId="25" xfId="0" applyNumberFormat="1" applyBorder="1"/>
    <xf numFmtId="10" fontId="0" fillId="0" borderId="13" xfId="0" applyNumberFormat="1" applyBorder="1"/>
    <xf numFmtId="9" fontId="0" fillId="0" borderId="9" xfId="2" applyFont="1" applyBorder="1"/>
    <xf numFmtId="9" fontId="0" fillId="0" borderId="25" xfId="2" applyFont="1" applyBorder="1"/>
    <xf numFmtId="0" fontId="0" fillId="0" borderId="32" xfId="0" applyBorder="1"/>
    <xf numFmtId="0" fontId="0" fillId="0" borderId="33" xfId="0" applyBorder="1"/>
    <xf numFmtId="2" fontId="0" fillId="0" borderId="19" xfId="0" applyNumberFormat="1" applyBorder="1"/>
    <xf numFmtId="2" fontId="4" fillId="0" borderId="15" xfId="0" applyNumberFormat="1" applyFont="1" applyBorder="1"/>
    <xf numFmtId="10" fontId="5" fillId="0" borderId="15" xfId="0" applyNumberFormat="1" applyFont="1" applyBorder="1"/>
    <xf numFmtId="10" fontId="0" fillId="0" borderId="12" xfId="0" applyNumberFormat="1" applyBorder="1"/>
    <xf numFmtId="10" fontId="0" fillId="0" borderId="14" xfId="0" applyNumberFormat="1" applyBorder="1"/>
    <xf numFmtId="2" fontId="4" fillId="0" borderId="15" xfId="2" applyNumberFormat="1" applyFont="1" applyBorder="1" applyAlignment="1">
      <alignment horizontal="right"/>
    </xf>
    <xf numFmtId="10" fontId="1" fillId="0" borderId="18" xfId="0" applyNumberFormat="1" applyFont="1" applyBorder="1"/>
    <xf numFmtId="10" fontId="1" fillId="0" borderId="19" xfId="0" applyNumberFormat="1" applyFont="1" applyBorder="1"/>
    <xf numFmtId="0" fontId="0" fillId="0" borderId="30" xfId="0" applyBorder="1"/>
    <xf numFmtId="10" fontId="0" fillId="0" borderId="30" xfId="0" applyNumberFormat="1" applyBorder="1"/>
    <xf numFmtId="0" fontId="0" fillId="0" borderId="31" xfId="0" applyBorder="1"/>
    <xf numFmtId="10" fontId="0" fillId="0" borderId="31" xfId="0" applyNumberFormat="1" applyBorder="1"/>
    <xf numFmtId="0" fontId="0" fillId="0" borderId="23" xfId="0" applyBorder="1"/>
    <xf numFmtId="10" fontId="0" fillId="0" borderId="23" xfId="0" applyNumberFormat="1" applyBorder="1"/>
    <xf numFmtId="0" fontId="4" fillId="0" borderId="31" xfId="0" applyFont="1" applyBorder="1"/>
    <xf numFmtId="0" fontId="4" fillId="0" borderId="23" xfId="0" applyFont="1" applyBorder="1"/>
    <xf numFmtId="0" fontId="0" fillId="0" borderId="11" xfId="0" applyBorder="1"/>
    <xf numFmtId="167" fontId="0" fillId="0" borderId="6" xfId="0" applyNumberFormat="1" applyBorder="1"/>
    <xf numFmtId="17" fontId="1" fillId="0" borderId="0" xfId="0" applyNumberFormat="1" applyFont="1"/>
    <xf numFmtId="17" fontId="1" fillId="0" borderId="6" xfId="0" applyNumberFormat="1" applyFont="1" applyBorder="1"/>
    <xf numFmtId="3" fontId="0" fillId="0" borderId="7" xfId="0" applyNumberFormat="1" applyBorder="1"/>
    <xf numFmtId="0" fontId="3" fillId="9" borderId="0" xfId="0" applyFont="1" applyFill="1"/>
    <xf numFmtId="17" fontId="3" fillId="9" borderId="0" xfId="0" applyNumberFormat="1" applyFont="1" applyFill="1"/>
    <xf numFmtId="3" fontId="1" fillId="0" borderId="1" xfId="0" applyNumberFormat="1" applyFont="1" applyBorder="1"/>
    <xf numFmtId="0" fontId="0" fillId="0" borderId="34" xfId="0" applyBorder="1"/>
    <xf numFmtId="3" fontId="0" fillId="0" borderId="34" xfId="0" applyNumberFormat="1" applyBorder="1"/>
    <xf numFmtId="3" fontId="0" fillId="0" borderId="1" xfId="0" applyNumberFormat="1" applyBorder="1"/>
    <xf numFmtId="3" fontId="0" fillId="0" borderId="6" xfId="0" applyNumberFormat="1" applyBorder="1"/>
    <xf numFmtId="10" fontId="0" fillId="0" borderId="34" xfId="2" applyNumberFormat="1" applyFont="1" applyBorder="1"/>
    <xf numFmtId="10" fontId="0" fillId="0" borderId="7" xfId="0" applyNumberFormat="1" applyBorder="1"/>
    <xf numFmtId="10" fontId="0" fillId="0" borderId="1" xfId="0" applyNumberFormat="1" applyBorder="1"/>
    <xf numFmtId="2" fontId="0" fillId="0" borderId="7" xfId="0" applyNumberFormat="1" applyBorder="1"/>
    <xf numFmtId="10" fontId="0" fillId="0" borderId="1" xfId="2" applyNumberFormat="1" applyFont="1" applyBorder="1"/>
    <xf numFmtId="179" fontId="0" fillId="0" borderId="34" xfId="0" applyNumberFormat="1" applyBorder="1"/>
    <xf numFmtId="180" fontId="0" fillId="0" borderId="0" xfId="0" applyNumberFormat="1"/>
    <xf numFmtId="180" fontId="0" fillId="0" borderId="1" xfId="0" applyNumberFormat="1" applyBorder="1"/>
    <xf numFmtId="181" fontId="0" fillId="0" borderId="1" xfId="2" applyNumberFormat="1" applyFont="1" applyBorder="1"/>
    <xf numFmtId="181" fontId="0" fillId="0" borderId="34" xfId="2" applyNumberFormat="1" applyFont="1" applyBorder="1"/>
    <xf numFmtId="181" fontId="0" fillId="0" borderId="7" xfId="0" applyNumberFormat="1" applyBorder="1"/>
    <xf numFmtId="10" fontId="0" fillId="0" borderId="7" xfId="2" applyNumberFormat="1" applyFont="1" applyBorder="1"/>
    <xf numFmtId="10" fontId="4" fillId="0" borderId="7" xfId="2" applyNumberFormat="1" applyFont="1" applyBorder="1"/>
    <xf numFmtId="0" fontId="4" fillId="0" borderId="7" xfId="0" applyFont="1" applyBorder="1"/>
    <xf numFmtId="0" fontId="0" fillId="15" borderId="0" xfId="0" applyFill="1"/>
    <xf numFmtId="10" fontId="0" fillId="15" borderId="0" xfId="0" applyNumberFormat="1" applyFill="1"/>
    <xf numFmtId="0" fontId="0" fillId="15" borderId="7" xfId="0" applyFill="1" applyBorder="1"/>
    <xf numFmtId="10" fontId="0" fillId="15" borderId="7" xfId="0" applyNumberFormat="1" applyFill="1" applyBorder="1"/>
    <xf numFmtId="10" fontId="0" fillId="15" borderId="7" xfId="2" applyNumberFormat="1" applyFont="1" applyFill="1" applyBorder="1"/>
    <xf numFmtId="177" fontId="0" fillId="0" borderId="7" xfId="0" applyNumberFormat="1" applyBorder="1"/>
    <xf numFmtId="0" fontId="0" fillId="0" borderId="35" xfId="0" applyBorder="1"/>
    <xf numFmtId="0" fontId="0" fillId="15" borderId="35" xfId="0" applyFill="1" applyBorder="1"/>
    <xf numFmtId="182" fontId="3" fillId="9" borderId="0" xfId="0" applyNumberFormat="1" applyFont="1" applyFill="1"/>
    <xf numFmtId="183" fontId="3" fillId="9" borderId="0" xfId="0" applyNumberFormat="1" applyFont="1" applyFill="1"/>
    <xf numFmtId="184" fontId="0" fillId="0" borderId="0" xfId="2" applyNumberFormat="1" applyFont="1"/>
    <xf numFmtId="0" fontId="23" fillId="0" borderId="0" xfId="0" applyFont="1"/>
    <xf numFmtId="0" fontId="24" fillId="0" borderId="28" xfId="0" applyFont="1" applyBorder="1"/>
    <xf numFmtId="0" fontId="0" fillId="0" borderId="28" xfId="0" applyBorder="1"/>
    <xf numFmtId="0" fontId="23" fillId="0" borderId="28" xfId="0" applyFont="1" applyBorder="1"/>
    <xf numFmtId="0" fontId="25" fillId="16" borderId="0" xfId="0" applyFont="1" applyFill="1"/>
    <xf numFmtId="0" fontId="25" fillId="16" borderId="0" xfId="0" applyFont="1" applyFill="1" applyAlignment="1">
      <alignment horizontal="left"/>
    </xf>
    <xf numFmtId="0" fontId="25" fillId="16" borderId="0" xfId="0" applyFont="1" applyFill="1" applyAlignment="1">
      <alignment horizontal="right" wrapText="1"/>
    </xf>
    <xf numFmtId="0" fontId="25" fillId="16" borderId="0" xfId="0" applyFont="1" applyFill="1" applyAlignment="1">
      <alignment horizontal="right"/>
    </xf>
    <xf numFmtId="2" fontId="25" fillId="0" borderId="0" xfId="0" applyNumberFormat="1" applyFont="1" applyAlignment="1">
      <alignment horizontal="left"/>
    </xf>
    <xf numFmtId="2" fontId="25" fillId="0" borderId="0" xfId="0" applyNumberFormat="1" applyFont="1" applyAlignment="1">
      <alignment horizontal="right" wrapText="1"/>
    </xf>
    <xf numFmtId="2" fontId="25" fillId="0" borderId="0" xfId="0" applyNumberFormat="1" applyFont="1" applyAlignment="1">
      <alignment horizontal="right"/>
    </xf>
    <xf numFmtId="0" fontId="26" fillId="13" borderId="8" xfId="0" applyFont="1" applyFill="1" applyBorder="1" applyAlignment="1">
      <alignment horizontal="left"/>
    </xf>
    <xf numFmtId="2" fontId="26" fillId="13" borderId="8" xfId="0" applyNumberFormat="1" applyFont="1" applyFill="1" applyBorder="1" applyAlignment="1">
      <alignment horizontal="left"/>
    </xf>
    <xf numFmtId="3" fontId="26" fillId="13" borderId="8" xfId="0" applyNumberFormat="1" applyFont="1" applyFill="1" applyBorder="1" applyAlignment="1">
      <alignment horizontal="right" wrapText="1"/>
    </xf>
    <xf numFmtId="3" fontId="0" fillId="13" borderId="8" xfId="0" applyNumberFormat="1" applyFill="1" applyBorder="1" applyAlignment="1">
      <alignment horizontal="right"/>
    </xf>
    <xf numFmtId="3" fontId="26" fillId="13" borderId="8" xfId="0" applyNumberFormat="1" applyFont="1" applyFill="1" applyBorder="1" applyAlignment="1">
      <alignment horizontal="right"/>
    </xf>
    <xf numFmtId="2" fontId="26" fillId="13" borderId="8" xfId="0" applyNumberFormat="1" applyFont="1" applyFill="1" applyBorder="1" applyAlignment="1">
      <alignment horizontal="right"/>
    </xf>
    <xf numFmtId="185" fontId="26" fillId="13" borderId="8" xfId="0" applyNumberFormat="1" applyFont="1" applyFill="1" applyBorder="1" applyAlignment="1">
      <alignment horizontal="right"/>
    </xf>
    <xf numFmtId="0" fontId="0" fillId="0" borderId="8" xfId="0" applyBorder="1" applyAlignment="1">
      <alignment horizontal="left"/>
    </xf>
    <xf numFmtId="3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185" fontId="26" fillId="0" borderId="8" xfId="0" applyNumberFormat="1" applyFont="1" applyBorder="1" applyAlignment="1">
      <alignment horizontal="right"/>
    </xf>
    <xf numFmtId="0" fontId="0" fillId="13" borderId="8" xfId="0" applyFill="1" applyBorder="1"/>
    <xf numFmtId="185" fontId="0" fillId="13" borderId="8" xfId="0" applyNumberFormat="1" applyFill="1" applyBorder="1"/>
    <xf numFmtId="0" fontId="16" fillId="13" borderId="8" xfId="0" applyFont="1" applyFill="1" applyBorder="1"/>
    <xf numFmtId="185" fontId="16" fillId="13" borderId="8" xfId="0" applyNumberFormat="1" applyFont="1" applyFill="1" applyBorder="1"/>
    <xf numFmtId="0" fontId="25" fillId="16" borderId="28" xfId="0" applyFont="1" applyFill="1" applyBorder="1"/>
    <xf numFmtId="0" fontId="27" fillId="16" borderId="0" xfId="0" applyFont="1" applyFill="1"/>
    <xf numFmtId="0" fontId="25" fillId="16" borderId="0" xfId="0" applyFont="1" applyFill="1" applyAlignment="1">
      <alignment horizontal="center"/>
    </xf>
    <xf numFmtId="3" fontId="0" fillId="0" borderId="8" xfId="0" applyNumberFormat="1" applyBorder="1"/>
    <xf numFmtId="2" fontId="0" fillId="0" borderId="8" xfId="0" applyNumberFormat="1" applyBorder="1"/>
    <xf numFmtId="0" fontId="16" fillId="13" borderId="37" xfId="0" applyFont="1" applyFill="1" applyBorder="1"/>
    <xf numFmtId="174" fontId="16" fillId="13" borderId="37" xfId="0" applyNumberFormat="1" applyFont="1" applyFill="1" applyBorder="1"/>
    <xf numFmtId="0" fontId="16" fillId="0" borderId="0" xfId="0" applyFont="1"/>
    <xf numFmtId="174" fontId="16" fillId="0" borderId="0" xfId="0" applyNumberFormat="1" applyFont="1"/>
    <xf numFmtId="2" fontId="0" fillId="0" borderId="0" xfId="2" applyNumberFormat="1" applyFont="1"/>
    <xf numFmtId="186" fontId="0" fillId="0" borderId="0" xfId="0" applyNumberFormat="1"/>
    <xf numFmtId="10" fontId="2" fillId="0" borderId="0" xfId="2" applyNumberFormat="1" applyFont="1"/>
    <xf numFmtId="0" fontId="2" fillId="0" borderId="0" xfId="0" applyFont="1"/>
    <xf numFmtId="0" fontId="3" fillId="9" borderId="0" xfId="0" applyFont="1" applyFill="1" applyAlignment="1">
      <alignment horizontal="center"/>
    </xf>
    <xf numFmtId="0" fontId="21" fillId="9" borderId="12" xfId="0" applyFont="1" applyFill="1" applyBorder="1" applyAlignment="1">
      <alignment horizontal="center"/>
    </xf>
    <xf numFmtId="0" fontId="21" fillId="9" borderId="1" xfId="0" applyFont="1" applyFill="1" applyBorder="1" applyAlignment="1">
      <alignment horizontal="center"/>
    </xf>
    <xf numFmtId="0" fontId="20" fillId="9" borderId="16" xfId="0" applyFont="1" applyFill="1" applyBorder="1" applyAlignment="1">
      <alignment horizontal="center"/>
    </xf>
    <xf numFmtId="0" fontId="20" fillId="9" borderId="6" xfId="0" applyFont="1" applyFill="1" applyBorder="1" applyAlignment="1">
      <alignment horizontal="center"/>
    </xf>
    <xf numFmtId="0" fontId="20" fillId="9" borderId="17" xfId="0" applyFont="1" applyFill="1" applyBorder="1" applyAlignment="1">
      <alignment horizontal="center"/>
    </xf>
    <xf numFmtId="0" fontId="17" fillId="14" borderId="0" xfId="0" applyFont="1" applyFill="1" applyAlignment="1">
      <alignment horizontal="center"/>
    </xf>
    <xf numFmtId="0" fontId="25" fillId="16" borderId="36" xfId="0" applyFont="1" applyFill="1" applyBorder="1" applyAlignment="1">
      <alignment horizontal="center"/>
    </xf>
    <xf numFmtId="168" fontId="12" fillId="0" borderId="0" xfId="5" applyNumberFormat="1" applyBorder="1" applyAlignment="1" applyProtection="1">
      <alignment horizontal="center"/>
    </xf>
    <xf numFmtId="168" fontId="3" fillId="7" borderId="0" xfId="3" applyNumberFormat="1" applyFont="1" applyBorder="1" applyAlignment="1">
      <alignment horizontal="center"/>
    </xf>
    <xf numFmtId="178" fontId="3" fillId="9" borderId="0" xfId="0" applyNumberFormat="1" applyFont="1" applyFill="1" applyAlignment="1">
      <alignment horizontal="center"/>
    </xf>
  </cellXfs>
  <cellStyles count="6">
    <cellStyle name="Accent6" xfId="3" builtinId="49"/>
    <cellStyle name="Comma" xfId="1" builtinId="3"/>
    <cellStyle name="Comma 2" xfId="4" xr:uid="{95B5C139-1D62-4204-B74B-A1A766C9AA22}"/>
    <cellStyle name="Hyperlink 2" xfId="5" xr:uid="{348D24EA-67E2-49D5-AE4D-85CC713B9D0B}"/>
    <cellStyle name="Normal" xfId="0" builtinId="0"/>
    <cellStyle name="Per cent" xfId="2" builtinId="5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reener.in/excel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B47F-8B2C-4597-BADA-753FDA9A7A17}">
  <sheetPr>
    <tabColor rgb="FFFF0000"/>
  </sheetPr>
  <dimension ref="A1:M170"/>
  <sheetViews>
    <sheetView zoomScale="120" zoomScaleNormal="120" zoomScalePageLayoutView="120" workbookViewId="0">
      <pane xSplit="1" ySplit="1" topLeftCell="B71" activePane="bottomRight" state="frozen"/>
      <selection activeCell="C4" sqref="C4"/>
      <selection pane="topRight" activeCell="C4" sqref="C4"/>
      <selection pane="bottomLeft" activeCell="C4" sqref="C4"/>
      <selection pane="bottomRight" activeCell="B93" sqref="B93"/>
    </sheetView>
  </sheetViews>
  <sheetFormatPr defaultColWidth="8.85546875" defaultRowHeight="15" x14ac:dyDescent="0.25"/>
  <cols>
    <col min="1" max="1" width="27.7109375" style="47" bestFit="1" customWidth="1"/>
    <col min="2" max="11" width="13.42578125" style="47" bestFit="1" customWidth="1"/>
    <col min="12" max="14" width="10.5703125" style="47" bestFit="1" customWidth="1"/>
    <col min="15" max="16384" width="8.85546875" style="47"/>
  </cols>
  <sheetData>
    <row r="1" spans="1:11" s="46" customFormat="1" x14ac:dyDescent="0.25">
      <c r="A1" s="46" t="s">
        <v>41</v>
      </c>
      <c r="B1" s="46" t="s">
        <v>42</v>
      </c>
      <c r="E1" s="295" t="str">
        <f>IF(B2&lt;&gt;B3, "A NEW VERSION OF THE WORKSHEET IS AVAILABLE", "")</f>
        <v/>
      </c>
      <c r="F1" s="295"/>
      <c r="G1" s="295"/>
      <c r="H1" s="295"/>
      <c r="I1" s="295"/>
      <c r="J1" s="295"/>
      <c r="K1" s="295"/>
    </row>
    <row r="2" spans="1:11" x14ac:dyDescent="0.25">
      <c r="A2" s="46" t="s">
        <v>43</v>
      </c>
      <c r="B2" s="47">
        <v>2.1</v>
      </c>
      <c r="E2" s="296" t="s">
        <v>44</v>
      </c>
      <c r="F2" s="296"/>
      <c r="G2" s="296"/>
      <c r="H2" s="296"/>
      <c r="I2" s="296"/>
      <c r="J2" s="296"/>
      <c r="K2" s="296"/>
    </row>
    <row r="3" spans="1:11" x14ac:dyDescent="0.25">
      <c r="A3" s="46" t="s">
        <v>45</v>
      </c>
      <c r="B3" s="47">
        <v>2.1</v>
      </c>
    </row>
    <row r="4" spans="1:11" x14ac:dyDescent="0.25">
      <c r="A4" s="46"/>
    </row>
    <row r="5" spans="1:11" x14ac:dyDescent="0.25">
      <c r="A5" s="46" t="s">
        <v>46</v>
      </c>
    </row>
    <row r="6" spans="1:11" x14ac:dyDescent="0.25">
      <c r="A6" s="47" t="s">
        <v>47</v>
      </c>
      <c r="B6" s="47">
        <f>IF(B9&gt;0, B9/B8, 0)</f>
        <v>1252.5373085613858</v>
      </c>
    </row>
    <row r="7" spans="1:11" x14ac:dyDescent="0.25">
      <c r="A7" s="47" t="s">
        <v>48</v>
      </c>
      <c r="B7">
        <v>1</v>
      </c>
    </row>
    <row r="8" spans="1:11" x14ac:dyDescent="0.25">
      <c r="A8" s="47" t="s">
        <v>49</v>
      </c>
      <c r="B8">
        <v>398.3</v>
      </c>
    </row>
    <row r="9" spans="1:11" x14ac:dyDescent="0.25">
      <c r="A9" s="47" t="s">
        <v>50</v>
      </c>
      <c r="B9">
        <v>498885.61</v>
      </c>
    </row>
    <row r="15" spans="1:11" x14ac:dyDescent="0.25">
      <c r="A15" s="46" t="s">
        <v>51</v>
      </c>
    </row>
    <row r="16" spans="1:11" s="50" customFormat="1" x14ac:dyDescent="0.25">
      <c r="A16" s="48" t="s">
        <v>40</v>
      </c>
      <c r="B16" s="49">
        <v>42460</v>
      </c>
      <c r="C16" s="49">
        <v>42825</v>
      </c>
      <c r="D16" s="49">
        <v>43190</v>
      </c>
      <c r="E16" s="49">
        <v>43555</v>
      </c>
      <c r="F16" s="49">
        <v>43921</v>
      </c>
      <c r="G16" s="49">
        <v>44286</v>
      </c>
      <c r="H16" s="49">
        <v>44651</v>
      </c>
      <c r="I16" s="49">
        <v>45016</v>
      </c>
      <c r="J16" s="49">
        <v>45382</v>
      </c>
      <c r="K16" s="49">
        <v>45747</v>
      </c>
    </row>
    <row r="17" spans="1:11" s="51" customFormat="1" x14ac:dyDescent="0.25">
      <c r="A17" s="51" t="s">
        <v>52</v>
      </c>
      <c r="B17">
        <v>39192.1</v>
      </c>
      <c r="C17">
        <v>42767.6</v>
      </c>
      <c r="D17">
        <v>43448.94</v>
      </c>
      <c r="E17">
        <v>48339.58</v>
      </c>
      <c r="F17">
        <v>49387.7</v>
      </c>
      <c r="G17">
        <v>49257.45</v>
      </c>
      <c r="H17">
        <v>60644.54</v>
      </c>
      <c r="I17">
        <v>70919.03</v>
      </c>
      <c r="J17">
        <v>67931.94</v>
      </c>
      <c r="K17">
        <v>75323.34</v>
      </c>
    </row>
    <row r="18" spans="1:11" s="51" customFormat="1" x14ac:dyDescent="0.25">
      <c r="A18" s="47" t="s">
        <v>53</v>
      </c>
      <c r="B18">
        <v>13763.88</v>
      </c>
      <c r="C18">
        <v>15456.59</v>
      </c>
      <c r="D18">
        <v>14827.72</v>
      </c>
      <c r="E18">
        <v>17623.52</v>
      </c>
      <c r="F18">
        <v>18048.599999999999</v>
      </c>
      <c r="G18">
        <v>20776.71</v>
      </c>
      <c r="H18">
        <v>27071.07</v>
      </c>
      <c r="I18">
        <v>29364.36</v>
      </c>
      <c r="J18">
        <v>27348.57</v>
      </c>
      <c r="K18">
        <v>32704.37</v>
      </c>
    </row>
    <row r="19" spans="1:11" s="51" customFormat="1" x14ac:dyDescent="0.25">
      <c r="A19" s="47" t="s">
        <v>54</v>
      </c>
      <c r="B19">
        <v>195.38</v>
      </c>
      <c r="C19">
        <v>-592.57000000000005</v>
      </c>
      <c r="D19">
        <v>-1027.76</v>
      </c>
      <c r="E19">
        <v>203.19</v>
      </c>
      <c r="F19">
        <v>703.13</v>
      </c>
      <c r="G19">
        <v>645.27</v>
      </c>
      <c r="H19">
        <v>686</v>
      </c>
      <c r="I19">
        <v>358.59</v>
      </c>
      <c r="J19">
        <v>367.77</v>
      </c>
      <c r="K19">
        <v>725.65</v>
      </c>
    </row>
    <row r="20" spans="1:11" s="51" customFormat="1" x14ac:dyDescent="0.25">
      <c r="A20" s="47" t="s">
        <v>55</v>
      </c>
      <c r="B20">
        <v>571.88</v>
      </c>
      <c r="C20">
        <v>584.33000000000004</v>
      </c>
      <c r="D20">
        <v>653.5</v>
      </c>
      <c r="E20">
        <v>746.73</v>
      </c>
      <c r="F20">
        <v>780.85</v>
      </c>
      <c r="G20">
        <v>699.56</v>
      </c>
      <c r="H20">
        <v>889.77</v>
      </c>
      <c r="I20">
        <v>1232.3399999999999</v>
      </c>
      <c r="J20">
        <v>952.9</v>
      </c>
      <c r="K20">
        <v>975.35</v>
      </c>
    </row>
    <row r="21" spans="1:11" s="51" customFormat="1" x14ac:dyDescent="0.25">
      <c r="A21" s="47" t="s">
        <v>56</v>
      </c>
      <c r="B21">
        <v>1581.59</v>
      </c>
      <c r="C21">
        <v>1683.9</v>
      </c>
      <c r="D21">
        <v>1697.62</v>
      </c>
      <c r="E21">
        <v>1871.01</v>
      </c>
      <c r="F21">
        <v>1908.29</v>
      </c>
      <c r="G21">
        <v>1587.18</v>
      </c>
      <c r="H21">
        <v>1887.67</v>
      </c>
      <c r="I21">
        <v>2327.8000000000002</v>
      </c>
      <c r="J21">
        <v>2183.7600000000002</v>
      </c>
      <c r="K21">
        <v>2345.36</v>
      </c>
    </row>
    <row r="22" spans="1:11" s="51" customFormat="1" x14ac:dyDescent="0.25">
      <c r="A22" s="47" t="s">
        <v>57</v>
      </c>
      <c r="B22">
        <v>3440.97</v>
      </c>
      <c r="C22">
        <v>3631.73</v>
      </c>
      <c r="D22">
        <v>3760.9</v>
      </c>
      <c r="E22">
        <v>4177.88</v>
      </c>
      <c r="F22">
        <v>4295.79</v>
      </c>
      <c r="G22">
        <v>4463.33</v>
      </c>
      <c r="H22">
        <v>4890.55</v>
      </c>
      <c r="I22">
        <v>5736.22</v>
      </c>
      <c r="J22">
        <v>5548.53</v>
      </c>
      <c r="K22">
        <v>6169.78</v>
      </c>
    </row>
    <row r="23" spans="1:11" s="51" customFormat="1" x14ac:dyDescent="0.25">
      <c r="A23" s="47" t="s">
        <v>58</v>
      </c>
      <c r="B23">
        <v>4261.78</v>
      </c>
      <c r="C23">
        <v>4179.74</v>
      </c>
      <c r="D23">
        <v>3954.87</v>
      </c>
      <c r="E23">
        <v>4546.3900000000003</v>
      </c>
      <c r="F23">
        <v>4488.63</v>
      </c>
      <c r="G23">
        <v>4236.7700000000004</v>
      </c>
      <c r="H23">
        <v>4858.38</v>
      </c>
      <c r="I23">
        <v>5604.08</v>
      </c>
      <c r="J23">
        <v>5312.45</v>
      </c>
      <c r="K23">
        <v>5793.29</v>
      </c>
    </row>
    <row r="24" spans="1:11" s="51" customFormat="1" x14ac:dyDescent="0.25">
      <c r="A24" s="47" t="s">
        <v>59</v>
      </c>
      <c r="B24">
        <v>1235.8900000000001</v>
      </c>
      <c r="C24">
        <v>1169.23</v>
      </c>
      <c r="D24">
        <v>1005.98</v>
      </c>
      <c r="E24">
        <v>1039.8499999999999</v>
      </c>
      <c r="F24">
        <v>1225.1300000000001</v>
      </c>
      <c r="G24">
        <v>1074.3900000000001</v>
      </c>
      <c r="H24">
        <v>1109.95</v>
      </c>
      <c r="I24">
        <v>1308.56</v>
      </c>
      <c r="J24">
        <v>1765.97</v>
      </c>
      <c r="K24">
        <v>2221.39</v>
      </c>
    </row>
    <row r="25" spans="1:11" s="51" customFormat="1" x14ac:dyDescent="0.25">
      <c r="A25" s="51" t="s">
        <v>60</v>
      </c>
      <c r="B25">
        <v>1483.11</v>
      </c>
      <c r="C25">
        <v>1758.63</v>
      </c>
      <c r="D25">
        <v>2239.81</v>
      </c>
      <c r="E25">
        <v>2080.44</v>
      </c>
      <c r="F25">
        <v>2417.3200000000002</v>
      </c>
      <c r="G25">
        <v>2576.9499999999998</v>
      </c>
      <c r="H25">
        <v>1909.72</v>
      </c>
      <c r="I25">
        <v>2097.64</v>
      </c>
      <c r="J25">
        <v>3330.45</v>
      </c>
      <c r="K25">
        <v>17794.88</v>
      </c>
    </row>
    <row r="26" spans="1:11" s="51" customFormat="1" x14ac:dyDescent="0.25">
      <c r="A26" s="51" t="s">
        <v>20</v>
      </c>
      <c r="B26">
        <v>1077.4000000000001</v>
      </c>
      <c r="C26">
        <v>1152.79</v>
      </c>
      <c r="D26">
        <v>1236.28</v>
      </c>
      <c r="E26">
        <v>1396.61</v>
      </c>
      <c r="F26">
        <v>1644.91</v>
      </c>
      <c r="G26">
        <v>1645.59</v>
      </c>
      <c r="H26">
        <v>1732.41</v>
      </c>
      <c r="I26">
        <v>1809.01</v>
      </c>
      <c r="J26">
        <v>1518.05</v>
      </c>
      <c r="K26">
        <v>1646.32</v>
      </c>
    </row>
    <row r="27" spans="1:11" s="51" customFormat="1" x14ac:dyDescent="0.25">
      <c r="A27" s="51" t="s">
        <v>7</v>
      </c>
      <c r="B27">
        <v>78.13</v>
      </c>
      <c r="C27">
        <v>49.03</v>
      </c>
      <c r="D27">
        <v>115.01</v>
      </c>
      <c r="E27">
        <v>71.400000000000006</v>
      </c>
      <c r="F27">
        <v>81.38</v>
      </c>
      <c r="G27">
        <v>57.97</v>
      </c>
      <c r="H27">
        <v>59.99</v>
      </c>
      <c r="I27">
        <v>77.77</v>
      </c>
      <c r="J27">
        <v>39.11</v>
      </c>
      <c r="K27">
        <v>45.06</v>
      </c>
    </row>
    <row r="28" spans="1:11" s="51" customFormat="1" x14ac:dyDescent="0.25">
      <c r="A28" s="51" t="s">
        <v>61</v>
      </c>
      <c r="B28">
        <v>14859.07</v>
      </c>
      <c r="C28">
        <v>16026.32</v>
      </c>
      <c r="D28">
        <v>17409.11</v>
      </c>
      <c r="E28">
        <v>19149.82</v>
      </c>
      <c r="F28">
        <v>20034.57</v>
      </c>
      <c r="G28">
        <v>17938.169999999998</v>
      </c>
      <c r="H28">
        <v>20740.47</v>
      </c>
      <c r="I28">
        <v>25915.119999999999</v>
      </c>
      <c r="J28">
        <v>26960.82</v>
      </c>
      <c r="K28">
        <v>41942.949999999997</v>
      </c>
    </row>
    <row r="29" spans="1:11" s="51" customFormat="1" x14ac:dyDescent="0.25">
      <c r="A29" s="51" t="s">
        <v>62</v>
      </c>
      <c r="B29">
        <v>5358.21</v>
      </c>
      <c r="C29">
        <v>5549.09</v>
      </c>
      <c r="D29">
        <v>5916.43</v>
      </c>
      <c r="E29">
        <v>6313.92</v>
      </c>
      <c r="F29">
        <v>4441.79</v>
      </c>
      <c r="G29">
        <v>4555.29</v>
      </c>
      <c r="H29">
        <v>5237.34</v>
      </c>
      <c r="I29">
        <v>6438.4</v>
      </c>
      <c r="J29">
        <v>6209.46</v>
      </c>
      <c r="K29">
        <v>6890.47</v>
      </c>
    </row>
    <row r="30" spans="1:11" s="51" customFormat="1" x14ac:dyDescent="0.25">
      <c r="A30" s="51" t="s">
        <v>63</v>
      </c>
      <c r="B30">
        <v>9344.4500000000007</v>
      </c>
      <c r="C30">
        <v>10289.44</v>
      </c>
      <c r="D30">
        <v>11271.2</v>
      </c>
      <c r="E30">
        <v>12592.33</v>
      </c>
      <c r="F30">
        <v>15306.23</v>
      </c>
      <c r="G30">
        <v>13161.19</v>
      </c>
      <c r="H30">
        <v>15242.66</v>
      </c>
      <c r="I30">
        <v>19191.66</v>
      </c>
      <c r="J30">
        <v>20458.78</v>
      </c>
      <c r="K30">
        <v>34746.629999999997</v>
      </c>
    </row>
    <row r="31" spans="1:11" s="51" customFormat="1" x14ac:dyDescent="0.25">
      <c r="A31" s="51" t="s">
        <v>64</v>
      </c>
      <c r="B31">
        <v>6840.12</v>
      </c>
      <c r="C31">
        <v>5770.02</v>
      </c>
      <c r="D31">
        <v>6285.21</v>
      </c>
      <c r="E31">
        <v>7048.7</v>
      </c>
      <c r="F31">
        <v>12476.58</v>
      </c>
      <c r="G31">
        <v>13231.96</v>
      </c>
      <c r="H31">
        <v>14171.8</v>
      </c>
      <c r="I31">
        <v>19263.400000000001</v>
      </c>
      <c r="J31">
        <v>17166.46</v>
      </c>
      <c r="K31">
        <v>17957.73</v>
      </c>
    </row>
    <row r="32" spans="1:11" s="51" customFormat="1" x14ac:dyDescent="0.25"/>
    <row r="34" spans="1:11" x14ac:dyDescent="0.25">
      <c r="A34" s="51"/>
    </row>
    <row r="35" spans="1:11" x14ac:dyDescent="0.25">
      <c r="A35" s="51"/>
    </row>
    <row r="36" spans="1:11" x14ac:dyDescent="0.25">
      <c r="A36" s="51"/>
    </row>
    <row r="37" spans="1:11" x14ac:dyDescent="0.25">
      <c r="A37" s="51"/>
    </row>
    <row r="38" spans="1:11" x14ac:dyDescent="0.25">
      <c r="A38" s="51"/>
    </row>
    <row r="39" spans="1:11" x14ac:dyDescent="0.25">
      <c r="A39" s="51"/>
    </row>
    <row r="40" spans="1:11" x14ac:dyDescent="0.25">
      <c r="A40" s="46" t="s">
        <v>65</v>
      </c>
    </row>
    <row r="41" spans="1:11" s="50" customFormat="1" x14ac:dyDescent="0.25">
      <c r="A41" s="48" t="s">
        <v>40</v>
      </c>
      <c r="B41" s="49">
        <v>45016</v>
      </c>
      <c r="C41" s="49">
        <v>45107</v>
      </c>
      <c r="D41" s="49">
        <v>45199</v>
      </c>
      <c r="E41" s="49">
        <v>45291</v>
      </c>
      <c r="F41" s="49">
        <v>45382</v>
      </c>
      <c r="G41" s="49">
        <v>45473</v>
      </c>
      <c r="H41" s="49">
        <v>45565</v>
      </c>
      <c r="I41" s="49">
        <v>45657</v>
      </c>
      <c r="J41" s="49">
        <v>45747</v>
      </c>
      <c r="K41" s="49">
        <v>45838</v>
      </c>
    </row>
    <row r="42" spans="1:11" s="51" customFormat="1" x14ac:dyDescent="0.25">
      <c r="A42" s="51" t="s">
        <v>52</v>
      </c>
      <c r="B42">
        <v>17634.89</v>
      </c>
      <c r="C42">
        <v>17164.46</v>
      </c>
      <c r="D42">
        <v>17774.47</v>
      </c>
      <c r="E42">
        <v>17195.240000000002</v>
      </c>
      <c r="F42">
        <v>17037.8</v>
      </c>
      <c r="G42">
        <v>17777.810000000001</v>
      </c>
      <c r="H42">
        <v>19990.36</v>
      </c>
      <c r="I42">
        <v>18790.169999999998</v>
      </c>
      <c r="J42">
        <v>18765</v>
      </c>
      <c r="K42">
        <v>21494.79</v>
      </c>
    </row>
    <row r="43" spans="1:11" s="51" customFormat="1" x14ac:dyDescent="0.25">
      <c r="A43" s="51" t="s">
        <v>66</v>
      </c>
      <c r="B43">
        <v>11010.89</v>
      </c>
      <c r="C43">
        <v>10494.39</v>
      </c>
      <c r="D43">
        <v>11320.23</v>
      </c>
      <c r="E43">
        <v>10985.01</v>
      </c>
      <c r="F43">
        <v>10735.73</v>
      </c>
      <c r="G43">
        <v>11232.97</v>
      </c>
      <c r="H43">
        <v>13438.28</v>
      </c>
      <c r="I43">
        <v>12428.27</v>
      </c>
      <c r="J43">
        <v>12245.61</v>
      </c>
      <c r="K43">
        <v>14678.32</v>
      </c>
    </row>
    <row r="44" spans="1:11" s="51" customFormat="1" x14ac:dyDescent="0.25">
      <c r="A44" s="51" t="s">
        <v>60</v>
      </c>
      <c r="B44">
        <v>682.52</v>
      </c>
      <c r="C44">
        <v>722.3</v>
      </c>
      <c r="D44">
        <v>673.5</v>
      </c>
      <c r="E44">
        <v>820.26</v>
      </c>
      <c r="F44">
        <v>868</v>
      </c>
      <c r="G44">
        <v>771.13</v>
      </c>
      <c r="H44">
        <v>690.31</v>
      </c>
      <c r="I44">
        <v>803.4</v>
      </c>
      <c r="J44">
        <v>15391.28</v>
      </c>
      <c r="K44">
        <v>750.97</v>
      </c>
    </row>
    <row r="45" spans="1:11" s="51" customFormat="1" x14ac:dyDescent="0.25">
      <c r="A45" s="51" t="s">
        <v>20</v>
      </c>
      <c r="B45">
        <v>461.4</v>
      </c>
      <c r="C45">
        <v>442.46</v>
      </c>
      <c r="D45">
        <v>453.04</v>
      </c>
      <c r="E45">
        <v>384.04</v>
      </c>
      <c r="F45">
        <v>385.09</v>
      </c>
      <c r="G45">
        <v>403.13</v>
      </c>
      <c r="H45">
        <v>416.18</v>
      </c>
      <c r="I45">
        <v>415.98</v>
      </c>
      <c r="J45">
        <v>411.03</v>
      </c>
      <c r="K45">
        <v>422.96</v>
      </c>
    </row>
    <row r="46" spans="1:11" s="51" customFormat="1" x14ac:dyDescent="0.25">
      <c r="A46" s="51" t="s">
        <v>7</v>
      </c>
      <c r="B46">
        <v>12.15</v>
      </c>
      <c r="C46">
        <v>9.9</v>
      </c>
      <c r="D46">
        <v>9.8699999999999992</v>
      </c>
      <c r="E46">
        <v>11.94</v>
      </c>
      <c r="F46">
        <v>10.72</v>
      </c>
      <c r="G46">
        <v>9.6</v>
      </c>
      <c r="H46">
        <v>14.73</v>
      </c>
      <c r="I46">
        <v>9.82</v>
      </c>
      <c r="J46">
        <v>10.91</v>
      </c>
      <c r="K46">
        <v>16.47</v>
      </c>
    </row>
    <row r="47" spans="1:11" s="51" customFormat="1" x14ac:dyDescent="0.25">
      <c r="A47" s="51" t="s">
        <v>61</v>
      </c>
      <c r="B47">
        <v>6832.97</v>
      </c>
      <c r="C47">
        <v>6940.01</v>
      </c>
      <c r="D47">
        <v>6664.83</v>
      </c>
      <c r="E47">
        <v>6634.51</v>
      </c>
      <c r="F47">
        <v>6774.26</v>
      </c>
      <c r="G47">
        <v>6903.24</v>
      </c>
      <c r="H47">
        <v>6811.48</v>
      </c>
      <c r="I47">
        <v>6739.5</v>
      </c>
      <c r="J47">
        <v>21488.73</v>
      </c>
      <c r="K47">
        <v>7128.01</v>
      </c>
    </row>
    <row r="48" spans="1:11" s="51" customFormat="1" x14ac:dyDescent="0.25">
      <c r="A48" s="51" t="s">
        <v>62</v>
      </c>
      <c r="B48">
        <v>1607.95</v>
      </c>
      <c r="C48">
        <v>1759.89</v>
      </c>
      <c r="D48">
        <v>1700.31</v>
      </c>
      <c r="E48">
        <v>1227.99</v>
      </c>
      <c r="F48">
        <v>1583.55</v>
      </c>
      <c r="G48">
        <v>1726.25</v>
      </c>
      <c r="H48">
        <v>1757.05</v>
      </c>
      <c r="I48">
        <v>1726.32</v>
      </c>
      <c r="J48">
        <v>1680.85</v>
      </c>
      <c r="K48">
        <v>1784.6</v>
      </c>
    </row>
    <row r="49" spans="1:11" s="51" customFormat="1" x14ac:dyDescent="0.25">
      <c r="A49" s="51" t="s">
        <v>63</v>
      </c>
      <c r="B49">
        <v>5175.4799999999996</v>
      </c>
      <c r="C49">
        <v>5104.93</v>
      </c>
      <c r="D49">
        <v>4898.07</v>
      </c>
      <c r="E49">
        <v>5335.23</v>
      </c>
      <c r="F49">
        <v>5120.55</v>
      </c>
      <c r="G49">
        <v>5091.59</v>
      </c>
      <c r="H49">
        <v>4992.87</v>
      </c>
      <c r="I49">
        <v>4934.8</v>
      </c>
      <c r="J49">
        <v>19727.37</v>
      </c>
      <c r="K49">
        <v>5244.2</v>
      </c>
    </row>
    <row r="50" spans="1:11" x14ac:dyDescent="0.25">
      <c r="A50" s="51" t="s">
        <v>67</v>
      </c>
      <c r="B50">
        <v>6624</v>
      </c>
      <c r="C50">
        <v>6670.07</v>
      </c>
      <c r="D50">
        <v>6454.24</v>
      </c>
      <c r="E50">
        <v>6210.23</v>
      </c>
      <c r="F50">
        <v>6302.07</v>
      </c>
      <c r="G50">
        <v>6544.84</v>
      </c>
      <c r="H50">
        <v>6552.08</v>
      </c>
      <c r="I50">
        <v>6361.9</v>
      </c>
      <c r="J50">
        <v>6519.39</v>
      </c>
      <c r="K50">
        <v>6816.47</v>
      </c>
    </row>
    <row r="51" spans="1:11" x14ac:dyDescent="0.25">
      <c r="A51" s="51"/>
    </row>
    <row r="52" spans="1:11" x14ac:dyDescent="0.25">
      <c r="A52" s="51"/>
    </row>
    <row r="53" spans="1:11" x14ac:dyDescent="0.25">
      <c r="A53" s="51"/>
    </row>
    <row r="54" spans="1:11" x14ac:dyDescent="0.25">
      <c r="A54" s="51"/>
    </row>
    <row r="55" spans="1:11" x14ac:dyDescent="0.25">
      <c r="A55" s="46" t="s">
        <v>68</v>
      </c>
    </row>
    <row r="56" spans="1:11" s="50" customFormat="1" x14ac:dyDescent="0.25">
      <c r="A56" s="48" t="s">
        <v>40</v>
      </c>
      <c r="B56" s="49">
        <v>42460</v>
      </c>
      <c r="C56" s="49">
        <v>42825</v>
      </c>
      <c r="D56" s="49">
        <v>43190</v>
      </c>
      <c r="E56" s="49">
        <v>43555</v>
      </c>
      <c r="F56" s="49">
        <v>43921</v>
      </c>
      <c r="G56" s="49">
        <v>44286</v>
      </c>
      <c r="H56" s="49">
        <v>44651</v>
      </c>
      <c r="I56" s="49">
        <v>45016</v>
      </c>
      <c r="J56" s="49">
        <v>45382</v>
      </c>
      <c r="K56" s="49">
        <v>45747</v>
      </c>
    </row>
    <row r="57" spans="1:11" x14ac:dyDescent="0.25">
      <c r="A57" s="51" t="s">
        <v>69</v>
      </c>
      <c r="B57">
        <v>804.72</v>
      </c>
      <c r="C57">
        <v>1214.74</v>
      </c>
      <c r="D57">
        <v>1220.43</v>
      </c>
      <c r="E57">
        <v>1225.8599999999999</v>
      </c>
      <c r="F57">
        <v>1229.22</v>
      </c>
      <c r="G57">
        <v>1230.8800000000001</v>
      </c>
      <c r="H57">
        <v>1232.33</v>
      </c>
      <c r="I57">
        <v>1242.8</v>
      </c>
      <c r="J57">
        <v>1248.47</v>
      </c>
      <c r="K57">
        <v>1251.4100000000001</v>
      </c>
    </row>
    <row r="58" spans="1:11" x14ac:dyDescent="0.25">
      <c r="A58" s="51" t="s">
        <v>70</v>
      </c>
      <c r="B58">
        <v>41874.800000000003</v>
      </c>
      <c r="C58">
        <v>45198.19</v>
      </c>
      <c r="D58">
        <v>51289.68</v>
      </c>
      <c r="E58">
        <v>57915.01</v>
      </c>
      <c r="F58">
        <v>64044.04</v>
      </c>
      <c r="G58">
        <v>59116.46</v>
      </c>
      <c r="H58">
        <v>61223.24</v>
      </c>
      <c r="I58">
        <v>67912.460000000006</v>
      </c>
      <c r="J58">
        <v>73258.53</v>
      </c>
      <c r="K58">
        <v>68778.64</v>
      </c>
    </row>
    <row r="59" spans="1:11" x14ac:dyDescent="0.25">
      <c r="A59" s="51" t="s">
        <v>71</v>
      </c>
      <c r="B59">
        <v>83.78</v>
      </c>
      <c r="C59">
        <v>45.72</v>
      </c>
      <c r="D59">
        <v>35.92</v>
      </c>
      <c r="E59">
        <v>13.44</v>
      </c>
      <c r="F59">
        <v>277.45</v>
      </c>
      <c r="G59">
        <v>270.83</v>
      </c>
      <c r="H59">
        <v>249.44</v>
      </c>
      <c r="I59">
        <v>306.04000000000002</v>
      </c>
      <c r="J59">
        <v>303.43</v>
      </c>
      <c r="K59">
        <v>284.54000000000002</v>
      </c>
    </row>
    <row r="60" spans="1:11" x14ac:dyDescent="0.25">
      <c r="A60" s="51" t="s">
        <v>72</v>
      </c>
      <c r="B60">
        <v>8888.0400000000009</v>
      </c>
      <c r="C60">
        <v>9439.67</v>
      </c>
      <c r="D60">
        <v>11694.85</v>
      </c>
      <c r="E60">
        <v>12584.73</v>
      </c>
      <c r="F60">
        <v>11760.04</v>
      </c>
      <c r="G60">
        <v>13142.59</v>
      </c>
      <c r="H60">
        <v>14491.01</v>
      </c>
      <c r="I60">
        <v>16369.66</v>
      </c>
      <c r="J60">
        <v>16943.54</v>
      </c>
      <c r="K60">
        <v>17688.11</v>
      </c>
    </row>
    <row r="61" spans="1:11" s="46" customFormat="1" x14ac:dyDescent="0.25">
      <c r="A61" s="46" t="s">
        <v>73</v>
      </c>
      <c r="B61">
        <v>51651.34</v>
      </c>
      <c r="C61">
        <v>55898.32</v>
      </c>
      <c r="D61">
        <v>64240.88</v>
      </c>
      <c r="E61">
        <v>71739.039999999994</v>
      </c>
      <c r="F61">
        <v>77310.75</v>
      </c>
      <c r="G61">
        <v>73760.759999999995</v>
      </c>
      <c r="H61">
        <v>77196.02</v>
      </c>
      <c r="I61">
        <v>85830.96</v>
      </c>
      <c r="J61">
        <v>91753.97</v>
      </c>
      <c r="K61">
        <v>88002.7</v>
      </c>
    </row>
    <row r="62" spans="1:11" x14ac:dyDescent="0.25">
      <c r="A62" s="51" t="s">
        <v>74</v>
      </c>
      <c r="B62">
        <v>15106.63</v>
      </c>
      <c r="C62">
        <v>15893.48</v>
      </c>
      <c r="D62">
        <v>16523.96</v>
      </c>
      <c r="E62">
        <v>19374.189999999999</v>
      </c>
      <c r="F62">
        <v>21713.34</v>
      </c>
      <c r="G62">
        <v>23298.48</v>
      </c>
      <c r="H62">
        <v>24231.59</v>
      </c>
      <c r="I62">
        <v>25851.27</v>
      </c>
      <c r="J62">
        <v>27820.22</v>
      </c>
      <c r="K62">
        <v>21954.85</v>
      </c>
    </row>
    <row r="63" spans="1:11" x14ac:dyDescent="0.25">
      <c r="A63" s="51" t="s">
        <v>75</v>
      </c>
      <c r="B63">
        <v>2559.7199999999998</v>
      </c>
      <c r="C63">
        <v>3729.89</v>
      </c>
      <c r="D63">
        <v>5508.33</v>
      </c>
      <c r="E63">
        <v>4136.42</v>
      </c>
      <c r="F63">
        <v>3256.46</v>
      </c>
      <c r="G63">
        <v>4011.29</v>
      </c>
      <c r="H63">
        <v>3225.54</v>
      </c>
      <c r="I63">
        <v>3003.3</v>
      </c>
      <c r="J63">
        <v>2860.78</v>
      </c>
      <c r="K63">
        <v>1090.9100000000001</v>
      </c>
    </row>
    <row r="64" spans="1:11" x14ac:dyDescent="0.25">
      <c r="A64" s="51" t="s">
        <v>76</v>
      </c>
      <c r="B64">
        <v>11747.59</v>
      </c>
      <c r="C64">
        <v>17581.38</v>
      </c>
      <c r="D64">
        <v>22052.86</v>
      </c>
      <c r="E64">
        <v>25043.49</v>
      </c>
      <c r="F64">
        <v>28663.35</v>
      </c>
      <c r="G64">
        <v>24870.87</v>
      </c>
      <c r="H64">
        <v>24841.01</v>
      </c>
      <c r="I64">
        <v>29415.02</v>
      </c>
      <c r="J64">
        <v>31114.02</v>
      </c>
      <c r="K64">
        <v>34719.82</v>
      </c>
    </row>
    <row r="65" spans="1:11" x14ac:dyDescent="0.25">
      <c r="A65" s="51" t="s">
        <v>77</v>
      </c>
      <c r="B65">
        <v>22237.4</v>
      </c>
      <c r="C65">
        <v>18693.57</v>
      </c>
      <c r="D65">
        <v>20155.73</v>
      </c>
      <c r="E65">
        <v>23184.94</v>
      </c>
      <c r="F65">
        <v>23677.599999999999</v>
      </c>
      <c r="G65">
        <v>21580.12</v>
      </c>
      <c r="H65">
        <v>24897.88</v>
      </c>
      <c r="I65">
        <v>27561.37</v>
      </c>
      <c r="J65">
        <v>29958.95</v>
      </c>
      <c r="K65">
        <v>30237.119999999999</v>
      </c>
    </row>
    <row r="66" spans="1:11" s="46" customFormat="1" x14ac:dyDescent="0.25">
      <c r="A66" s="46" t="s">
        <v>73</v>
      </c>
      <c r="B66">
        <v>51651.34</v>
      </c>
      <c r="C66">
        <v>55898.32</v>
      </c>
      <c r="D66">
        <v>64240.88</v>
      </c>
      <c r="E66">
        <v>71739.039999999994</v>
      </c>
      <c r="F66">
        <v>77310.75</v>
      </c>
      <c r="G66">
        <v>73760.759999999995</v>
      </c>
      <c r="H66">
        <v>77196.02</v>
      </c>
      <c r="I66">
        <v>85830.96</v>
      </c>
      <c r="J66">
        <v>91753.97</v>
      </c>
      <c r="K66">
        <v>88002.7</v>
      </c>
    </row>
    <row r="67" spans="1:11" s="51" customFormat="1" x14ac:dyDescent="0.25">
      <c r="A67" s="51" t="s">
        <v>78</v>
      </c>
      <c r="B67">
        <v>1917.18</v>
      </c>
      <c r="C67">
        <v>2474.29</v>
      </c>
      <c r="D67">
        <v>2682.29</v>
      </c>
      <c r="E67">
        <v>4035.28</v>
      </c>
      <c r="F67">
        <v>2562.48</v>
      </c>
      <c r="G67">
        <v>2501.6999999999998</v>
      </c>
      <c r="H67">
        <v>2461.9</v>
      </c>
      <c r="I67">
        <v>2956.17</v>
      </c>
      <c r="J67">
        <v>4025.82</v>
      </c>
      <c r="K67">
        <v>4719.67</v>
      </c>
    </row>
    <row r="68" spans="1:11" x14ac:dyDescent="0.25">
      <c r="A68" s="51" t="s">
        <v>79</v>
      </c>
      <c r="B68">
        <v>9062.1</v>
      </c>
      <c r="C68">
        <v>8116.1</v>
      </c>
      <c r="D68">
        <v>7495.09</v>
      </c>
      <c r="E68">
        <v>7859.56</v>
      </c>
      <c r="F68">
        <v>8879.33</v>
      </c>
      <c r="G68">
        <v>10397.16</v>
      </c>
      <c r="H68">
        <v>10864.15</v>
      </c>
      <c r="I68">
        <v>11771.16</v>
      </c>
      <c r="J68">
        <v>14152.88</v>
      </c>
      <c r="K68">
        <v>15637.56</v>
      </c>
    </row>
    <row r="69" spans="1:11" x14ac:dyDescent="0.25">
      <c r="A69" s="47" t="s">
        <v>80</v>
      </c>
      <c r="B69">
        <v>6063.3</v>
      </c>
      <c r="C69">
        <v>2967.4</v>
      </c>
      <c r="D69">
        <v>2899.6</v>
      </c>
      <c r="E69">
        <v>4152.03</v>
      </c>
      <c r="F69">
        <v>7277.34</v>
      </c>
      <c r="G69">
        <v>4659.0200000000004</v>
      </c>
      <c r="H69">
        <v>4654.42</v>
      </c>
      <c r="I69">
        <v>4880.1899999999996</v>
      </c>
      <c r="J69">
        <v>7217.68</v>
      </c>
      <c r="K69">
        <v>4012.36</v>
      </c>
    </row>
    <row r="70" spans="1:11" x14ac:dyDescent="0.25">
      <c r="A70" s="47" t="s">
        <v>81</v>
      </c>
      <c r="B70">
        <v>8047206991</v>
      </c>
      <c r="C70">
        <v>12147383071</v>
      </c>
      <c r="D70">
        <v>12204294911</v>
      </c>
      <c r="E70">
        <v>12258631601</v>
      </c>
      <c r="F70">
        <v>12292231241</v>
      </c>
      <c r="G70">
        <v>12308844231</v>
      </c>
      <c r="H70">
        <v>12323255931</v>
      </c>
      <c r="I70">
        <v>12428017741</v>
      </c>
      <c r="J70">
        <v>12484700000</v>
      </c>
      <c r="K70">
        <v>12514119781</v>
      </c>
    </row>
    <row r="71" spans="1:11" x14ac:dyDescent="0.25">
      <c r="A71" s="47" t="s">
        <v>82</v>
      </c>
      <c r="C71">
        <v>4026657100</v>
      </c>
    </row>
    <row r="72" spans="1:11" x14ac:dyDescent="0.25">
      <c r="A72" s="47" t="s">
        <v>83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4" spans="1:11" x14ac:dyDescent="0.25">
      <c r="A74" s="47" t="s">
        <v>287</v>
      </c>
      <c r="B74" s="47">
        <f>B61</f>
        <v>51651.34</v>
      </c>
      <c r="C74" s="47">
        <f t="shared" ref="C74:K74" si="0">C61</f>
        <v>55898.32</v>
      </c>
      <c r="D74" s="47">
        <f t="shared" si="0"/>
        <v>64240.88</v>
      </c>
      <c r="E74" s="47">
        <f t="shared" si="0"/>
        <v>71739.039999999994</v>
      </c>
      <c r="F74" s="47">
        <f t="shared" si="0"/>
        <v>77310.75</v>
      </c>
      <c r="G74" s="47">
        <f t="shared" si="0"/>
        <v>73760.759999999995</v>
      </c>
      <c r="H74" s="47">
        <f t="shared" si="0"/>
        <v>77196.02</v>
      </c>
      <c r="I74" s="47">
        <f t="shared" si="0"/>
        <v>85830.96</v>
      </c>
      <c r="J74" s="47">
        <f t="shared" si="0"/>
        <v>91753.97</v>
      </c>
      <c r="K74" s="47">
        <f t="shared" si="0"/>
        <v>88002.7</v>
      </c>
    </row>
    <row r="75" spans="1:11" x14ac:dyDescent="0.25">
      <c r="A75" s="47" t="s">
        <v>288</v>
      </c>
      <c r="B75" s="47">
        <f>B65-SUM(B67:B69)</f>
        <v>5194.82</v>
      </c>
      <c r="C75" s="47">
        <f t="shared" ref="C75:K75" si="1">C65-SUM(C67:C69)</f>
        <v>5135.7800000000007</v>
      </c>
      <c r="D75" s="47">
        <f t="shared" si="1"/>
        <v>7078.7499999999982</v>
      </c>
      <c r="E75" s="47">
        <f t="shared" si="1"/>
        <v>7138.07</v>
      </c>
      <c r="F75" s="47">
        <f t="shared" si="1"/>
        <v>4958.4499999999971</v>
      </c>
      <c r="G75" s="47">
        <f t="shared" si="1"/>
        <v>4022.239999999998</v>
      </c>
      <c r="H75" s="47">
        <f t="shared" si="1"/>
        <v>6917.41</v>
      </c>
      <c r="I75" s="47">
        <f t="shared" si="1"/>
        <v>7953.8499999999985</v>
      </c>
      <c r="J75" s="47">
        <f t="shared" si="1"/>
        <v>4562.57</v>
      </c>
      <c r="K75" s="47">
        <f t="shared" si="1"/>
        <v>5867.5299999999988</v>
      </c>
    </row>
    <row r="76" spans="1:11" x14ac:dyDescent="0.25">
      <c r="A76" s="51"/>
    </row>
    <row r="77" spans="1:11" x14ac:dyDescent="0.25">
      <c r="A77" s="51"/>
    </row>
    <row r="78" spans="1:11" x14ac:dyDescent="0.25">
      <c r="A78" s="51"/>
    </row>
    <row r="79" spans="1:11" x14ac:dyDescent="0.25">
      <c r="A79" s="51"/>
    </row>
    <row r="80" spans="1:11" x14ac:dyDescent="0.25">
      <c r="A80" s="46" t="s">
        <v>404</v>
      </c>
    </row>
    <row r="81" spans="1:11" s="50" customFormat="1" x14ac:dyDescent="0.25">
      <c r="A81" s="48" t="s">
        <v>40</v>
      </c>
      <c r="B81" s="49">
        <v>42460</v>
      </c>
      <c r="C81" s="49">
        <v>42825</v>
      </c>
      <c r="D81" s="49">
        <v>43190</v>
      </c>
      <c r="E81" s="49">
        <v>43555</v>
      </c>
      <c r="F81" s="49">
        <v>43921</v>
      </c>
      <c r="G81" s="49">
        <v>44286</v>
      </c>
      <c r="H81" s="49">
        <v>44651</v>
      </c>
      <c r="I81" s="49">
        <v>45016</v>
      </c>
      <c r="J81" s="49">
        <v>45382</v>
      </c>
      <c r="K81" s="49">
        <v>45747</v>
      </c>
    </row>
    <row r="82" spans="1:11" s="46" customFormat="1" x14ac:dyDescent="0.25">
      <c r="A82" s="51"/>
      <c r="B82"/>
      <c r="C82"/>
      <c r="D82"/>
      <c r="E82"/>
      <c r="F82"/>
      <c r="G82"/>
      <c r="H82"/>
      <c r="I82"/>
      <c r="J82"/>
      <c r="K82"/>
    </row>
    <row r="83" spans="1:11" s="51" customFormat="1" x14ac:dyDescent="0.25">
      <c r="A83" t="s">
        <v>135</v>
      </c>
      <c r="B83" s="73">
        <v>9799</v>
      </c>
      <c r="C83" s="73">
        <v>10627</v>
      </c>
      <c r="D83" s="73">
        <v>13169</v>
      </c>
      <c r="E83" s="73">
        <v>12583</v>
      </c>
      <c r="F83" s="73">
        <v>14690</v>
      </c>
      <c r="G83" s="73">
        <v>12527</v>
      </c>
      <c r="H83" s="73">
        <v>15776</v>
      </c>
      <c r="I83" s="73">
        <v>18878</v>
      </c>
      <c r="J83" s="73">
        <v>17179</v>
      </c>
      <c r="K83" s="73">
        <v>17627</v>
      </c>
    </row>
    <row r="84" spans="1:11" s="46" customFormat="1" x14ac:dyDescent="0.25">
      <c r="A84" t="s">
        <v>114</v>
      </c>
      <c r="B84" s="73">
        <v>15154</v>
      </c>
      <c r="C84" s="73">
        <v>16075</v>
      </c>
      <c r="D84" s="73">
        <v>17433</v>
      </c>
      <c r="E84" s="73">
        <v>18862</v>
      </c>
      <c r="F84" s="73">
        <v>19416</v>
      </c>
      <c r="G84" s="73">
        <v>17326</v>
      </c>
      <c r="H84" s="73">
        <v>20857</v>
      </c>
      <c r="I84" s="73">
        <v>26052</v>
      </c>
      <c r="J84" s="73">
        <v>26635</v>
      </c>
      <c r="K84" s="73">
        <v>26719</v>
      </c>
    </row>
    <row r="85" spans="1:11" x14ac:dyDescent="0.25">
      <c r="A85" t="s">
        <v>78</v>
      </c>
      <c r="B85">
        <v>-207</v>
      </c>
      <c r="C85">
        <v>-870</v>
      </c>
      <c r="D85">
        <v>-964</v>
      </c>
      <c r="E85">
        <v>-755</v>
      </c>
      <c r="F85" s="73">
        <v>1411</v>
      </c>
      <c r="G85">
        <v>-66</v>
      </c>
      <c r="H85">
        <v>-732</v>
      </c>
      <c r="I85">
        <v>-884</v>
      </c>
      <c r="J85">
        <v>-934</v>
      </c>
      <c r="K85" s="73">
        <v>-1023</v>
      </c>
    </row>
    <row r="86" spans="1:11" x14ac:dyDescent="0.25">
      <c r="A86" t="s">
        <v>140</v>
      </c>
      <c r="B86" s="73">
        <f t="shared" ref="B86:K86" si="2">B83-SUM(B84:B85,B87:B90)</f>
        <v>278</v>
      </c>
      <c r="C86" s="73">
        <f t="shared" si="2"/>
        <v>-44</v>
      </c>
      <c r="D86" s="73">
        <f t="shared" si="2"/>
        <v>-1736</v>
      </c>
      <c r="E86" s="73">
        <f t="shared" si="2"/>
        <v>475</v>
      </c>
      <c r="F86" s="73">
        <f t="shared" si="2"/>
        <v>-295</v>
      </c>
      <c r="G86" s="73">
        <f t="shared" si="2"/>
        <v>415</v>
      </c>
      <c r="H86" s="73">
        <f t="shared" si="2"/>
        <v>100</v>
      </c>
      <c r="I86" s="73">
        <f t="shared" si="2"/>
        <v>924</v>
      </c>
      <c r="J86" s="73">
        <f t="shared" si="2"/>
        <v>3339</v>
      </c>
      <c r="K86" s="73">
        <f t="shared" si="2"/>
        <v>2742</v>
      </c>
    </row>
    <row r="87" spans="1:11" x14ac:dyDescent="0.25">
      <c r="A87" t="s">
        <v>79</v>
      </c>
      <c r="B87">
        <v>-693</v>
      </c>
      <c r="C87">
        <v>593</v>
      </c>
      <c r="D87">
        <v>602</v>
      </c>
      <c r="E87">
        <v>-359</v>
      </c>
      <c r="F87">
        <v>-508</v>
      </c>
      <c r="G87" s="73">
        <v>-1460</v>
      </c>
      <c r="H87">
        <v>-466</v>
      </c>
      <c r="I87" s="73">
        <v>-1098</v>
      </c>
      <c r="J87" s="73">
        <v>-2545</v>
      </c>
      <c r="K87" s="73">
        <v>-2975</v>
      </c>
    </row>
    <row r="88" spans="1:11" x14ac:dyDescent="0.25">
      <c r="A88" t="s">
        <v>115</v>
      </c>
      <c r="B88">
        <v>622</v>
      </c>
      <c r="C88">
        <v>321</v>
      </c>
      <c r="D88" s="73">
        <v>2098</v>
      </c>
      <c r="E88">
        <v>639</v>
      </c>
      <c r="F88">
        <v>-607</v>
      </c>
      <c r="G88" s="73">
        <v>1112</v>
      </c>
      <c r="H88" s="73">
        <v>1099</v>
      </c>
      <c r="I88" s="73">
        <v>1058</v>
      </c>
      <c r="J88">
        <v>141</v>
      </c>
      <c r="K88" s="73">
        <v>1256</v>
      </c>
    </row>
    <row r="89" spans="1:11" s="46" customFormat="1" x14ac:dyDescent="0.25">
      <c r="A89" t="s">
        <v>116</v>
      </c>
      <c r="B89">
        <v>-277</v>
      </c>
      <c r="C89">
        <v>44</v>
      </c>
      <c r="D89" s="73">
        <v>1736</v>
      </c>
      <c r="E89">
        <v>-476</v>
      </c>
      <c r="F89">
        <v>296</v>
      </c>
      <c r="G89">
        <v>-413</v>
      </c>
      <c r="H89">
        <v>-100</v>
      </c>
      <c r="I89">
        <v>-924</v>
      </c>
      <c r="J89" s="73">
        <v>-3337</v>
      </c>
      <c r="K89" s="73">
        <v>-2742</v>
      </c>
    </row>
    <row r="90" spans="1:11" x14ac:dyDescent="0.25">
      <c r="A90" t="s">
        <v>117</v>
      </c>
      <c r="B90" s="73">
        <v>-5078</v>
      </c>
      <c r="C90" s="73">
        <v>-5492</v>
      </c>
      <c r="D90" s="73">
        <v>-6000</v>
      </c>
      <c r="E90" s="73">
        <v>-5803</v>
      </c>
      <c r="F90" s="73">
        <v>-5023</v>
      </c>
      <c r="G90" s="73">
        <v>-4387</v>
      </c>
      <c r="H90" s="73">
        <v>-4982</v>
      </c>
      <c r="I90" s="73">
        <v>-6250</v>
      </c>
      <c r="J90" s="73">
        <v>-6120</v>
      </c>
      <c r="K90" s="73">
        <v>-6350</v>
      </c>
    </row>
    <row r="91" spans="1:11" s="46" customFormat="1" x14ac:dyDescent="0.25">
      <c r="A91" t="s">
        <v>136</v>
      </c>
      <c r="B91" s="73">
        <v>-3921</v>
      </c>
      <c r="C91" s="73">
        <v>-3251</v>
      </c>
      <c r="D91" s="73">
        <v>-7114</v>
      </c>
      <c r="E91" s="73">
        <v>-5546</v>
      </c>
      <c r="F91" s="73">
        <v>-6174</v>
      </c>
      <c r="G91" s="73">
        <v>5740</v>
      </c>
      <c r="H91" s="73">
        <v>-2238</v>
      </c>
      <c r="I91" s="73">
        <v>-5732</v>
      </c>
      <c r="J91" s="73">
        <v>1563</v>
      </c>
      <c r="K91">
        <v>-564</v>
      </c>
    </row>
    <row r="92" spans="1:11" x14ac:dyDescent="0.25">
      <c r="A92" t="s">
        <v>118</v>
      </c>
      <c r="B92" s="73">
        <v>-2348</v>
      </c>
      <c r="C92" s="73">
        <v>-3122</v>
      </c>
      <c r="D92" s="73">
        <v>-2878</v>
      </c>
      <c r="E92" s="73">
        <v>-3169</v>
      </c>
      <c r="F92" s="73">
        <v>-2441</v>
      </c>
      <c r="G92" s="73">
        <v>-1837</v>
      </c>
      <c r="H92" s="73">
        <v>-2142</v>
      </c>
      <c r="I92" s="73">
        <v>-2743</v>
      </c>
      <c r="J92" s="73">
        <v>-3563</v>
      </c>
      <c r="K92" s="73">
        <v>-2279</v>
      </c>
    </row>
    <row r="93" spans="1:11" x14ac:dyDescent="0.25">
      <c r="A93" t="s">
        <v>119</v>
      </c>
      <c r="B93">
        <v>8</v>
      </c>
      <c r="C93">
        <v>50</v>
      </c>
      <c r="D93">
        <v>80</v>
      </c>
      <c r="E93">
        <v>28</v>
      </c>
      <c r="F93">
        <v>27</v>
      </c>
      <c r="G93">
        <v>3</v>
      </c>
      <c r="H93">
        <v>133</v>
      </c>
      <c r="I93">
        <v>49</v>
      </c>
      <c r="J93">
        <v>107</v>
      </c>
      <c r="K93">
        <v>175</v>
      </c>
    </row>
    <row r="94" spans="1:11" x14ac:dyDescent="0.25">
      <c r="A94" t="s">
        <v>120</v>
      </c>
      <c r="B94" s="73">
        <v>-154081</v>
      </c>
      <c r="C94" s="73">
        <v>-85683</v>
      </c>
      <c r="D94" s="73">
        <v>-98330</v>
      </c>
      <c r="E94" s="73">
        <v>-94187</v>
      </c>
      <c r="F94" s="73">
        <v>-79835</v>
      </c>
      <c r="G94" s="73">
        <v>-57553</v>
      </c>
      <c r="H94" s="73">
        <v>-69776</v>
      </c>
      <c r="I94" s="73">
        <v>-80932</v>
      </c>
      <c r="J94" s="73">
        <v>-75107</v>
      </c>
      <c r="K94" s="73">
        <v>-66373</v>
      </c>
    </row>
    <row r="95" spans="1:11" x14ac:dyDescent="0.25">
      <c r="A95" t="s">
        <v>121</v>
      </c>
      <c r="B95" s="73">
        <v>150651</v>
      </c>
      <c r="C95" s="73">
        <v>81034</v>
      </c>
      <c r="D95" s="73">
        <v>95017</v>
      </c>
      <c r="E95" s="73">
        <v>92454</v>
      </c>
      <c r="F95" s="73">
        <v>75835</v>
      </c>
      <c r="G95" s="73">
        <v>62797</v>
      </c>
      <c r="H95" s="73">
        <v>70992</v>
      </c>
      <c r="I95" s="73">
        <v>77230</v>
      </c>
      <c r="J95" s="73">
        <v>77830</v>
      </c>
      <c r="K95" s="73">
        <v>67311</v>
      </c>
    </row>
    <row r="96" spans="1:11" x14ac:dyDescent="0.25">
      <c r="A96" t="s">
        <v>122</v>
      </c>
      <c r="B96">
        <v>741</v>
      </c>
      <c r="C96">
        <v>756</v>
      </c>
      <c r="D96">
        <v>736</v>
      </c>
      <c r="E96" s="73">
        <v>1184</v>
      </c>
      <c r="F96" s="73">
        <v>1513</v>
      </c>
      <c r="G96" s="73">
        <v>1275</v>
      </c>
      <c r="H96" s="73">
        <v>1035</v>
      </c>
      <c r="I96" s="73">
        <v>1324</v>
      </c>
      <c r="J96" s="73">
        <v>1138</v>
      </c>
      <c r="K96" s="73">
        <v>1072</v>
      </c>
    </row>
    <row r="97" spans="1:11" x14ac:dyDescent="0.25">
      <c r="A97" t="s">
        <v>123</v>
      </c>
      <c r="B97">
        <v>64</v>
      </c>
      <c r="C97">
        <v>4</v>
      </c>
      <c r="D97">
        <v>13</v>
      </c>
      <c r="E97">
        <v>13</v>
      </c>
      <c r="F97">
        <v>17</v>
      </c>
      <c r="G97">
        <v>7</v>
      </c>
      <c r="H97">
        <v>16</v>
      </c>
      <c r="I97">
        <v>19</v>
      </c>
      <c r="J97">
        <v>36</v>
      </c>
      <c r="K97">
        <v>38</v>
      </c>
    </row>
    <row r="98" spans="1:11" x14ac:dyDescent="0.25">
      <c r="A98" t="s">
        <v>124</v>
      </c>
      <c r="B98">
        <v>-8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t="s">
        <v>125</v>
      </c>
      <c r="B99">
        <v>0</v>
      </c>
      <c r="C99">
        <v>0</v>
      </c>
      <c r="D99">
        <v>0</v>
      </c>
      <c r="E99">
        <v>0</v>
      </c>
      <c r="F99">
        <v>0</v>
      </c>
      <c r="G99">
        <v>-2</v>
      </c>
      <c r="H99">
        <v>-2</v>
      </c>
      <c r="I99">
        <v>-2</v>
      </c>
      <c r="J99">
        <v>-65</v>
      </c>
      <c r="K99">
        <v>-30</v>
      </c>
    </row>
    <row r="100" spans="1:11" x14ac:dyDescent="0.25">
      <c r="A100" t="s">
        <v>126</v>
      </c>
      <c r="B100">
        <v>0</v>
      </c>
      <c r="C100">
        <v>129</v>
      </c>
      <c r="D100">
        <v>18</v>
      </c>
      <c r="E100">
        <v>18</v>
      </c>
      <c r="F100">
        <v>0</v>
      </c>
      <c r="G100">
        <v>0</v>
      </c>
      <c r="H100">
        <v>0</v>
      </c>
      <c r="I100">
        <v>56</v>
      </c>
      <c r="J100">
        <v>0</v>
      </c>
      <c r="K100">
        <v>0</v>
      </c>
    </row>
    <row r="101" spans="1:11" x14ac:dyDescent="0.25">
      <c r="A101" t="s">
        <v>127</v>
      </c>
      <c r="B101" s="73">
        <v>1052</v>
      </c>
      <c r="C101" s="73">
        <v>3579</v>
      </c>
      <c r="D101" s="73">
        <v>-1769</v>
      </c>
      <c r="E101" s="73">
        <v>-1887</v>
      </c>
      <c r="F101" s="73">
        <v>-1290</v>
      </c>
      <c r="G101" s="73">
        <v>1051</v>
      </c>
      <c r="H101" s="73">
        <v>-2494</v>
      </c>
      <c r="I101">
        <v>-733</v>
      </c>
      <c r="J101" s="73">
        <v>1187</v>
      </c>
      <c r="K101">
        <v>-478</v>
      </c>
    </row>
    <row r="102" spans="1:11" x14ac:dyDescent="0.25">
      <c r="A102" t="s">
        <v>137</v>
      </c>
      <c r="B102" s="73">
        <v>-5613</v>
      </c>
      <c r="C102" s="73">
        <v>-7301</v>
      </c>
      <c r="D102" s="73">
        <v>-6221</v>
      </c>
      <c r="E102" s="73">
        <v>-6869</v>
      </c>
      <c r="F102" s="73">
        <v>-8181</v>
      </c>
      <c r="G102" s="73">
        <v>-18634</v>
      </c>
      <c r="H102" s="73">
        <v>-13580</v>
      </c>
      <c r="I102" s="73">
        <v>-13006</v>
      </c>
      <c r="J102" s="73">
        <v>-18551</v>
      </c>
      <c r="K102" s="73">
        <v>-17037</v>
      </c>
    </row>
    <row r="103" spans="1:11" x14ac:dyDescent="0.25">
      <c r="A103" t="s">
        <v>128</v>
      </c>
      <c r="B103">
        <v>532</v>
      </c>
      <c r="C103" s="73">
        <v>1067</v>
      </c>
      <c r="D103">
        <v>913</v>
      </c>
      <c r="E103">
        <v>969</v>
      </c>
      <c r="F103">
        <v>625</v>
      </c>
      <c r="G103">
        <v>291</v>
      </c>
      <c r="H103">
        <v>292</v>
      </c>
      <c r="I103" s="73">
        <v>2477</v>
      </c>
      <c r="J103" s="73">
        <v>1443</v>
      </c>
      <c r="K103">
        <v>797</v>
      </c>
    </row>
    <row r="104" spans="1:11" x14ac:dyDescent="0.25">
      <c r="A104" t="s">
        <v>129</v>
      </c>
      <c r="B104">
        <v>0</v>
      </c>
      <c r="C104">
        <v>0</v>
      </c>
      <c r="D104">
        <v>11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8</v>
      </c>
      <c r="K104">
        <v>90</v>
      </c>
    </row>
    <row r="105" spans="1:11" x14ac:dyDescent="0.25">
      <c r="A105" t="s">
        <v>130</v>
      </c>
      <c r="B105">
        <v>-13</v>
      </c>
      <c r="C105">
        <v>-13</v>
      </c>
      <c r="D105">
        <v>-8</v>
      </c>
      <c r="E105">
        <v>-18</v>
      </c>
      <c r="F105">
        <v>-3</v>
      </c>
      <c r="G105">
        <v>-2</v>
      </c>
      <c r="H105">
        <v>-1</v>
      </c>
      <c r="I105">
        <v>-1</v>
      </c>
      <c r="J105">
        <v>-2</v>
      </c>
      <c r="K105">
        <v>-54</v>
      </c>
    </row>
    <row r="106" spans="1:11" x14ac:dyDescent="0.25">
      <c r="A106" t="s">
        <v>131</v>
      </c>
      <c r="B106">
        <v>-28</v>
      </c>
      <c r="C106">
        <v>-25</v>
      </c>
      <c r="D106">
        <v>-49</v>
      </c>
      <c r="E106">
        <v>-98</v>
      </c>
      <c r="F106">
        <v>-44</v>
      </c>
      <c r="G106">
        <v>-41</v>
      </c>
      <c r="H106">
        <v>-40</v>
      </c>
      <c r="I106">
        <v>-41</v>
      </c>
      <c r="J106">
        <v>-46</v>
      </c>
      <c r="K106">
        <v>-50</v>
      </c>
    </row>
    <row r="107" spans="1:11" x14ac:dyDescent="0.25">
      <c r="A107" t="s">
        <v>132</v>
      </c>
      <c r="B107" s="73">
        <v>-5133</v>
      </c>
      <c r="C107" s="73">
        <v>-6994</v>
      </c>
      <c r="D107" s="73">
        <v>-5952</v>
      </c>
      <c r="E107" s="73">
        <v>-6519</v>
      </c>
      <c r="F107" s="73">
        <v>-7302</v>
      </c>
      <c r="G107" s="73">
        <v>-18881</v>
      </c>
      <c r="H107" s="73">
        <v>-13788</v>
      </c>
      <c r="I107" s="73">
        <v>-15418</v>
      </c>
      <c r="J107" s="73">
        <v>-19899</v>
      </c>
      <c r="K107" s="73">
        <v>-17782</v>
      </c>
    </row>
    <row r="108" spans="1:11" x14ac:dyDescent="0.25">
      <c r="A108" t="s">
        <v>133</v>
      </c>
      <c r="B108">
        <v>0</v>
      </c>
      <c r="C108">
        <v>0</v>
      </c>
      <c r="D108">
        <v>0</v>
      </c>
      <c r="E108">
        <v>0</v>
      </c>
      <c r="F108">
        <v>-49</v>
      </c>
      <c r="G108">
        <v>-55</v>
      </c>
      <c r="H108">
        <v>-59</v>
      </c>
      <c r="I108">
        <v>-59</v>
      </c>
      <c r="J108">
        <v>-67</v>
      </c>
      <c r="K108">
        <v>-66</v>
      </c>
    </row>
    <row r="109" spans="1:11" x14ac:dyDescent="0.25">
      <c r="A109" t="s">
        <v>134</v>
      </c>
      <c r="B109">
        <v>-971</v>
      </c>
      <c r="C109" s="73">
        <v>-1335</v>
      </c>
      <c r="D109" s="73">
        <v>-1136</v>
      </c>
      <c r="E109" s="73">
        <v>-1203</v>
      </c>
      <c r="F109" s="73">
        <v>-1409</v>
      </c>
      <c r="G109">
        <v>55</v>
      </c>
      <c r="H109">
        <v>15</v>
      </c>
      <c r="I109">
        <v>35</v>
      </c>
      <c r="J109">
        <v>12</v>
      </c>
      <c r="K109">
        <v>28</v>
      </c>
    </row>
    <row r="110" spans="1:11" x14ac:dyDescent="0.25">
      <c r="A110" t="s">
        <v>84</v>
      </c>
      <c r="B110">
        <v>266</v>
      </c>
      <c r="C110">
        <v>75</v>
      </c>
      <c r="D110">
        <v>-166</v>
      </c>
      <c r="E110">
        <v>169</v>
      </c>
      <c r="F110">
        <v>334</v>
      </c>
      <c r="G110">
        <v>-367</v>
      </c>
      <c r="H110">
        <v>-43</v>
      </c>
      <c r="I110">
        <v>139</v>
      </c>
      <c r="J110">
        <v>191</v>
      </c>
      <c r="K110">
        <v>26</v>
      </c>
    </row>
    <row r="112" spans="1:11" x14ac:dyDescent="0.25">
      <c r="A112" s="46" t="s">
        <v>85</v>
      </c>
      <c r="B112">
        <v>205.13</v>
      </c>
      <c r="C112">
        <v>262.75</v>
      </c>
      <c r="D112">
        <v>239.5</v>
      </c>
      <c r="E112">
        <v>278.64</v>
      </c>
      <c r="F112">
        <v>160.94999999999999</v>
      </c>
      <c r="G112">
        <v>204.82</v>
      </c>
      <c r="H112">
        <v>234.96</v>
      </c>
      <c r="I112">
        <v>359.49</v>
      </c>
      <c r="J112">
        <v>401.53</v>
      </c>
      <c r="K112">
        <v>409.75</v>
      </c>
    </row>
    <row r="114" spans="1:13" x14ac:dyDescent="0.25">
      <c r="A114" s="46" t="s">
        <v>86</v>
      </c>
      <c r="B114" s="46"/>
      <c r="C114" s="46"/>
      <c r="D114" s="46"/>
      <c r="E114" s="46"/>
      <c r="F114" s="46"/>
      <c r="G114" s="46"/>
      <c r="H114" s="46"/>
      <c r="I114" s="46"/>
      <c r="J114" s="46"/>
      <c r="K114" s="46"/>
    </row>
    <row r="115" spans="1:13" x14ac:dyDescent="0.25">
      <c r="A115" s="47" t="s">
        <v>87</v>
      </c>
      <c r="B115" s="52">
        <v>1207.08</v>
      </c>
      <c r="C115" s="52">
        <v>1214.74</v>
      </c>
      <c r="D115" s="52">
        <v>1220.43</v>
      </c>
      <c r="E115" s="52">
        <v>1225.8599999999999</v>
      </c>
      <c r="F115" s="52">
        <v>1229.22</v>
      </c>
      <c r="G115" s="52">
        <v>1230.8800000000001</v>
      </c>
      <c r="H115" s="52">
        <v>1232.33</v>
      </c>
      <c r="I115" s="52">
        <v>1242.8</v>
      </c>
      <c r="J115" s="52">
        <v>1248.47</v>
      </c>
      <c r="K115" s="52">
        <v>1251.4100000000001</v>
      </c>
    </row>
    <row r="116" spans="1:13" x14ac:dyDescent="0.25">
      <c r="B116" s="52"/>
      <c r="C116" s="52"/>
      <c r="D116" s="52"/>
      <c r="E116" s="52"/>
      <c r="F116" s="52"/>
      <c r="G116" s="52"/>
      <c r="H116" s="52"/>
      <c r="I116" s="52"/>
      <c r="J116" s="52"/>
      <c r="K116" s="52"/>
    </row>
    <row r="118" spans="1:13" x14ac:dyDescent="0.25">
      <c r="A118" s="46" t="s">
        <v>403</v>
      </c>
    </row>
    <row r="119" spans="1:13" x14ac:dyDescent="0.25">
      <c r="A119" s="48" t="s">
        <v>40</v>
      </c>
      <c r="B119" s="49">
        <v>41729</v>
      </c>
      <c r="C119" s="49">
        <f>B119+365</f>
        <v>42094</v>
      </c>
      <c r="D119" s="49">
        <f t="shared" ref="D119:M119" si="3">C119+365</f>
        <v>42459</v>
      </c>
      <c r="E119" s="49">
        <f t="shared" si="3"/>
        <v>42824</v>
      </c>
      <c r="F119" s="49">
        <f t="shared" si="3"/>
        <v>43189</v>
      </c>
      <c r="G119" s="49">
        <f t="shared" si="3"/>
        <v>43554</v>
      </c>
      <c r="H119" s="49">
        <f t="shared" si="3"/>
        <v>43919</v>
      </c>
      <c r="I119" s="49">
        <f t="shared" si="3"/>
        <v>44284</v>
      </c>
      <c r="J119" s="49">
        <f t="shared" si="3"/>
        <v>44649</v>
      </c>
      <c r="K119" s="49">
        <f t="shared" si="3"/>
        <v>45014</v>
      </c>
      <c r="L119" s="49">
        <f t="shared" si="3"/>
        <v>45379</v>
      </c>
      <c r="M119" s="49">
        <f t="shared" si="3"/>
        <v>45744</v>
      </c>
    </row>
    <row r="120" spans="1:13" x14ac:dyDescent="0.25">
      <c r="A120" t="s">
        <v>292</v>
      </c>
      <c r="B120">
        <v>795</v>
      </c>
      <c r="C120">
        <v>802</v>
      </c>
      <c r="D120">
        <v>805</v>
      </c>
      <c r="E120" s="73">
        <v>1215</v>
      </c>
      <c r="F120" s="73">
        <v>1220</v>
      </c>
      <c r="G120" s="73">
        <v>1226</v>
      </c>
      <c r="H120" s="73">
        <v>1229</v>
      </c>
      <c r="I120" s="73">
        <v>1231</v>
      </c>
      <c r="J120" s="73">
        <v>1232</v>
      </c>
      <c r="K120" s="73">
        <v>1243</v>
      </c>
      <c r="L120" s="73">
        <v>1248</v>
      </c>
      <c r="M120" s="73">
        <v>1251</v>
      </c>
    </row>
    <row r="121" spans="1:13" x14ac:dyDescent="0.25">
      <c r="A121" t="s">
        <v>70</v>
      </c>
      <c r="B121" s="73">
        <v>26442</v>
      </c>
      <c r="C121" s="73">
        <v>30934</v>
      </c>
      <c r="D121" s="73">
        <v>41875</v>
      </c>
      <c r="E121" s="73">
        <v>45198</v>
      </c>
      <c r="F121" s="73">
        <v>51290</v>
      </c>
      <c r="G121" s="73">
        <v>57915</v>
      </c>
      <c r="H121" s="73">
        <v>64044</v>
      </c>
      <c r="I121" s="73">
        <v>59116</v>
      </c>
      <c r="J121" s="73">
        <v>61223</v>
      </c>
      <c r="K121" s="73">
        <v>67912</v>
      </c>
      <c r="L121" s="73">
        <v>73259</v>
      </c>
      <c r="M121" s="73">
        <v>68779</v>
      </c>
    </row>
    <row r="122" spans="1:13" x14ac:dyDescent="0.25">
      <c r="A122" t="s">
        <v>293</v>
      </c>
      <c r="B122">
        <v>242</v>
      </c>
      <c r="C122">
        <v>269</v>
      </c>
      <c r="D122">
        <v>84</v>
      </c>
      <c r="E122">
        <v>46</v>
      </c>
      <c r="F122">
        <v>36</v>
      </c>
      <c r="G122">
        <v>13</v>
      </c>
      <c r="H122">
        <v>277</v>
      </c>
      <c r="I122">
        <v>271</v>
      </c>
      <c r="J122">
        <v>249</v>
      </c>
      <c r="K122">
        <v>306</v>
      </c>
      <c r="L122">
        <v>303</v>
      </c>
      <c r="M122">
        <v>285</v>
      </c>
    </row>
    <row r="123" spans="1:13" x14ac:dyDescent="0.25">
      <c r="A123" t="s">
        <v>294</v>
      </c>
      <c r="B123">
        <v>76</v>
      </c>
      <c r="C123">
        <v>61</v>
      </c>
      <c r="D123">
        <v>27</v>
      </c>
      <c r="E123">
        <v>18</v>
      </c>
      <c r="F123">
        <v>12</v>
      </c>
      <c r="G123">
        <v>8</v>
      </c>
      <c r="H123">
        <v>6</v>
      </c>
      <c r="I123">
        <v>6</v>
      </c>
      <c r="J123">
        <v>5</v>
      </c>
      <c r="K123">
        <v>3</v>
      </c>
      <c r="L123">
        <v>2</v>
      </c>
      <c r="M123">
        <v>0</v>
      </c>
    </row>
    <row r="124" spans="1:13" x14ac:dyDescent="0.25">
      <c r="A124" t="s">
        <v>295</v>
      </c>
      <c r="B124">
        <v>150</v>
      </c>
      <c r="C124">
        <v>195</v>
      </c>
      <c r="D124">
        <v>44</v>
      </c>
      <c r="E124">
        <v>19</v>
      </c>
      <c r="F124">
        <v>17</v>
      </c>
      <c r="G124">
        <v>2</v>
      </c>
      <c r="H124">
        <v>1</v>
      </c>
      <c r="I124">
        <v>4</v>
      </c>
      <c r="J124">
        <v>1</v>
      </c>
      <c r="K124">
        <v>35</v>
      </c>
      <c r="L124">
        <v>10</v>
      </c>
      <c r="M124">
        <v>91</v>
      </c>
    </row>
    <row r="125" spans="1:13" x14ac:dyDescent="0.25">
      <c r="A125" t="s">
        <v>296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268</v>
      </c>
      <c r="I125">
        <v>261</v>
      </c>
      <c r="J125">
        <v>244</v>
      </c>
      <c r="K125">
        <v>267</v>
      </c>
      <c r="L125">
        <v>292</v>
      </c>
      <c r="M125">
        <v>193</v>
      </c>
    </row>
    <row r="126" spans="1:13" x14ac:dyDescent="0.25">
      <c r="A126" t="s">
        <v>297</v>
      </c>
      <c r="B126">
        <v>16</v>
      </c>
      <c r="C126">
        <v>13</v>
      </c>
      <c r="D126">
        <v>13</v>
      </c>
      <c r="E126">
        <v>8</v>
      </c>
      <c r="F126">
        <v>7</v>
      </c>
      <c r="G126">
        <v>3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t="s">
        <v>298</v>
      </c>
      <c r="B127" s="73">
        <v>13369</v>
      </c>
      <c r="C127" s="73">
        <v>13948</v>
      </c>
      <c r="D127" s="73">
        <v>8888</v>
      </c>
      <c r="E127" s="73">
        <v>9440</v>
      </c>
      <c r="F127" s="73">
        <v>11695</v>
      </c>
      <c r="G127" s="73">
        <v>12585</v>
      </c>
      <c r="H127" s="73">
        <v>11760</v>
      </c>
      <c r="I127" s="73">
        <v>13143</v>
      </c>
      <c r="J127" s="73">
        <v>14491</v>
      </c>
      <c r="K127" s="73">
        <v>16370</v>
      </c>
      <c r="L127" s="73">
        <v>16944</v>
      </c>
      <c r="M127" s="73">
        <v>17688</v>
      </c>
    </row>
    <row r="128" spans="1:13" x14ac:dyDescent="0.25">
      <c r="A128" t="s">
        <v>299</v>
      </c>
      <c r="B128">
        <v>203</v>
      </c>
      <c r="C128">
        <v>225</v>
      </c>
      <c r="D128">
        <v>261</v>
      </c>
      <c r="E128">
        <v>295</v>
      </c>
      <c r="F128">
        <v>334</v>
      </c>
      <c r="G128">
        <v>343</v>
      </c>
      <c r="H128">
        <v>377</v>
      </c>
      <c r="I128">
        <v>347</v>
      </c>
      <c r="J128">
        <v>366</v>
      </c>
      <c r="K128">
        <v>384</v>
      </c>
      <c r="L128">
        <v>383</v>
      </c>
      <c r="M128">
        <v>368</v>
      </c>
    </row>
    <row r="129" spans="1:13" x14ac:dyDescent="0.25">
      <c r="A129" t="s">
        <v>300</v>
      </c>
      <c r="B129" s="73">
        <v>2106</v>
      </c>
      <c r="C129" s="73">
        <v>2020</v>
      </c>
      <c r="D129" s="73">
        <v>2339</v>
      </c>
      <c r="E129" s="73">
        <v>2659</v>
      </c>
      <c r="F129" s="73">
        <v>3496</v>
      </c>
      <c r="G129" s="73">
        <v>3510</v>
      </c>
      <c r="H129" s="73">
        <v>3630</v>
      </c>
      <c r="I129" s="73">
        <v>4319</v>
      </c>
      <c r="J129" s="73">
        <v>4417</v>
      </c>
      <c r="K129" s="73">
        <v>4659</v>
      </c>
      <c r="L129" s="73">
        <v>4798</v>
      </c>
      <c r="M129" s="73">
        <v>4807</v>
      </c>
    </row>
    <row r="130" spans="1:13" x14ac:dyDescent="0.25">
      <c r="A130" t="s">
        <v>301</v>
      </c>
      <c r="B130">
        <v>0</v>
      </c>
      <c r="C130">
        <v>0</v>
      </c>
      <c r="D130">
        <v>805</v>
      </c>
      <c r="E130">
        <v>495</v>
      </c>
      <c r="F130">
        <v>461</v>
      </c>
      <c r="G130">
        <v>430</v>
      </c>
      <c r="H130">
        <v>703</v>
      </c>
      <c r="I130">
        <v>811</v>
      </c>
      <c r="J130" s="73">
        <v>1278</v>
      </c>
      <c r="K130" s="73">
        <v>1295</v>
      </c>
      <c r="L130">
        <v>886</v>
      </c>
      <c r="M130" s="73">
        <v>1264</v>
      </c>
    </row>
    <row r="131" spans="1:13" x14ac:dyDescent="0.25">
      <c r="A131" t="s">
        <v>302</v>
      </c>
      <c r="B131" s="73">
        <v>11060</v>
      </c>
      <c r="C131" s="73">
        <v>11702</v>
      </c>
      <c r="D131" s="73">
        <v>5483</v>
      </c>
      <c r="E131" s="73">
        <v>5991</v>
      </c>
      <c r="F131" s="73">
        <v>7404</v>
      </c>
      <c r="G131" s="73">
        <v>8301</v>
      </c>
      <c r="H131" s="73">
        <v>7050</v>
      </c>
      <c r="I131" s="73">
        <v>7666</v>
      </c>
      <c r="J131" s="73">
        <v>8429</v>
      </c>
      <c r="K131" s="73">
        <v>10032</v>
      </c>
      <c r="L131" s="73">
        <v>10877</v>
      </c>
      <c r="M131" s="73">
        <v>11249</v>
      </c>
    </row>
    <row r="132" spans="1:13" x14ac:dyDescent="0.25">
      <c r="A132" t="s">
        <v>286</v>
      </c>
      <c r="B132" s="73">
        <v>40848</v>
      </c>
      <c r="C132" s="73">
        <v>45952</v>
      </c>
      <c r="D132" s="73">
        <v>51651</v>
      </c>
      <c r="E132" s="73">
        <v>55898</v>
      </c>
      <c r="F132" s="73">
        <v>64241</v>
      </c>
      <c r="G132" s="73">
        <v>71739</v>
      </c>
      <c r="H132" s="73">
        <v>77311</v>
      </c>
      <c r="I132" s="73">
        <v>73761</v>
      </c>
      <c r="J132" s="73">
        <v>77196</v>
      </c>
      <c r="K132" s="73">
        <v>85831</v>
      </c>
      <c r="L132" s="73">
        <v>91754</v>
      </c>
      <c r="M132" s="73">
        <v>88003</v>
      </c>
    </row>
    <row r="133" spans="1:13" x14ac:dyDescent="0.25">
      <c r="A133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</row>
    <row r="134" spans="1:13" x14ac:dyDescent="0.25">
      <c r="A134" t="s">
        <v>303</v>
      </c>
      <c r="B134" s="73">
        <v>12921</v>
      </c>
      <c r="C134" s="73">
        <v>15303</v>
      </c>
      <c r="D134" s="73">
        <v>15107</v>
      </c>
      <c r="E134" s="73">
        <v>15893</v>
      </c>
      <c r="F134" s="73">
        <v>16524</v>
      </c>
      <c r="G134" s="73">
        <v>19374</v>
      </c>
      <c r="H134" s="73">
        <v>21713</v>
      </c>
      <c r="I134" s="73">
        <v>23298</v>
      </c>
      <c r="J134" s="73">
        <v>24232</v>
      </c>
      <c r="K134" s="73">
        <v>25851</v>
      </c>
      <c r="L134" s="73">
        <v>27820</v>
      </c>
      <c r="M134" s="73">
        <v>21955</v>
      </c>
    </row>
    <row r="135" spans="1:13" x14ac:dyDescent="0.25">
      <c r="A135" t="s">
        <v>304</v>
      </c>
      <c r="B135" s="73">
        <v>1564</v>
      </c>
      <c r="C135" s="73">
        <v>1717</v>
      </c>
      <c r="D135" s="73">
        <v>1615</v>
      </c>
      <c r="E135" s="73">
        <v>1673</v>
      </c>
      <c r="F135" s="73">
        <v>1685</v>
      </c>
      <c r="G135" s="73">
        <v>2021</v>
      </c>
      <c r="H135" s="73">
        <v>2797</v>
      </c>
      <c r="I135" s="73">
        <v>2889</v>
      </c>
      <c r="J135" s="73">
        <v>2829</v>
      </c>
      <c r="K135" s="73">
        <v>2830</v>
      </c>
      <c r="L135" s="73">
        <v>2865</v>
      </c>
      <c r="M135" s="73">
        <v>1588</v>
      </c>
    </row>
    <row r="136" spans="1:13" x14ac:dyDescent="0.25">
      <c r="A136" t="s">
        <v>305</v>
      </c>
      <c r="B136" s="73">
        <v>4110</v>
      </c>
      <c r="C136" s="73">
        <v>4860</v>
      </c>
      <c r="D136" s="73">
        <v>4219</v>
      </c>
      <c r="E136" s="73">
        <v>4716</v>
      </c>
      <c r="F136" s="73">
        <v>5331</v>
      </c>
      <c r="G136" s="73">
        <v>6996</v>
      </c>
      <c r="H136" s="73">
        <v>8161</v>
      </c>
      <c r="I136" s="73">
        <v>8387</v>
      </c>
      <c r="J136" s="73">
        <v>9100</v>
      </c>
      <c r="K136" s="73">
        <v>9789</v>
      </c>
      <c r="L136" s="73">
        <v>10944</v>
      </c>
      <c r="M136" s="73">
        <v>7550</v>
      </c>
    </row>
    <row r="137" spans="1:13" x14ac:dyDescent="0.25">
      <c r="A137" t="s">
        <v>306</v>
      </c>
      <c r="B137" s="73">
        <v>12633</v>
      </c>
      <c r="C137" s="73">
        <v>14667</v>
      </c>
      <c r="D137" s="73">
        <v>9112</v>
      </c>
      <c r="E137" s="73">
        <v>10384</v>
      </c>
      <c r="F137" s="73">
        <v>11453</v>
      </c>
      <c r="G137" s="73">
        <v>13316</v>
      </c>
      <c r="H137" s="73">
        <v>14625</v>
      </c>
      <c r="I137" s="73">
        <v>15307</v>
      </c>
      <c r="J137" s="73">
        <v>16912</v>
      </c>
      <c r="K137" s="73">
        <v>18480</v>
      </c>
      <c r="L137" s="73">
        <v>20718</v>
      </c>
      <c r="M137" s="73">
        <v>19423</v>
      </c>
    </row>
    <row r="138" spans="1:13" x14ac:dyDescent="0.25">
      <c r="A138" t="s">
        <v>307</v>
      </c>
      <c r="B138">
        <v>34</v>
      </c>
      <c r="C138">
        <v>46</v>
      </c>
      <c r="D138">
        <v>27</v>
      </c>
      <c r="E138">
        <v>32</v>
      </c>
      <c r="F138">
        <v>32</v>
      </c>
      <c r="G138">
        <v>34</v>
      </c>
      <c r="H138">
        <v>40</v>
      </c>
      <c r="I138">
        <v>41</v>
      </c>
      <c r="J138">
        <v>44</v>
      </c>
      <c r="K138">
        <v>44</v>
      </c>
      <c r="L138">
        <v>53</v>
      </c>
      <c r="M138">
        <v>63</v>
      </c>
    </row>
    <row r="139" spans="1:13" x14ac:dyDescent="0.25">
      <c r="A139" t="s">
        <v>308</v>
      </c>
      <c r="B139">
        <v>729</v>
      </c>
      <c r="C139">
        <v>805</v>
      </c>
      <c r="D139">
        <v>413</v>
      </c>
      <c r="E139">
        <v>459</v>
      </c>
      <c r="F139">
        <v>497</v>
      </c>
      <c r="G139">
        <v>644</v>
      </c>
      <c r="H139">
        <v>810</v>
      </c>
      <c r="I139">
        <v>833</v>
      </c>
      <c r="J139">
        <v>907</v>
      </c>
      <c r="K139" s="73">
        <v>1000</v>
      </c>
      <c r="L139" s="73">
        <v>1068</v>
      </c>
      <c r="M139">
        <v>282</v>
      </c>
    </row>
    <row r="140" spans="1:13" x14ac:dyDescent="0.25">
      <c r="A140" t="s">
        <v>309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</row>
    <row r="141" spans="1:13" x14ac:dyDescent="0.25">
      <c r="A141" t="s">
        <v>310</v>
      </c>
      <c r="B141">
        <v>120</v>
      </c>
      <c r="C141">
        <v>128</v>
      </c>
      <c r="D141">
        <v>107</v>
      </c>
      <c r="E141">
        <v>128</v>
      </c>
      <c r="F141">
        <v>140</v>
      </c>
      <c r="G141">
        <v>161</v>
      </c>
      <c r="H141">
        <v>184</v>
      </c>
      <c r="I141">
        <v>180</v>
      </c>
      <c r="J141">
        <v>179</v>
      </c>
      <c r="K141">
        <v>189</v>
      </c>
      <c r="L141">
        <v>192</v>
      </c>
      <c r="M141">
        <v>141</v>
      </c>
    </row>
    <row r="142" spans="1:13" x14ac:dyDescent="0.25">
      <c r="A142" t="s">
        <v>311</v>
      </c>
      <c r="B142">
        <v>398</v>
      </c>
      <c r="C142">
        <v>678</v>
      </c>
      <c r="D142">
        <v>563</v>
      </c>
      <c r="E142">
        <v>563</v>
      </c>
      <c r="F142">
        <v>570</v>
      </c>
      <c r="G142">
        <v>684</v>
      </c>
      <c r="H142">
        <v>684</v>
      </c>
      <c r="I142" s="73">
        <v>2734</v>
      </c>
      <c r="J142" s="73">
        <v>2744</v>
      </c>
      <c r="K142" s="73">
        <v>3490</v>
      </c>
      <c r="L142" s="73">
        <v>3505</v>
      </c>
      <c r="M142" s="73">
        <v>3622</v>
      </c>
    </row>
    <row r="143" spans="1:13" x14ac:dyDescent="0.25">
      <c r="A143" t="s">
        <v>312</v>
      </c>
      <c r="B143">
        <v>411</v>
      </c>
      <c r="C143">
        <v>458</v>
      </c>
      <c r="D143">
        <v>117</v>
      </c>
      <c r="E143">
        <v>138</v>
      </c>
      <c r="F143">
        <v>212</v>
      </c>
      <c r="G143">
        <v>234</v>
      </c>
      <c r="H143">
        <v>663</v>
      </c>
      <c r="I143">
        <v>716</v>
      </c>
      <c r="J143">
        <v>719</v>
      </c>
      <c r="K143">
        <v>786</v>
      </c>
      <c r="L143">
        <v>841</v>
      </c>
      <c r="M143">
        <v>967</v>
      </c>
    </row>
    <row r="144" spans="1:13" x14ac:dyDescent="0.25">
      <c r="A144" t="s">
        <v>313</v>
      </c>
      <c r="B144" s="73">
        <v>20000</v>
      </c>
      <c r="C144" s="73">
        <v>23361</v>
      </c>
      <c r="D144" s="73">
        <v>16176</v>
      </c>
      <c r="E144" s="73">
        <v>18094</v>
      </c>
      <c r="F144" s="73">
        <v>19920</v>
      </c>
      <c r="G144" s="73">
        <v>24090</v>
      </c>
      <c r="H144" s="73">
        <v>27965</v>
      </c>
      <c r="I144" s="73">
        <v>31088</v>
      </c>
      <c r="J144" s="73">
        <v>33435</v>
      </c>
      <c r="K144" s="73">
        <v>36608</v>
      </c>
      <c r="L144" s="73">
        <v>40189</v>
      </c>
      <c r="M144" s="73">
        <v>33638</v>
      </c>
    </row>
    <row r="145" spans="1:13" x14ac:dyDescent="0.25">
      <c r="A145" t="s">
        <v>314</v>
      </c>
      <c r="B145" s="73">
        <v>7073</v>
      </c>
      <c r="C145" s="73">
        <v>8057</v>
      </c>
      <c r="D145" s="73">
        <v>1069</v>
      </c>
      <c r="E145" s="73">
        <v>2201</v>
      </c>
      <c r="F145" s="73">
        <v>3396</v>
      </c>
      <c r="G145" s="73">
        <v>4716</v>
      </c>
      <c r="H145" s="73">
        <v>6252</v>
      </c>
      <c r="I145" s="73">
        <v>7790</v>
      </c>
      <c r="J145" s="73">
        <v>9204</v>
      </c>
      <c r="K145" s="73">
        <v>10757</v>
      </c>
      <c r="L145" s="73">
        <v>12368</v>
      </c>
      <c r="M145" s="73">
        <v>11683</v>
      </c>
    </row>
    <row r="146" spans="1:13" x14ac:dyDescent="0.25">
      <c r="A146" t="s">
        <v>315</v>
      </c>
      <c r="B146" s="73">
        <v>3117</v>
      </c>
      <c r="C146" s="73">
        <v>2700</v>
      </c>
      <c r="D146" s="73">
        <v>2560</v>
      </c>
      <c r="E146" s="73">
        <v>3730</v>
      </c>
      <c r="F146" s="73">
        <v>5508</v>
      </c>
      <c r="G146" s="73">
        <v>4136</v>
      </c>
      <c r="H146" s="73">
        <v>3256</v>
      </c>
      <c r="I146" s="73">
        <v>4011</v>
      </c>
      <c r="J146" s="73">
        <v>3226</v>
      </c>
      <c r="K146" s="73">
        <v>3003</v>
      </c>
      <c r="L146" s="73">
        <v>2861</v>
      </c>
      <c r="M146" s="73">
        <v>1091</v>
      </c>
    </row>
    <row r="147" spans="1:13" x14ac:dyDescent="0.25">
      <c r="A147" t="s">
        <v>76</v>
      </c>
      <c r="B147" s="73">
        <v>7284</v>
      </c>
      <c r="C147" s="73">
        <v>6943</v>
      </c>
      <c r="D147" s="73">
        <v>11748</v>
      </c>
      <c r="E147" s="73">
        <v>17581</v>
      </c>
      <c r="F147" s="73">
        <v>22053</v>
      </c>
      <c r="G147" s="73">
        <v>25043</v>
      </c>
      <c r="H147" s="73">
        <v>28663</v>
      </c>
      <c r="I147" s="73">
        <v>24871</v>
      </c>
      <c r="J147" s="73">
        <v>24841</v>
      </c>
      <c r="K147" s="73">
        <v>29415</v>
      </c>
      <c r="L147" s="73">
        <v>31114</v>
      </c>
      <c r="M147" s="73">
        <v>34720</v>
      </c>
    </row>
    <row r="148" spans="1:13" x14ac:dyDescent="0.25">
      <c r="A148" t="s">
        <v>316</v>
      </c>
      <c r="B148" s="73">
        <v>17526</v>
      </c>
      <c r="C148" s="73">
        <v>21006</v>
      </c>
      <c r="D148" s="73">
        <v>22237</v>
      </c>
      <c r="E148" s="73">
        <v>18694</v>
      </c>
      <c r="F148" s="73">
        <v>20156</v>
      </c>
      <c r="G148" s="73">
        <v>23185</v>
      </c>
      <c r="H148" s="73">
        <v>23678</v>
      </c>
      <c r="I148" s="73">
        <v>21580</v>
      </c>
      <c r="J148" s="73">
        <v>24898</v>
      </c>
      <c r="K148" s="73">
        <v>27561</v>
      </c>
      <c r="L148" s="73">
        <v>29959</v>
      </c>
      <c r="M148" s="73">
        <v>30237</v>
      </c>
    </row>
    <row r="149" spans="1:13" x14ac:dyDescent="0.25">
      <c r="A149" t="s">
        <v>317</v>
      </c>
      <c r="B149" s="73">
        <v>8255</v>
      </c>
      <c r="C149" s="73">
        <v>8587</v>
      </c>
      <c r="D149" s="73">
        <v>9062</v>
      </c>
      <c r="E149" s="73">
        <v>8116</v>
      </c>
      <c r="F149" s="73">
        <v>7495</v>
      </c>
      <c r="G149" s="73">
        <v>7860</v>
      </c>
      <c r="H149" s="73">
        <v>8879</v>
      </c>
      <c r="I149" s="73">
        <v>10397</v>
      </c>
      <c r="J149" s="73">
        <v>10864</v>
      </c>
      <c r="K149" s="73">
        <v>11771</v>
      </c>
      <c r="L149" s="73">
        <v>14153</v>
      </c>
      <c r="M149" s="73">
        <v>15638</v>
      </c>
    </row>
    <row r="150" spans="1:13" x14ac:dyDescent="0.25">
      <c r="A150" t="s">
        <v>318</v>
      </c>
      <c r="B150" s="73">
        <v>2439</v>
      </c>
      <c r="C150" s="73">
        <v>1982</v>
      </c>
      <c r="D150" s="73">
        <v>1917</v>
      </c>
      <c r="E150" s="73">
        <v>2474</v>
      </c>
      <c r="F150" s="73">
        <v>2682</v>
      </c>
      <c r="G150" s="73">
        <v>4035</v>
      </c>
      <c r="H150" s="73">
        <v>2562</v>
      </c>
      <c r="I150" s="73">
        <v>2502</v>
      </c>
      <c r="J150" s="73">
        <v>2462</v>
      </c>
      <c r="K150" s="73">
        <v>2956</v>
      </c>
      <c r="L150" s="73">
        <v>4026</v>
      </c>
      <c r="M150" s="73">
        <v>4720</v>
      </c>
    </row>
    <row r="151" spans="1:13" x14ac:dyDescent="0.25">
      <c r="A151" t="s">
        <v>319</v>
      </c>
      <c r="B151" s="73">
        <v>3490</v>
      </c>
      <c r="C151" s="73">
        <v>7896</v>
      </c>
      <c r="D151" s="73">
        <v>6063</v>
      </c>
      <c r="E151" s="73">
        <v>2967</v>
      </c>
      <c r="F151" s="73">
        <v>2900</v>
      </c>
      <c r="G151" s="73">
        <v>4152</v>
      </c>
      <c r="H151" s="73">
        <v>7277</v>
      </c>
      <c r="I151" s="73">
        <v>4659</v>
      </c>
      <c r="J151" s="73">
        <v>4654</v>
      </c>
      <c r="K151" s="73">
        <v>4880</v>
      </c>
      <c r="L151" s="73">
        <v>7218</v>
      </c>
      <c r="M151" s="73">
        <v>4012</v>
      </c>
    </row>
    <row r="152" spans="1:13" x14ac:dyDescent="0.25">
      <c r="A152" t="s">
        <v>320</v>
      </c>
      <c r="B152">
        <v>107</v>
      </c>
      <c r="C152">
        <v>150</v>
      </c>
      <c r="D152">
        <v>14</v>
      </c>
      <c r="E152">
        <v>7</v>
      </c>
      <c r="F152">
        <v>74</v>
      </c>
      <c r="G152">
        <v>67</v>
      </c>
      <c r="H152">
        <v>6</v>
      </c>
      <c r="I152">
        <v>7</v>
      </c>
      <c r="J152">
        <v>11</v>
      </c>
      <c r="K152">
        <v>13</v>
      </c>
      <c r="L152">
        <v>31</v>
      </c>
      <c r="M152">
        <v>10</v>
      </c>
    </row>
    <row r="153" spans="1:13" x14ac:dyDescent="0.25">
      <c r="A153" t="s">
        <v>321</v>
      </c>
      <c r="B153" s="73">
        <v>3234</v>
      </c>
      <c r="C153" s="73">
        <v>2391</v>
      </c>
      <c r="D153" s="73">
        <v>5180</v>
      </c>
      <c r="E153" s="73">
        <v>5129</v>
      </c>
      <c r="F153" s="73">
        <v>7004</v>
      </c>
      <c r="G153" s="73">
        <v>7071</v>
      </c>
      <c r="H153" s="73">
        <v>4952</v>
      </c>
      <c r="I153" s="73">
        <v>4015</v>
      </c>
      <c r="J153" s="73">
        <v>6906</v>
      </c>
      <c r="K153" s="73">
        <v>7941</v>
      </c>
      <c r="L153" s="73">
        <v>4531</v>
      </c>
      <c r="M153" s="73">
        <v>5858</v>
      </c>
    </row>
    <row r="154" spans="1:13" x14ac:dyDescent="0.25">
      <c r="A154" t="s">
        <v>112</v>
      </c>
      <c r="B154" s="73">
        <v>40848</v>
      </c>
      <c r="C154" s="73">
        <v>45952</v>
      </c>
      <c r="D154" s="73">
        <v>51651</v>
      </c>
      <c r="E154" s="73">
        <v>55898</v>
      </c>
      <c r="F154" s="73">
        <v>64241</v>
      </c>
      <c r="G154" s="73">
        <v>71739</v>
      </c>
      <c r="H154" s="73">
        <v>77311</v>
      </c>
      <c r="I154" s="73">
        <v>73761</v>
      </c>
      <c r="J154" s="73">
        <v>77196</v>
      </c>
      <c r="K154" s="73">
        <v>85831</v>
      </c>
      <c r="L154" s="73">
        <v>91754</v>
      </c>
      <c r="M154" s="73">
        <v>88003</v>
      </c>
    </row>
    <row r="158" spans="1:13" x14ac:dyDescent="0.25">
      <c r="A158" s="46" t="s">
        <v>399</v>
      </c>
    </row>
    <row r="160" spans="1:13" x14ac:dyDescent="0.25">
      <c r="A160" s="54" t="s">
        <v>270</v>
      </c>
      <c r="B160" t="s">
        <v>271</v>
      </c>
      <c r="C160" t="s">
        <v>384</v>
      </c>
      <c r="D160" t="s">
        <v>385</v>
      </c>
      <c r="E160" t="s">
        <v>50</v>
      </c>
      <c r="F160" t="s">
        <v>274</v>
      </c>
      <c r="G160" t="s">
        <v>386</v>
      </c>
      <c r="H160" t="s">
        <v>387</v>
      </c>
      <c r="I160" t="s">
        <v>388</v>
      </c>
      <c r="J160" t="s">
        <v>389</v>
      </c>
      <c r="K160" s="2" t="s">
        <v>5</v>
      </c>
      <c r="L160" t="s">
        <v>390</v>
      </c>
    </row>
    <row r="161" spans="1:12" x14ac:dyDescent="0.25">
      <c r="A161" s="54">
        <v>1</v>
      </c>
      <c r="B161" t="s">
        <v>264</v>
      </c>
      <c r="C161">
        <v>2659.8</v>
      </c>
      <c r="D161">
        <v>234.96</v>
      </c>
      <c r="E161">
        <f t="shared" ref="E161:E170" si="4">D161*C161</f>
        <v>624946.60800000001</v>
      </c>
      <c r="F161">
        <v>1648</v>
      </c>
      <c r="G161">
        <v>619038.28</v>
      </c>
      <c r="H161">
        <v>7554</v>
      </c>
      <c r="I161">
        <f t="shared" ref="I161:I170" si="5">F161-H161</f>
        <v>-5906</v>
      </c>
      <c r="J161">
        <v>63928</v>
      </c>
      <c r="K161" s="73">
        <v>3718</v>
      </c>
      <c r="L161">
        <v>10827</v>
      </c>
    </row>
    <row r="162" spans="1:12" x14ac:dyDescent="0.25">
      <c r="A162" s="54">
        <v>2</v>
      </c>
      <c r="B162" t="s">
        <v>21</v>
      </c>
      <c r="C162">
        <v>409.75</v>
      </c>
      <c r="D162">
        <v>1252.67</v>
      </c>
      <c r="E162">
        <f t="shared" si="4"/>
        <v>513281.53250000003</v>
      </c>
      <c r="F162">
        <v>284.54000000000002</v>
      </c>
      <c r="G162">
        <v>509552.19</v>
      </c>
      <c r="H162">
        <v>4012.36</v>
      </c>
      <c r="I162">
        <f t="shared" si="5"/>
        <v>-3727.82</v>
      </c>
      <c r="J162">
        <v>79040.320000000007</v>
      </c>
      <c r="K162" s="73">
        <v>7567</v>
      </c>
      <c r="L162">
        <v>35218.9</v>
      </c>
    </row>
    <row r="163" spans="1:12" x14ac:dyDescent="0.25">
      <c r="A163" s="54">
        <v>3</v>
      </c>
      <c r="B163" t="s">
        <v>391</v>
      </c>
      <c r="C163">
        <v>1156.2</v>
      </c>
      <c r="D163">
        <v>192.83</v>
      </c>
      <c r="E163">
        <f t="shared" si="4"/>
        <v>222950.04600000003</v>
      </c>
      <c r="F163">
        <v>1166.8499999999999</v>
      </c>
      <c r="G163">
        <v>224022.9</v>
      </c>
      <c r="H163">
        <v>95.65</v>
      </c>
      <c r="I163">
        <f t="shared" si="5"/>
        <v>1071.1999999999998</v>
      </c>
      <c r="J163">
        <v>20483.77</v>
      </c>
      <c r="K163" s="73">
        <v>1100</v>
      </c>
      <c r="L163">
        <v>3227.13</v>
      </c>
    </row>
    <row r="164" spans="1:12" x14ac:dyDescent="0.25">
      <c r="A164" s="54">
        <v>4</v>
      </c>
      <c r="B164" t="s">
        <v>392</v>
      </c>
      <c r="C164">
        <v>487.15</v>
      </c>
      <c r="D164">
        <v>338.2</v>
      </c>
      <c r="E164">
        <f t="shared" si="4"/>
        <v>164754.12999999998</v>
      </c>
      <c r="F164">
        <v>2138.25</v>
      </c>
      <c r="G164">
        <v>164741.51999999999</v>
      </c>
      <c r="H164">
        <v>2450.0500000000002</v>
      </c>
      <c r="I164">
        <f t="shared" si="5"/>
        <v>-311.80000000000018</v>
      </c>
      <c r="J164">
        <v>21077.78</v>
      </c>
      <c r="K164" s="73">
        <v>1999</v>
      </c>
      <c r="L164">
        <v>2881.31</v>
      </c>
    </row>
    <row r="165" spans="1:12" x14ac:dyDescent="0.25">
      <c r="A165" s="54">
        <v>5</v>
      </c>
      <c r="B165" t="s">
        <v>393</v>
      </c>
      <c r="C165">
        <v>5824</v>
      </c>
      <c r="D165">
        <v>24.09</v>
      </c>
      <c r="E165">
        <f t="shared" si="4"/>
        <v>140300.16</v>
      </c>
      <c r="F165">
        <v>1246.51</v>
      </c>
      <c r="G165">
        <v>141215.73000000001</v>
      </c>
      <c r="H165">
        <v>312.48</v>
      </c>
      <c r="I165">
        <f t="shared" si="5"/>
        <v>934.03</v>
      </c>
      <c r="J165">
        <v>18314.59</v>
      </c>
      <c r="K165">
        <v>757</v>
      </c>
      <c r="L165">
        <v>2193.11</v>
      </c>
    </row>
    <row r="166" spans="1:12" x14ac:dyDescent="0.25">
      <c r="A166" s="54">
        <v>6</v>
      </c>
      <c r="B166" t="s">
        <v>394</v>
      </c>
      <c r="C166">
        <v>1242.5999999999999</v>
      </c>
      <c r="D166">
        <v>102.31</v>
      </c>
      <c r="E166">
        <f t="shared" si="4"/>
        <v>127130.40599999999</v>
      </c>
      <c r="F166">
        <v>4009.19</v>
      </c>
      <c r="G166">
        <v>130653.35</v>
      </c>
      <c r="H166">
        <v>483.06</v>
      </c>
      <c r="I166">
        <f t="shared" si="5"/>
        <v>3526.13</v>
      </c>
      <c r="J166">
        <v>14694.57</v>
      </c>
      <c r="K166">
        <v>69</v>
      </c>
      <c r="L166">
        <v>1853.97</v>
      </c>
    </row>
    <row r="167" spans="1:12" x14ac:dyDescent="0.25">
      <c r="A167" s="54">
        <v>7</v>
      </c>
      <c r="B167" t="s">
        <v>395</v>
      </c>
      <c r="C167">
        <v>1065.4000000000001</v>
      </c>
      <c r="D167">
        <v>98.95</v>
      </c>
      <c r="E167">
        <f t="shared" si="4"/>
        <v>105421.33000000002</v>
      </c>
      <c r="F167">
        <v>2392.6799999999998</v>
      </c>
      <c r="G167">
        <v>104999.75</v>
      </c>
      <c r="H167">
        <v>2817.86</v>
      </c>
      <c r="I167">
        <f t="shared" si="5"/>
        <v>-425.18000000000029</v>
      </c>
      <c r="J167">
        <v>18045.14</v>
      </c>
      <c r="K167">
        <v>63</v>
      </c>
      <c r="L167">
        <v>1329.6</v>
      </c>
    </row>
    <row r="168" spans="1:12" x14ac:dyDescent="0.25">
      <c r="A168" s="54">
        <v>8</v>
      </c>
      <c r="B168" t="s">
        <v>396</v>
      </c>
      <c r="C168">
        <v>1311</v>
      </c>
      <c r="D168">
        <v>72.739999999999995</v>
      </c>
      <c r="E168">
        <f t="shared" si="4"/>
        <v>95362.14</v>
      </c>
      <c r="F168">
        <v>480</v>
      </c>
      <c r="G168">
        <v>93805.7</v>
      </c>
      <c r="H168">
        <v>2030</v>
      </c>
      <c r="I168">
        <f t="shared" si="5"/>
        <v>-1550</v>
      </c>
      <c r="J168">
        <v>12329</v>
      </c>
      <c r="K168" s="73">
        <v>2759</v>
      </c>
      <c r="L168">
        <v>1514</v>
      </c>
    </row>
    <row r="169" spans="1:12" x14ac:dyDescent="0.25">
      <c r="A169" s="54">
        <v>9</v>
      </c>
      <c r="B169" t="s">
        <v>397</v>
      </c>
      <c r="C169">
        <v>725.85</v>
      </c>
      <c r="D169">
        <v>129.79</v>
      </c>
      <c r="E169">
        <f t="shared" si="4"/>
        <v>94208.071499999991</v>
      </c>
      <c r="F169">
        <v>554</v>
      </c>
      <c r="G169">
        <v>93985.37</v>
      </c>
      <c r="H169">
        <v>777</v>
      </c>
      <c r="I169">
        <f t="shared" si="5"/>
        <v>-223</v>
      </c>
      <c r="J169">
        <v>11447</v>
      </c>
      <c r="K169">
        <v>65.5</v>
      </c>
      <c r="L169">
        <v>1697</v>
      </c>
    </row>
    <row r="170" spans="1:12" x14ac:dyDescent="0.25">
      <c r="A170" s="54">
        <v>10</v>
      </c>
      <c r="B170" t="s">
        <v>398</v>
      </c>
      <c r="C170">
        <v>521.1</v>
      </c>
      <c r="D170">
        <v>177.37</v>
      </c>
      <c r="E170">
        <f t="shared" si="4"/>
        <v>92427.507000000012</v>
      </c>
      <c r="F170">
        <v>950.37</v>
      </c>
      <c r="G170">
        <v>92799.35</v>
      </c>
      <c r="H170">
        <v>578.01</v>
      </c>
      <c r="I170">
        <f t="shared" si="5"/>
        <v>372.36</v>
      </c>
      <c r="J170">
        <v>12618.56</v>
      </c>
      <c r="K170" s="73">
        <v>2877</v>
      </c>
      <c r="L170">
        <v>1754.36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53F6F12B-0A33-4CBD-9908-4E8A6822AE9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7291-7096-4EA8-A808-34CCECD65079}">
  <sheetPr>
    <tabColor rgb="FFFF0000"/>
  </sheetPr>
  <dimension ref="A1:U57"/>
  <sheetViews>
    <sheetView showGridLines="0" topLeftCell="A24" workbookViewId="0">
      <selection activeCell="B28" sqref="B28"/>
    </sheetView>
  </sheetViews>
  <sheetFormatPr defaultRowHeight="15" outlineLevelRow="1" x14ac:dyDescent="0.25"/>
  <cols>
    <col min="1" max="1" width="1.85546875" customWidth="1"/>
    <col min="2" max="2" width="36.28515625" bestFit="1" customWidth="1"/>
    <col min="3" max="3" width="11.28515625" customWidth="1"/>
    <col min="4" max="4" width="12.42578125" customWidth="1"/>
    <col min="5" max="5" width="12" bestFit="1" customWidth="1"/>
    <col min="6" max="6" width="14.7109375" bestFit="1" customWidth="1"/>
    <col min="7" max="7" width="11.5703125" bestFit="1" customWidth="1"/>
    <col min="8" max="8" width="10.7109375" bestFit="1" customWidth="1"/>
    <col min="9" max="9" width="11.140625" bestFit="1" customWidth="1"/>
    <col min="10" max="11" width="11.5703125" bestFit="1" customWidth="1"/>
    <col min="12" max="12" width="10.5703125" bestFit="1" customWidth="1"/>
    <col min="13" max="13" width="15.28515625" bestFit="1" customWidth="1"/>
    <col min="14" max="14" width="10.5703125" bestFit="1" customWidth="1"/>
    <col min="18" max="18" width="9.85546875" customWidth="1"/>
  </cols>
  <sheetData>
    <row r="1" spans="1:21" x14ac:dyDescent="0.25">
      <c r="B1" t="s">
        <v>11</v>
      </c>
    </row>
    <row r="3" spans="1:21" x14ac:dyDescent="0.25">
      <c r="B3" t="s">
        <v>21</v>
      </c>
    </row>
    <row r="4" spans="1:21" x14ac:dyDescent="0.25">
      <c r="B4" s="3" t="s">
        <v>17</v>
      </c>
      <c r="C4" s="3"/>
      <c r="D4" s="4">
        <f>E4-1</f>
        <v>2021</v>
      </c>
      <c r="E4" s="4">
        <v>2022</v>
      </c>
      <c r="F4" s="4">
        <f>E4+1</f>
        <v>2023</v>
      </c>
      <c r="G4" s="4">
        <f t="shared" ref="G4:H4" si="0">F4+1</f>
        <v>2024</v>
      </c>
      <c r="H4" s="4">
        <f t="shared" si="0"/>
        <v>2025</v>
      </c>
      <c r="I4" s="5">
        <f t="shared" ref="I4:K4" si="1">H4+1</f>
        <v>2026</v>
      </c>
      <c r="J4" s="5">
        <f t="shared" si="1"/>
        <v>2027</v>
      </c>
      <c r="K4" s="5">
        <f t="shared" si="1"/>
        <v>2028</v>
      </c>
      <c r="L4" s="5">
        <f t="shared" ref="L4" si="2">K4+1</f>
        <v>2029</v>
      </c>
      <c r="M4" s="5">
        <f t="shared" ref="M4" si="3">L4+1</f>
        <v>2030</v>
      </c>
      <c r="S4" s="7"/>
    </row>
    <row r="6" spans="1:21" x14ac:dyDescent="0.25">
      <c r="A6" t="s">
        <v>0</v>
      </c>
      <c r="B6" s="8" t="str">
        <f>" Income statement"&amp; "-" &amp;$B$3</f>
        <v xml:space="preserve"> Income statement-ITC</v>
      </c>
      <c r="C6" s="8"/>
      <c r="D6" s="8"/>
      <c r="E6" s="9"/>
      <c r="F6" s="9"/>
      <c r="G6" s="9"/>
      <c r="H6" s="9"/>
      <c r="I6" s="9"/>
      <c r="J6" s="9"/>
      <c r="K6" s="9"/>
      <c r="L6" s="9"/>
      <c r="M6" s="9"/>
    </row>
    <row r="7" spans="1:21" outlineLevel="1" x14ac:dyDescent="0.25">
      <c r="B7" s="1" t="s">
        <v>1</v>
      </c>
      <c r="C7" s="1"/>
      <c r="D7" s="7">
        <v>49257</v>
      </c>
      <c r="E7" s="7">
        <v>60664</v>
      </c>
      <c r="F7" s="7">
        <v>70919</v>
      </c>
      <c r="G7" s="7">
        <v>67931</v>
      </c>
      <c r="H7" s="7">
        <v>75323</v>
      </c>
      <c r="I7" s="19">
        <f>H7*(1+I19)</f>
        <v>80218.994999999995</v>
      </c>
      <c r="J7" s="19">
        <f>I7*(1+J19)</f>
        <v>85433.229674999995</v>
      </c>
      <c r="K7" s="19">
        <f>J7*(1+K19)</f>
        <v>90986.389603874995</v>
      </c>
      <c r="L7" s="19">
        <f t="shared" ref="L7:M7" si="4">K7*(1+L19)</f>
        <v>96900.504928126858</v>
      </c>
      <c r="M7" s="19">
        <f t="shared" si="4"/>
        <v>103199.0377484551</v>
      </c>
      <c r="N7" t="s">
        <v>18</v>
      </c>
    </row>
    <row r="8" spans="1:21" outlineLevel="1" x14ac:dyDescent="0.25">
      <c r="B8" s="1" t="s">
        <v>2</v>
      </c>
      <c r="C8" s="1"/>
      <c r="D8" s="7">
        <v>19974.599999999999</v>
      </c>
      <c r="E8" s="7">
        <v>34053</v>
      </c>
      <c r="F8" s="7">
        <v>38302</v>
      </c>
      <c r="G8" s="7">
        <v>37015</v>
      </c>
      <c r="H8" s="7">
        <v>38737</v>
      </c>
      <c r="I8" s="19">
        <f>I7*I20</f>
        <v>40109.497499999998</v>
      </c>
      <c r="J8" s="19">
        <f>J7*J20</f>
        <v>42716.614837499998</v>
      </c>
      <c r="K8" s="19">
        <f>K7*K20</f>
        <v>45493.194801937498</v>
      </c>
      <c r="L8" s="19">
        <f t="shared" ref="L8:M8" si="5">L7*L20</f>
        <v>48450.252464063429</v>
      </c>
      <c r="M8" s="19">
        <f t="shared" si="5"/>
        <v>51599.51887422755</v>
      </c>
    </row>
    <row r="9" spans="1:21" outlineLevel="1" x14ac:dyDescent="0.25">
      <c r="B9" s="10" t="s">
        <v>3</v>
      </c>
      <c r="C9" s="10"/>
      <c r="D9" s="11">
        <f>D7-D8</f>
        <v>29282.400000000001</v>
      </c>
      <c r="E9" s="11">
        <f>E7-E8</f>
        <v>26611</v>
      </c>
      <c r="F9" s="11">
        <f t="shared" ref="F9" si="6">F7-F8</f>
        <v>32617</v>
      </c>
      <c r="G9" s="11">
        <f>G7-G8</f>
        <v>30916</v>
      </c>
      <c r="H9" s="11">
        <f>H7-H8</f>
        <v>36586</v>
      </c>
      <c r="I9" s="22">
        <f>I7-I8</f>
        <v>40109.497499999998</v>
      </c>
      <c r="J9" s="22">
        <f t="shared" ref="J9:K9" si="7">J7-J8</f>
        <v>42716.614837499998</v>
      </c>
      <c r="K9" s="22">
        <f t="shared" si="7"/>
        <v>45493.194801937498</v>
      </c>
      <c r="L9" s="22">
        <f t="shared" ref="L9:M9" si="8">L7-L8</f>
        <v>48450.252464063429</v>
      </c>
      <c r="M9" s="22">
        <f t="shared" si="8"/>
        <v>51599.51887422755</v>
      </c>
      <c r="N9" s="31"/>
      <c r="O9" s="18"/>
      <c r="P9" s="18"/>
      <c r="Q9" s="18"/>
      <c r="R9" s="18"/>
      <c r="S9" s="18"/>
      <c r="T9" s="18"/>
      <c r="U9" s="18"/>
    </row>
    <row r="10" spans="1:21" outlineLevel="1" x14ac:dyDescent="0.25">
      <c r="B10" s="1" t="s">
        <v>4</v>
      </c>
      <c r="C10" s="1"/>
      <c r="D10" s="7">
        <v>7176</v>
      </c>
      <c r="E10" s="7">
        <v>11301</v>
      </c>
      <c r="F10" s="7">
        <v>13424</v>
      </c>
      <c r="G10" s="7">
        <v>12953</v>
      </c>
      <c r="H10" s="7">
        <v>14045</v>
      </c>
      <c r="I10">
        <f>I21</f>
        <v>15168</v>
      </c>
      <c r="J10">
        <f t="shared" ref="J10:K10" si="9">J21</f>
        <v>16381.44</v>
      </c>
      <c r="K10">
        <f t="shared" si="9"/>
        <v>17691.9552</v>
      </c>
      <c r="L10">
        <f t="shared" ref="L10:M10" si="10">L21</f>
        <v>19107.311615999999</v>
      </c>
      <c r="M10">
        <f t="shared" si="10"/>
        <v>20635.89654528</v>
      </c>
      <c r="N10" s="18"/>
    </row>
    <row r="11" spans="1:21" outlineLevel="1" x14ac:dyDescent="0.25">
      <c r="B11" s="10" t="s">
        <v>5</v>
      </c>
      <c r="C11" s="10"/>
      <c r="D11" s="11">
        <f>D9-D10</f>
        <v>22106.400000000001</v>
      </c>
      <c r="E11" s="11">
        <f>E9-E10</f>
        <v>15310</v>
      </c>
      <c r="F11" s="11">
        <f t="shared" ref="F11:G11" si="11">F9-F10</f>
        <v>19193</v>
      </c>
      <c r="G11" s="11">
        <f t="shared" si="11"/>
        <v>17963</v>
      </c>
      <c r="H11" s="11">
        <f>H9-H10</f>
        <v>22541</v>
      </c>
      <c r="I11" s="22">
        <f>I9-I10</f>
        <v>24941.497499999998</v>
      </c>
      <c r="J11" s="22">
        <f t="shared" ref="J11:K11" si="12">J9-J10</f>
        <v>26335.174837499995</v>
      </c>
      <c r="K11" s="22">
        <f t="shared" si="12"/>
        <v>27801.239601937497</v>
      </c>
      <c r="L11" s="22">
        <f t="shared" ref="L11:M11" si="13">L9-L10</f>
        <v>29342.94084806343</v>
      </c>
      <c r="M11" s="22">
        <f t="shared" si="13"/>
        <v>30963.622328947549</v>
      </c>
      <c r="N11" s="18"/>
    </row>
    <row r="12" spans="1:21" outlineLevel="1" x14ac:dyDescent="0.25">
      <c r="B12" s="1" t="s">
        <v>6</v>
      </c>
      <c r="C12" s="1"/>
      <c r="D12" s="7">
        <v>1561.8</v>
      </c>
      <c r="E12" s="7">
        <v>1647.8</v>
      </c>
      <c r="F12" s="7">
        <v>1662.7</v>
      </c>
      <c r="G12" s="7">
        <v>1652.1</v>
      </c>
      <c r="H12" s="7">
        <v>1561.8</v>
      </c>
      <c r="I12" s="19">
        <f>I7*I22</f>
        <v>2005.4748749999999</v>
      </c>
      <c r="J12" s="19">
        <f>J7*J22</f>
        <v>2135.8307418750001</v>
      </c>
      <c r="K12" s="19">
        <f>K7*K22</f>
        <v>2274.6597400968749</v>
      </c>
      <c r="L12" s="19">
        <f t="shared" ref="L12:M12" si="14">L7*L22</f>
        <v>2422.5126232031716</v>
      </c>
      <c r="M12" s="19">
        <f t="shared" si="14"/>
        <v>2579.9759437113776</v>
      </c>
      <c r="N12" s="18"/>
    </row>
    <row r="13" spans="1:21" outlineLevel="1" x14ac:dyDescent="0.25">
      <c r="B13" s="1" t="s">
        <v>7</v>
      </c>
      <c r="C13" s="1"/>
      <c r="D13" s="7">
        <v>47.4</v>
      </c>
      <c r="E13" s="7">
        <v>45.73</v>
      </c>
      <c r="F13" s="7">
        <v>41.81</v>
      </c>
      <c r="G13" s="7">
        <v>41.9</v>
      </c>
      <c r="H13" s="7">
        <v>47.4</v>
      </c>
      <c r="I13">
        <f>I23</f>
        <v>50</v>
      </c>
      <c r="J13">
        <f t="shared" ref="J13:K13" si="15">J23</f>
        <v>50</v>
      </c>
      <c r="K13">
        <f t="shared" si="15"/>
        <v>50</v>
      </c>
      <c r="L13">
        <f t="shared" ref="L13:M13" si="16">L23</f>
        <v>50</v>
      </c>
      <c r="M13">
        <f t="shared" si="16"/>
        <v>50</v>
      </c>
      <c r="N13" s="18"/>
    </row>
    <row r="14" spans="1:21" outlineLevel="1" x14ac:dyDescent="0.25">
      <c r="B14" s="10" t="s">
        <v>8</v>
      </c>
      <c r="C14" s="10"/>
      <c r="D14" s="11">
        <f>D11-SUM(D12,D13)</f>
        <v>20497.2</v>
      </c>
      <c r="E14" s="11">
        <f>E11-SUM(E12,E13)</f>
        <v>13616.47</v>
      </c>
      <c r="F14" s="11">
        <f t="shared" ref="F14:G14" si="17">F11-SUM(F12,F13)</f>
        <v>17488.490000000002</v>
      </c>
      <c r="G14" s="11">
        <f t="shared" si="17"/>
        <v>16269</v>
      </c>
      <c r="H14" s="11">
        <f>H11-H13</f>
        <v>22493.599999999999</v>
      </c>
      <c r="I14" s="22">
        <f>I11-SUM(I13,I12)</f>
        <v>22886.022624999998</v>
      </c>
      <c r="J14" s="22">
        <f t="shared" ref="J14:K14" si="18">J11-SUM(J13,J12)</f>
        <v>24149.344095624994</v>
      </c>
      <c r="K14" s="22">
        <f t="shared" si="18"/>
        <v>25476.579861840622</v>
      </c>
      <c r="L14" s="22">
        <f t="shared" ref="L14:M14" si="19">L11-SUM(L13,L12)</f>
        <v>26870.428224860258</v>
      </c>
      <c r="M14" s="22">
        <f t="shared" si="19"/>
        <v>28333.64638523617</v>
      </c>
      <c r="N14" s="18"/>
    </row>
    <row r="15" spans="1:21" outlineLevel="1" x14ac:dyDescent="0.25">
      <c r="B15" s="1" t="s">
        <v>9</v>
      </c>
      <c r="C15" s="1"/>
      <c r="D15" s="7">
        <v>4132.5</v>
      </c>
      <c r="E15" s="7">
        <v>6436.9</v>
      </c>
      <c r="F15" s="7">
        <v>5893.8</v>
      </c>
      <c r="G15" s="7">
        <v>5997.1</v>
      </c>
      <c r="H15" s="7">
        <v>4771.7</v>
      </c>
      <c r="I15" s="23">
        <f>I14*I24</f>
        <v>5721.5056562499994</v>
      </c>
      <c r="J15" s="23">
        <f>J14*J24</f>
        <v>6037.3360239062486</v>
      </c>
      <c r="K15" s="23">
        <f>K14*K24</f>
        <v>6369.1449654601556</v>
      </c>
      <c r="L15" s="23">
        <f t="shared" ref="L15:M15" si="20">L14*L24</f>
        <v>6717.6070562150644</v>
      </c>
      <c r="M15" s="23">
        <f t="shared" si="20"/>
        <v>7083.4115963090426</v>
      </c>
      <c r="N15" s="18"/>
    </row>
    <row r="16" spans="1:21" ht="15.75" outlineLevel="1" thickBot="1" x14ac:dyDescent="0.3">
      <c r="B16" s="12" t="s">
        <v>10</v>
      </c>
      <c r="C16" s="12"/>
      <c r="D16" s="13">
        <f>D14-D15</f>
        <v>16364.7</v>
      </c>
      <c r="E16" s="13">
        <f>E14-E15</f>
        <v>7179.57</v>
      </c>
      <c r="F16" s="16">
        <f>F14-F15</f>
        <v>11594.690000000002</v>
      </c>
      <c r="G16" s="13">
        <f t="shared" ref="G16" si="21">G14-G15</f>
        <v>10271.9</v>
      </c>
      <c r="H16" s="14">
        <f>H14-H15</f>
        <v>17721.899999999998</v>
      </c>
      <c r="I16" s="16">
        <f>I14-I15</f>
        <v>17164.516968749998</v>
      </c>
      <c r="J16" s="16">
        <f t="shared" ref="J16:K16" si="22">J14-J15</f>
        <v>18112.008071718745</v>
      </c>
      <c r="K16" s="16">
        <f t="shared" si="22"/>
        <v>19107.434896380466</v>
      </c>
      <c r="L16" s="16">
        <f t="shared" ref="L16:M16" si="23">L14-L15</f>
        <v>20152.821168645194</v>
      </c>
      <c r="M16" s="16">
        <f t="shared" si="23"/>
        <v>21250.234788927126</v>
      </c>
      <c r="N16" s="18"/>
    </row>
    <row r="17" spans="1:14" ht="15.75" thickTop="1" x14ac:dyDescent="0.25">
      <c r="G17" s="7"/>
      <c r="N17" s="18"/>
    </row>
    <row r="18" spans="1:14" x14ac:dyDescent="0.25">
      <c r="A18" t="s">
        <v>0</v>
      </c>
      <c r="B18" s="8" t="str">
        <f>" Assumption Drivers"&amp; "-" &amp;$B$3</f>
        <v xml:space="preserve"> Assumption Drivers-ITC</v>
      </c>
      <c r="C18" s="8"/>
      <c r="D18" s="8"/>
      <c r="E18" s="9"/>
      <c r="F18" s="9"/>
      <c r="G18" s="9"/>
      <c r="H18" s="9"/>
      <c r="I18" s="9"/>
      <c r="J18" s="9"/>
      <c r="K18" s="9"/>
      <c r="L18" s="9"/>
      <c r="M18" s="9"/>
    </row>
    <row r="19" spans="1:14" outlineLevel="1" x14ac:dyDescent="0.25">
      <c r="B19" s="1" t="s">
        <v>12</v>
      </c>
      <c r="C19" s="1"/>
      <c r="D19" s="2" t="s">
        <v>16</v>
      </c>
      <c r="E19" s="6">
        <f>E7/D7-1</f>
        <v>0.2315812980896117</v>
      </c>
      <c r="F19" s="6">
        <f>F7/E7-1</f>
        <v>0.16904589212712651</v>
      </c>
      <c r="G19" s="6">
        <f>G7/F7-1</f>
        <v>-4.2132573781356153E-2</v>
      </c>
      <c r="H19" s="6">
        <f>H7/G7-1</f>
        <v>0.10881629889152222</v>
      </c>
      <c r="I19" s="18">
        <v>6.5000000000000002E-2</v>
      </c>
      <c r="J19" s="17">
        <f>I19</f>
        <v>6.5000000000000002E-2</v>
      </c>
      <c r="K19" s="17">
        <f t="shared" ref="K19:M19" si="24">J19</f>
        <v>6.5000000000000002E-2</v>
      </c>
      <c r="L19" s="17">
        <f t="shared" si="24"/>
        <v>6.5000000000000002E-2</v>
      </c>
      <c r="M19" s="17">
        <f t="shared" si="24"/>
        <v>6.5000000000000002E-2</v>
      </c>
    </row>
    <row r="20" spans="1:14" outlineLevel="1" x14ac:dyDescent="0.25">
      <c r="B20" s="1" t="s">
        <v>13</v>
      </c>
      <c r="C20" s="1"/>
      <c r="D20" s="6">
        <f>D8/D7</f>
        <v>0.40551799744198791</v>
      </c>
      <c r="E20" s="6">
        <f>E8/E7</f>
        <v>0.56133786100487937</v>
      </c>
      <c r="F20" s="6">
        <f t="shared" ref="F20:H20" si="25">F8/F7</f>
        <v>0.54008093740746488</v>
      </c>
      <c r="G20" s="6">
        <f t="shared" si="25"/>
        <v>0.54489113953864954</v>
      </c>
      <c r="H20" s="6">
        <f t="shared" si="25"/>
        <v>0.5142785072288677</v>
      </c>
      <c r="I20" s="18">
        <v>0.5</v>
      </c>
      <c r="J20" s="20">
        <f t="shared" ref="J20:K24" si="26">I20</f>
        <v>0.5</v>
      </c>
      <c r="K20" s="20">
        <f t="shared" si="26"/>
        <v>0.5</v>
      </c>
      <c r="L20" s="20">
        <f t="shared" ref="L20" si="27">K20</f>
        <v>0.5</v>
      </c>
      <c r="M20" s="20">
        <f t="shared" ref="M20" si="28">L20</f>
        <v>0.5</v>
      </c>
    </row>
    <row r="21" spans="1:14" outlineLevel="1" x14ac:dyDescent="0.25">
      <c r="B21" s="1" t="s">
        <v>14</v>
      </c>
      <c r="C21" s="1"/>
      <c r="D21" s="15">
        <f>D10</f>
        <v>7176</v>
      </c>
      <c r="E21" s="15">
        <f>E10</f>
        <v>11301</v>
      </c>
      <c r="F21" s="15">
        <f t="shared" ref="F21:H21" si="29">F10</f>
        <v>13424</v>
      </c>
      <c r="G21" s="15">
        <f t="shared" si="29"/>
        <v>12953</v>
      </c>
      <c r="H21" s="15">
        <f t="shared" si="29"/>
        <v>14045</v>
      </c>
      <c r="I21" s="30">
        <v>15168</v>
      </c>
      <c r="J21" s="15">
        <f>I21+(I21*8%)</f>
        <v>16381.44</v>
      </c>
      <c r="K21" s="15">
        <f>J21+(J21*8%)</f>
        <v>17691.9552</v>
      </c>
      <c r="L21" s="15">
        <f t="shared" ref="L21:M21" si="30">K21+(K21*8%)</f>
        <v>19107.311615999999</v>
      </c>
      <c r="M21" s="15">
        <f t="shared" si="30"/>
        <v>20635.89654528</v>
      </c>
      <c r="N21" s="19"/>
    </row>
    <row r="22" spans="1:14" outlineLevel="1" x14ac:dyDescent="0.25">
      <c r="B22" s="1" t="s">
        <v>15</v>
      </c>
      <c r="C22" s="1"/>
      <c r="D22" s="6">
        <f>D12/D7</f>
        <v>3.1707168524270662E-2</v>
      </c>
      <c r="E22" s="6">
        <f>E12/E7</f>
        <v>2.7162732427799024E-2</v>
      </c>
      <c r="F22" s="6">
        <f t="shared" ref="F22:H22" si="31">F12/F7</f>
        <v>2.3445057036901255E-2</v>
      </c>
      <c r="G22" s="6">
        <f t="shared" si="31"/>
        <v>2.4320266152419365E-2</v>
      </c>
      <c r="H22" s="6">
        <f t="shared" si="31"/>
        <v>2.0734702547694595E-2</v>
      </c>
      <c r="I22" s="18">
        <v>2.5000000000000001E-2</v>
      </c>
      <c r="J22" s="17">
        <f t="shared" si="26"/>
        <v>2.5000000000000001E-2</v>
      </c>
      <c r="K22" s="17">
        <f t="shared" si="26"/>
        <v>2.5000000000000001E-2</v>
      </c>
      <c r="L22" s="17">
        <f t="shared" ref="L22:L24" si="32">K22</f>
        <v>2.5000000000000001E-2</v>
      </c>
      <c r="M22" s="17">
        <f t="shared" ref="M22:M24" si="33">L22</f>
        <v>2.5000000000000001E-2</v>
      </c>
      <c r="N22" s="19"/>
    </row>
    <row r="23" spans="1:14" outlineLevel="1" x14ac:dyDescent="0.25">
      <c r="B23" s="1" t="s">
        <v>7</v>
      </c>
      <c r="C23" s="1"/>
      <c r="D23" s="15">
        <f>D13</f>
        <v>47.4</v>
      </c>
      <c r="E23" s="15">
        <f>E13</f>
        <v>45.73</v>
      </c>
      <c r="F23" s="15">
        <f t="shared" ref="F23:H23" si="34">F13</f>
        <v>41.81</v>
      </c>
      <c r="G23" s="15">
        <f t="shared" si="34"/>
        <v>41.9</v>
      </c>
      <c r="H23" s="15">
        <f t="shared" si="34"/>
        <v>47.4</v>
      </c>
      <c r="I23" s="21">
        <v>50</v>
      </c>
      <c r="J23" s="15">
        <f t="shared" si="26"/>
        <v>50</v>
      </c>
      <c r="K23" s="15">
        <f t="shared" si="26"/>
        <v>50</v>
      </c>
      <c r="L23" s="15">
        <f t="shared" si="32"/>
        <v>50</v>
      </c>
      <c r="M23" s="15">
        <f t="shared" si="33"/>
        <v>50</v>
      </c>
    </row>
    <row r="24" spans="1:14" outlineLevel="1" x14ac:dyDescent="0.25">
      <c r="B24" s="1" t="s">
        <v>9</v>
      </c>
      <c r="C24" s="1"/>
      <c r="D24" s="6">
        <f>D15/D14</f>
        <v>0.20161290322580644</v>
      </c>
      <c r="E24" s="6">
        <f>E15/E14</f>
        <v>0.47272898188737611</v>
      </c>
      <c r="F24" s="6">
        <f t="shared" ref="F24:H24" si="35">F15/F14</f>
        <v>0.33701022786987322</v>
      </c>
      <c r="G24" s="6">
        <f t="shared" si="35"/>
        <v>0.36862130432110152</v>
      </c>
      <c r="H24" s="6">
        <f t="shared" si="35"/>
        <v>0.21213589643276309</v>
      </c>
      <c r="I24" s="18">
        <v>0.25</v>
      </c>
      <c r="J24" s="20">
        <f t="shared" si="26"/>
        <v>0.25</v>
      </c>
      <c r="K24" s="20">
        <f t="shared" si="26"/>
        <v>0.25</v>
      </c>
      <c r="L24" s="20">
        <f t="shared" si="32"/>
        <v>0.25</v>
      </c>
      <c r="M24" s="20">
        <f t="shared" si="33"/>
        <v>0.25</v>
      </c>
    </row>
    <row r="27" spans="1:14" x14ac:dyDescent="0.25">
      <c r="A27" t="s">
        <v>0</v>
      </c>
      <c r="B27" s="8" t="str">
        <f>" Change Analysis "&amp; "-"&amp;$B$3</f>
        <v xml:space="preserve"> Change Analysis -ITC</v>
      </c>
      <c r="C27" s="8"/>
      <c r="D27" s="8"/>
      <c r="E27" s="9"/>
      <c r="F27" s="9"/>
      <c r="G27" s="9"/>
      <c r="H27" s="9"/>
      <c r="I27" s="9"/>
      <c r="J27" s="9"/>
      <c r="K27" s="9"/>
      <c r="L27" s="9"/>
      <c r="M27" s="9"/>
    </row>
    <row r="28" spans="1:14" outlineLevel="1" x14ac:dyDescent="0.25">
      <c r="B28" s="26">
        <v>0.1</v>
      </c>
      <c r="C28" s="26"/>
      <c r="D28" s="26"/>
    </row>
    <row r="29" spans="1:14" outlineLevel="1" x14ac:dyDescent="0.25">
      <c r="B29" s="1" t="s">
        <v>1</v>
      </c>
      <c r="C29" s="1"/>
      <c r="D29" s="27">
        <f>D7*(1+$B$28)</f>
        <v>54182.700000000004</v>
      </c>
      <c r="E29" s="27">
        <f>E7*(1+$B$28)</f>
        <v>66730.400000000009</v>
      </c>
      <c r="F29" s="27">
        <f t="shared" ref="F29:K29" si="36">F7*(1+$B$28)</f>
        <v>78010.900000000009</v>
      </c>
      <c r="G29" s="27">
        <f t="shared" si="36"/>
        <v>74724.100000000006</v>
      </c>
      <c r="H29" s="27">
        <f t="shared" si="36"/>
        <v>82855.3</v>
      </c>
      <c r="I29" s="27">
        <f t="shared" si="36"/>
        <v>88240.894499999995</v>
      </c>
      <c r="J29" s="27">
        <f t="shared" si="36"/>
        <v>93976.552642499999</v>
      </c>
      <c r="K29" s="27">
        <f t="shared" si="36"/>
        <v>100085.02856426251</v>
      </c>
      <c r="L29" s="27">
        <f t="shared" ref="L29:M29" si="37">L7*(1+$B$28)</f>
        <v>106590.55542093955</v>
      </c>
      <c r="M29" s="27">
        <f t="shared" si="37"/>
        <v>113518.94152330061</v>
      </c>
    </row>
    <row r="30" spans="1:14" outlineLevel="1" x14ac:dyDescent="0.25">
      <c r="B30" s="1" t="s">
        <v>2</v>
      </c>
      <c r="C30" s="111"/>
      <c r="D30" s="212">
        <f t="shared" ref="D30:D38" si="38">D8*(1+$B$28)</f>
        <v>21972.06</v>
      </c>
      <c r="E30" s="27">
        <f t="shared" ref="E30:K30" si="39">E8*(1+$B$28)</f>
        <v>37458.300000000003</v>
      </c>
      <c r="F30" s="27">
        <f t="shared" si="39"/>
        <v>42132.200000000004</v>
      </c>
      <c r="G30" s="27">
        <f t="shared" si="39"/>
        <v>40716.5</v>
      </c>
      <c r="H30" s="27">
        <f t="shared" si="39"/>
        <v>42610.700000000004</v>
      </c>
      <c r="I30" s="27">
        <f t="shared" si="39"/>
        <v>44120.447249999997</v>
      </c>
      <c r="J30" s="27">
        <f t="shared" si="39"/>
        <v>46988.276321249999</v>
      </c>
      <c r="K30" s="27">
        <f t="shared" si="39"/>
        <v>50042.514282131255</v>
      </c>
      <c r="L30" s="27">
        <f t="shared" ref="L30:M30" si="40">L8*(1+$B$28)</f>
        <v>53295.277710469774</v>
      </c>
      <c r="M30" s="27">
        <f t="shared" si="40"/>
        <v>56759.470761650307</v>
      </c>
    </row>
    <row r="31" spans="1:14" outlineLevel="1" x14ac:dyDescent="0.25">
      <c r="B31" s="10" t="s">
        <v>3</v>
      </c>
      <c r="C31" s="1"/>
      <c r="D31" s="27">
        <f t="shared" si="38"/>
        <v>32210.640000000003</v>
      </c>
      <c r="E31" s="28">
        <f t="shared" ref="E31:K31" si="41">E9*(1+$B$28)</f>
        <v>29272.100000000002</v>
      </c>
      <c r="F31" s="28">
        <f t="shared" si="41"/>
        <v>35878.700000000004</v>
      </c>
      <c r="G31" s="28">
        <f t="shared" si="41"/>
        <v>34007.600000000006</v>
      </c>
      <c r="H31" s="28">
        <f t="shared" si="41"/>
        <v>40244.600000000006</v>
      </c>
      <c r="I31" s="28">
        <f t="shared" si="41"/>
        <v>44120.447249999997</v>
      </c>
      <c r="J31" s="28">
        <f t="shared" si="41"/>
        <v>46988.276321249999</v>
      </c>
      <c r="K31" s="28">
        <f t="shared" si="41"/>
        <v>50042.514282131255</v>
      </c>
      <c r="L31" s="28">
        <f t="shared" ref="L31:M31" si="42">L9*(1+$B$28)</f>
        <v>53295.277710469774</v>
      </c>
      <c r="M31" s="28">
        <f t="shared" si="42"/>
        <v>56759.470761650307</v>
      </c>
    </row>
    <row r="32" spans="1:14" outlineLevel="1" x14ac:dyDescent="0.25">
      <c r="B32" s="1" t="s">
        <v>19</v>
      </c>
      <c r="C32" s="111"/>
      <c r="D32" s="212">
        <f t="shared" si="38"/>
        <v>7893.6</v>
      </c>
      <c r="E32" s="27">
        <f t="shared" ref="E32:K32" si="43">E10*(1+$B$28)</f>
        <v>12431.1</v>
      </c>
      <c r="F32" s="27">
        <f t="shared" si="43"/>
        <v>14766.400000000001</v>
      </c>
      <c r="G32" s="27">
        <f t="shared" si="43"/>
        <v>14248.300000000001</v>
      </c>
      <c r="H32" s="27">
        <f t="shared" si="43"/>
        <v>15449.500000000002</v>
      </c>
      <c r="I32" s="27">
        <f t="shared" si="43"/>
        <v>16684.800000000003</v>
      </c>
      <c r="J32" s="27">
        <f t="shared" si="43"/>
        <v>18019.584000000003</v>
      </c>
      <c r="K32" s="27">
        <f t="shared" si="43"/>
        <v>19461.150720000001</v>
      </c>
      <c r="L32" s="27">
        <f t="shared" ref="L32:M32" si="44">L10*(1+$B$28)</f>
        <v>21018.0427776</v>
      </c>
      <c r="M32" s="27">
        <f t="shared" si="44"/>
        <v>22699.486199808001</v>
      </c>
    </row>
    <row r="33" spans="1:13" outlineLevel="1" x14ac:dyDescent="0.25">
      <c r="B33" s="10" t="s">
        <v>5</v>
      </c>
      <c r="C33" s="1"/>
      <c r="D33" s="27">
        <f t="shared" si="38"/>
        <v>24317.040000000005</v>
      </c>
      <c r="E33" s="28">
        <f t="shared" ref="E33:K33" si="45">E11*(1+$B$28)</f>
        <v>16841</v>
      </c>
      <c r="F33" s="28">
        <f t="shared" si="45"/>
        <v>21112.300000000003</v>
      </c>
      <c r="G33" s="28">
        <f t="shared" si="45"/>
        <v>19759.300000000003</v>
      </c>
      <c r="H33" s="28">
        <f t="shared" si="45"/>
        <v>24795.100000000002</v>
      </c>
      <c r="I33" s="28">
        <f t="shared" si="45"/>
        <v>27435.647249999998</v>
      </c>
      <c r="J33" s="28">
        <f t="shared" si="45"/>
        <v>28968.692321249997</v>
      </c>
      <c r="K33" s="28">
        <f t="shared" si="45"/>
        <v>30581.36356213125</v>
      </c>
      <c r="L33" s="28">
        <f t="shared" ref="L33:M33" si="46">L11*(1+$B$28)</f>
        <v>32277.234932869775</v>
      </c>
      <c r="M33" s="28">
        <f t="shared" si="46"/>
        <v>34059.984561842306</v>
      </c>
    </row>
    <row r="34" spans="1:13" outlineLevel="1" x14ac:dyDescent="0.25">
      <c r="B34" s="1" t="s">
        <v>20</v>
      </c>
      <c r="C34" s="1"/>
      <c r="D34" s="27">
        <f t="shared" si="38"/>
        <v>1717.98</v>
      </c>
      <c r="E34" s="27">
        <f t="shared" ref="E34:K34" si="47">E12*(1+$B$28)</f>
        <v>1812.5800000000002</v>
      </c>
      <c r="F34" s="27">
        <f t="shared" si="47"/>
        <v>1828.9700000000003</v>
      </c>
      <c r="G34" s="27">
        <f t="shared" si="47"/>
        <v>1817.31</v>
      </c>
      <c r="H34" s="27">
        <f t="shared" si="47"/>
        <v>1717.98</v>
      </c>
      <c r="I34" s="27">
        <f t="shared" si="47"/>
        <v>2206.0223624999999</v>
      </c>
      <c r="J34" s="27">
        <f t="shared" si="47"/>
        <v>2349.4138160625002</v>
      </c>
      <c r="K34" s="27">
        <f t="shared" si="47"/>
        <v>2502.1257141065626</v>
      </c>
      <c r="L34" s="27">
        <f t="shared" ref="L34:M34" si="48">L12*(1+$B$28)</f>
        <v>2664.7638855234891</v>
      </c>
      <c r="M34" s="27">
        <f t="shared" si="48"/>
        <v>2837.9735380825155</v>
      </c>
    </row>
    <row r="35" spans="1:13" outlineLevel="1" x14ac:dyDescent="0.25">
      <c r="B35" s="1" t="s">
        <v>7</v>
      </c>
      <c r="C35" s="111"/>
      <c r="D35" s="212">
        <f t="shared" si="38"/>
        <v>52.14</v>
      </c>
      <c r="E35" s="212">
        <f t="shared" ref="E35:K35" si="49">E13*(1+$B$28)</f>
        <v>50.302999999999997</v>
      </c>
      <c r="F35" s="27">
        <f t="shared" si="49"/>
        <v>45.991000000000007</v>
      </c>
      <c r="G35" s="27">
        <f t="shared" si="49"/>
        <v>46.09</v>
      </c>
      <c r="H35" s="27">
        <f t="shared" si="49"/>
        <v>52.14</v>
      </c>
      <c r="I35" s="27">
        <f t="shared" si="49"/>
        <v>55.000000000000007</v>
      </c>
      <c r="J35" s="27">
        <f t="shared" si="49"/>
        <v>55.000000000000007</v>
      </c>
      <c r="K35" s="27">
        <f t="shared" si="49"/>
        <v>55.000000000000007</v>
      </c>
      <c r="L35" s="27">
        <f t="shared" ref="L35:M35" si="50">L13*(1+$B$28)</f>
        <v>55.000000000000007</v>
      </c>
      <c r="M35" s="27">
        <f t="shared" si="50"/>
        <v>55.000000000000007</v>
      </c>
    </row>
    <row r="36" spans="1:13" outlineLevel="1" x14ac:dyDescent="0.25">
      <c r="B36" s="10" t="s">
        <v>8</v>
      </c>
      <c r="C36" s="1"/>
      <c r="D36" s="27">
        <f t="shared" si="38"/>
        <v>22546.920000000002</v>
      </c>
      <c r="E36" s="27">
        <f t="shared" ref="E36:K36" si="51">E14*(1+$B$28)</f>
        <v>14978.117</v>
      </c>
      <c r="F36" s="28">
        <f t="shared" si="51"/>
        <v>19237.339000000004</v>
      </c>
      <c r="G36" s="28">
        <f t="shared" si="51"/>
        <v>17895.900000000001</v>
      </c>
      <c r="H36" s="28">
        <f t="shared" si="51"/>
        <v>24742.959999999999</v>
      </c>
      <c r="I36" s="28">
        <f t="shared" si="51"/>
        <v>25174.624887499998</v>
      </c>
      <c r="J36" s="28">
        <f t="shared" si="51"/>
        <v>26564.278505187496</v>
      </c>
      <c r="K36" s="28">
        <f t="shared" si="51"/>
        <v>28024.237848024688</v>
      </c>
      <c r="L36" s="28">
        <f t="shared" ref="L36:M36" si="52">L14*(1+$B$28)</f>
        <v>29557.471047346287</v>
      </c>
      <c r="M36" s="28">
        <f t="shared" si="52"/>
        <v>31167.011023759791</v>
      </c>
    </row>
    <row r="37" spans="1:13" outlineLevel="1" x14ac:dyDescent="0.25">
      <c r="B37" s="1" t="s">
        <v>9</v>
      </c>
      <c r="C37" s="111"/>
      <c r="D37" s="212">
        <f t="shared" si="38"/>
        <v>4545.75</v>
      </c>
      <c r="E37" s="212">
        <f t="shared" ref="E37:K37" si="53">E15*(1+$B$28)</f>
        <v>7080.59</v>
      </c>
      <c r="F37" s="27">
        <f t="shared" si="53"/>
        <v>6483.18</v>
      </c>
      <c r="G37" s="27">
        <f t="shared" si="53"/>
        <v>6596.8100000000013</v>
      </c>
      <c r="H37" s="27">
        <f t="shared" si="53"/>
        <v>5248.87</v>
      </c>
      <c r="I37" s="27">
        <f t="shared" si="53"/>
        <v>6293.6562218749996</v>
      </c>
      <c r="J37" s="27">
        <f t="shared" si="53"/>
        <v>6641.069626296874</v>
      </c>
      <c r="K37" s="27">
        <f t="shared" si="53"/>
        <v>7006.059462006172</v>
      </c>
      <c r="L37" s="27">
        <f t="shared" ref="L37:M37" si="54">L15*(1+$B$28)</f>
        <v>7389.3677618365718</v>
      </c>
      <c r="M37" s="27">
        <f t="shared" si="54"/>
        <v>7791.7527559399477</v>
      </c>
    </row>
    <row r="38" spans="1:13" ht="15.75" outlineLevel="1" thickBot="1" x14ac:dyDescent="0.3">
      <c r="B38" s="12" t="s">
        <v>10</v>
      </c>
      <c r="C38" s="12"/>
      <c r="D38" s="29">
        <f t="shared" si="38"/>
        <v>18001.170000000002</v>
      </c>
      <c r="E38" s="29">
        <f t="shared" ref="E38:K38" si="55">E16*(1+$B$28)</f>
        <v>7897.527</v>
      </c>
      <c r="F38" s="29">
        <f t="shared" si="55"/>
        <v>12754.159000000003</v>
      </c>
      <c r="G38" s="29">
        <f t="shared" si="55"/>
        <v>11299.09</v>
      </c>
      <c r="H38" s="29">
        <f t="shared" si="55"/>
        <v>19494.09</v>
      </c>
      <c r="I38" s="29">
        <f t="shared" si="55"/>
        <v>18880.968665625001</v>
      </c>
      <c r="J38" s="29">
        <f t="shared" si="55"/>
        <v>19923.208878890622</v>
      </c>
      <c r="K38" s="29">
        <f t="shared" si="55"/>
        <v>21018.178386018513</v>
      </c>
      <c r="L38" s="29">
        <f t="shared" ref="L38:M38" si="56">L16*(1+$B$28)</f>
        <v>22168.103285509715</v>
      </c>
      <c r="M38" s="29">
        <f t="shared" si="56"/>
        <v>23375.258267819841</v>
      </c>
    </row>
    <row r="39" spans="1:13" ht="15.75" thickTop="1" x14ac:dyDescent="0.25"/>
    <row r="41" spans="1:13" x14ac:dyDescent="0.25">
      <c r="A41" t="s">
        <v>0</v>
      </c>
      <c r="B41" s="8" t="str">
        <f>" Scenario Analysis "&amp; "-"&amp;$B$3</f>
        <v xml:space="preserve"> Scenario Analysis -ITC</v>
      </c>
      <c r="C41" s="8"/>
      <c r="D41" s="8"/>
      <c r="E41" s="9"/>
      <c r="F41" s="9"/>
      <c r="G41" s="9"/>
      <c r="H41" s="66"/>
      <c r="I41" s="66"/>
      <c r="J41" s="66"/>
      <c r="K41" s="66"/>
    </row>
    <row r="42" spans="1:13" outlineLevel="1" x14ac:dyDescent="0.25">
      <c r="B42" t="s">
        <v>23</v>
      </c>
      <c r="C42" s="32">
        <f>H7</f>
        <v>75323</v>
      </c>
      <c r="F42" t="s">
        <v>25</v>
      </c>
      <c r="G42" s="32">
        <f>I7</f>
        <v>80218.994999999995</v>
      </c>
    </row>
    <row r="43" spans="1:13" ht="15.75" outlineLevel="1" thickBot="1" x14ac:dyDescent="0.3">
      <c r="B43" t="s">
        <v>24</v>
      </c>
      <c r="C43" s="25">
        <f>H7/G7-1</f>
        <v>0.10881629889152222</v>
      </c>
      <c r="F43" t="s">
        <v>26</v>
      </c>
      <c r="G43" s="32">
        <f>I8</f>
        <v>40109.497499999998</v>
      </c>
    </row>
    <row r="44" spans="1:13" ht="15.75" outlineLevel="1" thickTop="1" x14ac:dyDescent="0.25">
      <c r="B44" t="s">
        <v>22</v>
      </c>
      <c r="C44" s="25">
        <f>H9/G9-1</f>
        <v>0.18340018113598133</v>
      </c>
      <c r="F44" t="s">
        <v>3</v>
      </c>
      <c r="G44" s="33">
        <f>G42-G43</f>
        <v>40109.497499999998</v>
      </c>
    </row>
    <row r="45" spans="1:13" ht="15.75" outlineLevel="1" thickBot="1" x14ac:dyDescent="0.3"/>
    <row r="46" spans="1:13" ht="15.75" outlineLevel="1" x14ac:dyDescent="0.25">
      <c r="B46" s="36" t="s">
        <v>36</v>
      </c>
      <c r="C46" s="36"/>
      <c r="D46" s="41"/>
      <c r="E46" s="41"/>
      <c r="F46" s="41"/>
      <c r="G46" s="41"/>
    </row>
    <row r="47" spans="1:13" ht="15.75" outlineLevel="1" x14ac:dyDescent="0.25">
      <c r="B47" s="35"/>
      <c r="C47" s="35"/>
      <c r="D47" s="42" t="s">
        <v>38</v>
      </c>
      <c r="E47" s="42" t="s">
        <v>33</v>
      </c>
      <c r="F47" s="42" t="s">
        <v>34</v>
      </c>
      <c r="G47" s="42" t="s">
        <v>35</v>
      </c>
    </row>
    <row r="48" spans="1:13" outlineLevel="1" x14ac:dyDescent="0.25">
      <c r="B48" s="38"/>
      <c r="C48" s="38"/>
      <c r="E48" s="45"/>
      <c r="F48" s="45"/>
      <c r="G48" s="45"/>
    </row>
    <row r="49" spans="2:7" outlineLevel="1" x14ac:dyDescent="0.25">
      <c r="B49" s="39" t="s">
        <v>37</v>
      </c>
      <c r="C49" s="39"/>
      <c r="D49" s="37"/>
      <c r="E49" s="37"/>
      <c r="F49" s="37"/>
      <c r="G49" s="37"/>
    </row>
    <row r="50" spans="2:7" outlineLevel="1" x14ac:dyDescent="0.25">
      <c r="B50" s="38"/>
      <c r="C50" s="38" t="s">
        <v>27</v>
      </c>
      <c r="D50" s="31">
        <v>70323</v>
      </c>
      <c r="E50" s="43">
        <v>75323</v>
      </c>
      <c r="F50" s="43">
        <v>70323</v>
      </c>
      <c r="G50" s="43">
        <v>80323</v>
      </c>
    </row>
    <row r="51" spans="2:7" outlineLevel="1" x14ac:dyDescent="0.25">
      <c r="B51" s="38"/>
      <c r="C51" s="38" t="s">
        <v>28</v>
      </c>
      <c r="D51" s="17">
        <v>0.03</v>
      </c>
      <c r="E51" s="44">
        <v>6.2668416077651196E-2</v>
      </c>
      <c r="F51" s="44">
        <v>0.03</v>
      </c>
      <c r="G51" s="44">
        <v>0.1</v>
      </c>
    </row>
    <row r="52" spans="2:7" outlineLevel="1" x14ac:dyDescent="0.25">
      <c r="B52" s="38"/>
      <c r="C52" s="38" t="s">
        <v>29</v>
      </c>
      <c r="D52" s="17">
        <v>0.65</v>
      </c>
      <c r="E52" s="44">
        <v>0.51427850722886803</v>
      </c>
      <c r="F52" s="44">
        <v>0.65</v>
      </c>
      <c r="G52" s="44">
        <v>0.35</v>
      </c>
    </row>
    <row r="53" spans="2:7" outlineLevel="1" x14ac:dyDescent="0.25">
      <c r="B53" s="39" t="s">
        <v>39</v>
      </c>
      <c r="C53" s="39"/>
      <c r="D53" s="37"/>
      <c r="E53" s="37"/>
      <c r="F53" s="37"/>
      <c r="G53" s="37"/>
    </row>
    <row r="54" spans="2:7" outlineLevel="1" x14ac:dyDescent="0.25">
      <c r="B54" s="38"/>
      <c r="C54" s="38" t="s">
        <v>30</v>
      </c>
      <c r="D54" s="31">
        <v>80218.994999999995</v>
      </c>
      <c r="E54" s="31">
        <v>80218.994999999995</v>
      </c>
      <c r="F54" s="31">
        <v>80218.994999999995</v>
      </c>
      <c r="G54" s="31">
        <v>80218.994999999995</v>
      </c>
    </row>
    <row r="55" spans="2:7" outlineLevel="1" x14ac:dyDescent="0.25">
      <c r="B55" s="38"/>
      <c r="C55" s="38" t="s">
        <v>31</v>
      </c>
      <c r="D55" s="31">
        <v>40109.497499999998</v>
      </c>
      <c r="E55" s="31">
        <v>40109.497499999998</v>
      </c>
      <c r="F55" s="31">
        <v>40109.497499999998</v>
      </c>
      <c r="G55" s="31">
        <v>40109.497499999998</v>
      </c>
    </row>
    <row r="56" spans="2:7" ht="15.75" outlineLevel="1" thickBot="1" x14ac:dyDescent="0.3">
      <c r="B56" s="40"/>
      <c r="C56" s="40" t="s">
        <v>32</v>
      </c>
      <c r="D56" s="34">
        <v>40109.497499999998</v>
      </c>
      <c r="E56" s="34">
        <v>40109.497499999998</v>
      </c>
      <c r="F56" s="34">
        <v>40109.497499999998</v>
      </c>
      <c r="G56" s="34">
        <v>40109.497499999998</v>
      </c>
    </row>
    <row r="57" spans="2:7" outlineLevel="1" x14ac:dyDescent="0.25"/>
  </sheetData>
  <scenarios current="1" show="1" sqref="G72:G74">
    <scenario name="Base Scenario" locked="1" count="3" user="salman" comment="Created by salman on 8/22/2025_x000a_Modified by salman on 8/22/2025">
      <inputCells r="C42" val="75323"/>
      <inputCells r="C43" val="0.0626684160776512"/>
      <inputCells r="C44" val="0.514278507228868"/>
    </scenario>
    <scenario name="Worst Scenario" locked="1" count="3" user="salman" comment="Created by salman on 8/22/2025_x000a_Modified by salman on 8/22/2025">
      <inputCells r="C42" val="70323"/>
      <inputCells r="C43" val="0.03"/>
      <inputCells r="C44" val="0.65"/>
    </scenario>
    <scenario name="Best scenario" locked="1" count="3" user="salman" comment="Created by salman on 8/22/2025">
      <inputCells r="C42" val="80323" numFmtId="166"/>
      <inputCells r="C43" val="0.1" numFmtId="10"/>
      <inputCells r="C44" val="0.35" numFmtId="10"/>
    </scenario>
  </scenarios>
  <pageMargins left="0.7" right="0.7" top="0.75" bottom="0.75" header="0.3" footer="0.3"/>
  <ignoredErrors>
    <ignoredError sqref="J21:M2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9E1A-9945-41B1-AB6F-EDADCAE5D084}">
  <dimension ref="A2:M102"/>
  <sheetViews>
    <sheetView showGridLines="0" workbookViewId="0">
      <selection activeCell="C18" sqref="C18"/>
    </sheetView>
  </sheetViews>
  <sheetFormatPr defaultRowHeight="15" outlineLevelRow="1" x14ac:dyDescent="0.25"/>
  <cols>
    <col min="1" max="1" width="1.85546875" customWidth="1"/>
    <col min="2" max="2" width="32.7109375" customWidth="1"/>
    <col min="3" max="3" width="11.7109375" bestFit="1" customWidth="1"/>
    <col min="4" max="4" width="10.7109375" customWidth="1"/>
    <col min="5" max="5" width="11.7109375" bestFit="1" customWidth="1"/>
    <col min="6" max="12" width="10.7109375" customWidth="1"/>
  </cols>
  <sheetData>
    <row r="2" spans="1:13" x14ac:dyDescent="0.25">
      <c r="A2" s="2" t="s">
        <v>18</v>
      </c>
      <c r="B2" s="287" t="str">
        <f>"Historical Financial Statement "&amp; " - "&amp; "ITC"</f>
        <v>Historical Financial Statement  - ITC</v>
      </c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7"/>
    </row>
    <row r="3" spans="1:13" x14ac:dyDescent="0.25">
      <c r="A3" s="2"/>
      <c r="B3" s="58" t="s">
        <v>88</v>
      </c>
      <c r="C3" s="53">
        <f>'Data Sheet'!B16</f>
        <v>42460</v>
      </c>
      <c r="D3" s="53">
        <f>'Data Sheet'!C16</f>
        <v>42825</v>
      </c>
      <c r="E3" s="53">
        <f>'Data Sheet'!D16</f>
        <v>43190</v>
      </c>
      <c r="F3" s="53">
        <f>'Data Sheet'!E16</f>
        <v>43555</v>
      </c>
      <c r="G3" s="53">
        <f>'Data Sheet'!F16</f>
        <v>43921</v>
      </c>
      <c r="H3" s="53">
        <f>'Data Sheet'!G16</f>
        <v>44286</v>
      </c>
      <c r="I3" s="53">
        <f>'Data Sheet'!H16</f>
        <v>44651</v>
      </c>
      <c r="J3" s="53">
        <f>'Data Sheet'!I16</f>
        <v>45016</v>
      </c>
      <c r="K3" s="53">
        <f>'Data Sheet'!J16</f>
        <v>45382</v>
      </c>
      <c r="L3" s="53">
        <f>'Data Sheet'!K16</f>
        <v>45747</v>
      </c>
      <c r="M3" s="53"/>
    </row>
    <row r="4" spans="1:13" s="66" customFormat="1" x14ac:dyDescent="0.25">
      <c r="A4" s="63"/>
      <c r="B4" s="64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</row>
    <row r="5" spans="1:13" x14ac:dyDescent="0.25">
      <c r="A5" s="2" t="e">
        <f>-B5</f>
        <v>#VALUE!</v>
      </c>
      <c r="B5" s="68" t="str">
        <f>"Income Statement" &amp; "-" &amp;"ITC"</f>
        <v>Income Statement-ITC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</row>
    <row r="6" spans="1:13" outlineLevel="1" x14ac:dyDescent="0.25">
      <c r="A6" s="2"/>
      <c r="B6" s="54" t="s">
        <v>52</v>
      </c>
      <c r="C6" s="59">
        <f>IFERROR('Data Sheet'!B17,0)</f>
        <v>39192.1</v>
      </c>
      <c r="D6" s="59">
        <f>IFERROR('Data Sheet'!C17,0)</f>
        <v>42767.6</v>
      </c>
      <c r="E6" s="59">
        <f>IFERROR('Data Sheet'!D17,0)</f>
        <v>43448.94</v>
      </c>
      <c r="F6" s="59">
        <f>IFERROR('Data Sheet'!E17,0)</f>
        <v>48339.58</v>
      </c>
      <c r="G6" s="59">
        <f>IFERROR('Data Sheet'!F17,0)</f>
        <v>49387.7</v>
      </c>
      <c r="H6" s="59">
        <f>IFERROR('Data Sheet'!G17,0)</f>
        <v>49257.45</v>
      </c>
      <c r="I6" s="59">
        <f>IFERROR('Data Sheet'!H17,0)</f>
        <v>60644.54</v>
      </c>
      <c r="J6" s="59">
        <f>IFERROR('Data Sheet'!I17,0)</f>
        <v>70919.03</v>
      </c>
      <c r="K6" s="59">
        <f>IFERROR('Data Sheet'!J17,0)</f>
        <v>67931.94</v>
      </c>
      <c r="L6" s="59">
        <f>IFERROR('Data Sheet'!K17,0)</f>
        <v>75323.34</v>
      </c>
      <c r="M6" s="2"/>
    </row>
    <row r="7" spans="1:13" outlineLevel="1" x14ac:dyDescent="0.25">
      <c r="A7" s="2"/>
      <c r="B7" s="55" t="s">
        <v>89</v>
      </c>
      <c r="C7" s="56" t="s">
        <v>90</v>
      </c>
      <c r="D7" s="57">
        <f>D6/C6-1</f>
        <v>9.1230120355888067E-2</v>
      </c>
      <c r="E7" s="57">
        <f t="shared" ref="E7:L7" si="0">E6/D6-1</f>
        <v>1.5931218960147486E-2</v>
      </c>
      <c r="F7" s="57">
        <f t="shared" si="0"/>
        <v>0.11256062863673999</v>
      </c>
      <c r="G7" s="57">
        <f t="shared" si="0"/>
        <v>2.1682439110972673E-2</v>
      </c>
      <c r="H7" s="57">
        <f t="shared" si="0"/>
        <v>-2.6372963308678443E-3</v>
      </c>
      <c r="I7" s="57">
        <f t="shared" si="0"/>
        <v>0.23117497962237188</v>
      </c>
      <c r="J7" s="57">
        <f t="shared" si="0"/>
        <v>0.1694215175842706</v>
      </c>
      <c r="K7" s="57">
        <f t="shared" si="0"/>
        <v>-4.2119724423754779E-2</v>
      </c>
      <c r="L7" s="57">
        <f t="shared" si="0"/>
        <v>0.10880596078957838</v>
      </c>
      <c r="M7" s="2"/>
    </row>
    <row r="8" spans="1:13" outlineLevel="1" x14ac:dyDescent="0.25"/>
    <row r="9" spans="1:13" outlineLevel="1" x14ac:dyDescent="0.25">
      <c r="B9" t="s">
        <v>2</v>
      </c>
      <c r="C9" s="59">
        <f>IFERROR(SUM('Data Sheet'!B18,'Data Sheet'!B20:B22,-1*'Data Sheet'!B19),0)</f>
        <v>19162.939999999999</v>
      </c>
      <c r="D9" s="59">
        <f>IFERROR(SUM('Data Sheet'!C18,'Data Sheet'!C20:C22,-1*'Data Sheet'!C19),0)</f>
        <v>21949.119999999999</v>
      </c>
      <c r="E9" s="59">
        <f>IFERROR(SUM('Data Sheet'!D18,'Data Sheet'!D20:D22,-1*'Data Sheet'!D19),0)</f>
        <v>21967.5</v>
      </c>
      <c r="F9" s="59">
        <f>IFERROR(SUM('Data Sheet'!E18,'Data Sheet'!E20:E22,-1*'Data Sheet'!E19),0)</f>
        <v>24215.95</v>
      </c>
      <c r="G9" s="59">
        <f>IFERROR(SUM('Data Sheet'!F18,'Data Sheet'!F20:F22,-1*'Data Sheet'!F19),0)</f>
        <v>24330.399999999998</v>
      </c>
      <c r="H9" s="59">
        <f>IFERROR(SUM('Data Sheet'!G18,'Data Sheet'!G20:G22,-1*'Data Sheet'!G19),0)</f>
        <v>26881.51</v>
      </c>
      <c r="I9" s="59">
        <f>IFERROR(SUM('Data Sheet'!H18,'Data Sheet'!H20:H22,-1*'Data Sheet'!H19),0)</f>
        <v>34053.060000000005</v>
      </c>
      <c r="J9" s="59">
        <f>IFERROR(SUM('Data Sheet'!I18,'Data Sheet'!I20:I22,-1*'Data Sheet'!I19),0)</f>
        <v>38302.130000000005</v>
      </c>
      <c r="K9" s="59">
        <f>IFERROR(SUM('Data Sheet'!J18,'Data Sheet'!J20:J22,-1*'Data Sheet'!J19),0)</f>
        <v>35665.990000000005</v>
      </c>
      <c r="L9" s="59">
        <f>IFERROR(SUM('Data Sheet'!K18,'Data Sheet'!K20:K22,-1*'Data Sheet'!K19),0)</f>
        <v>41469.21</v>
      </c>
    </row>
    <row r="10" spans="1:13" outlineLevel="1" x14ac:dyDescent="0.25">
      <c r="B10" s="55" t="s">
        <v>91</v>
      </c>
      <c r="C10" s="57">
        <f>C9/C6</f>
        <v>0.48894904840516329</v>
      </c>
      <c r="D10" s="57">
        <f t="shared" ref="D10:L10" si="1">D9/D6</f>
        <v>0.51321841768067411</v>
      </c>
      <c r="E10" s="57">
        <f t="shared" si="1"/>
        <v>0.50559346211898382</v>
      </c>
      <c r="F10" s="57">
        <f t="shared" si="1"/>
        <v>0.50095491106873502</v>
      </c>
      <c r="G10" s="57">
        <f t="shared" si="1"/>
        <v>0.49264088021916386</v>
      </c>
      <c r="H10" s="57">
        <f t="shared" si="1"/>
        <v>0.54573490913557243</v>
      </c>
      <c r="I10" s="57">
        <f t="shared" si="1"/>
        <v>0.56151897598695621</v>
      </c>
      <c r="J10" s="57">
        <f t="shared" si="1"/>
        <v>0.54008254202010386</v>
      </c>
      <c r="K10" s="57">
        <f t="shared" si="1"/>
        <v>0.52502534154037117</v>
      </c>
      <c r="L10" s="57">
        <f t="shared" si="1"/>
        <v>0.55054927197864567</v>
      </c>
    </row>
    <row r="11" spans="1:13" outlineLevel="1" x14ac:dyDescent="0.25"/>
    <row r="12" spans="1:13" outlineLevel="1" x14ac:dyDescent="0.25">
      <c r="B12" s="76" t="s">
        <v>3</v>
      </c>
      <c r="C12" s="77">
        <f>C6-C9</f>
        <v>20029.16</v>
      </c>
      <c r="D12" s="77">
        <f t="shared" ref="D12:L12" si="2">D6-D9</f>
        <v>20818.48</v>
      </c>
      <c r="E12" s="77">
        <f t="shared" si="2"/>
        <v>21481.440000000002</v>
      </c>
      <c r="F12" s="77">
        <f t="shared" si="2"/>
        <v>24123.63</v>
      </c>
      <c r="G12" s="77">
        <f t="shared" si="2"/>
        <v>25057.3</v>
      </c>
      <c r="H12" s="77">
        <f t="shared" si="2"/>
        <v>22375.94</v>
      </c>
      <c r="I12" s="77">
        <f t="shared" si="2"/>
        <v>26591.479999999996</v>
      </c>
      <c r="J12" s="77">
        <f t="shared" si="2"/>
        <v>32616.899999999994</v>
      </c>
      <c r="K12" s="77">
        <f t="shared" si="2"/>
        <v>32265.949999999997</v>
      </c>
      <c r="L12" s="77">
        <f t="shared" si="2"/>
        <v>33854.129999999997</v>
      </c>
    </row>
    <row r="13" spans="1:13" outlineLevel="1" x14ac:dyDescent="0.25">
      <c r="B13" s="61" t="s">
        <v>22</v>
      </c>
      <c r="C13" s="62">
        <f>C12/C6</f>
        <v>0.51105095159483671</v>
      </c>
      <c r="D13" s="62">
        <f t="shared" ref="D13:L13" si="3">D12/D6</f>
        <v>0.48678158231932583</v>
      </c>
      <c r="E13" s="62">
        <f t="shared" si="3"/>
        <v>0.49440653788101624</v>
      </c>
      <c r="F13" s="62">
        <f t="shared" si="3"/>
        <v>0.49904508893126504</v>
      </c>
      <c r="G13" s="62">
        <f t="shared" si="3"/>
        <v>0.50735911978083614</v>
      </c>
      <c r="H13" s="62">
        <f t="shared" si="3"/>
        <v>0.45426509086442762</v>
      </c>
      <c r="I13" s="62">
        <f t="shared" si="3"/>
        <v>0.43848102401304379</v>
      </c>
      <c r="J13" s="62">
        <f t="shared" si="3"/>
        <v>0.45991745797989614</v>
      </c>
      <c r="K13" s="62">
        <f t="shared" si="3"/>
        <v>0.47497465845962877</v>
      </c>
      <c r="L13" s="62">
        <f t="shared" si="3"/>
        <v>0.44945072802135433</v>
      </c>
    </row>
    <row r="14" spans="1:13" outlineLevel="1" x14ac:dyDescent="0.25"/>
    <row r="15" spans="1:13" outlineLevel="1" x14ac:dyDescent="0.25">
      <c r="B15" t="s">
        <v>19</v>
      </c>
      <c r="C15" s="60">
        <f>IFERROR(SUM('Data Sheet'!B23:B24),0)</f>
        <v>5497.67</v>
      </c>
      <c r="D15" s="60">
        <f>IFERROR(SUM('Data Sheet'!C23:C24),0)</f>
        <v>5348.9699999999993</v>
      </c>
      <c r="E15" s="60">
        <f>IFERROR(SUM('Data Sheet'!D23:D24),0)</f>
        <v>4960.8500000000004</v>
      </c>
      <c r="F15" s="60">
        <f>IFERROR(SUM('Data Sheet'!E23:E24),0)</f>
        <v>5586.24</v>
      </c>
      <c r="G15" s="60">
        <f>IFERROR(SUM('Data Sheet'!F23:F24),0)</f>
        <v>5713.76</v>
      </c>
      <c r="H15" s="60">
        <f>IFERROR(SUM('Data Sheet'!G23:G24),0)</f>
        <v>5311.1600000000008</v>
      </c>
      <c r="I15" s="60">
        <f>IFERROR(SUM('Data Sheet'!H23:H24),0)</f>
        <v>5968.33</v>
      </c>
      <c r="J15" s="60">
        <f>IFERROR(SUM('Data Sheet'!I23:I24),0)</f>
        <v>6912.6399999999994</v>
      </c>
      <c r="K15" s="60">
        <f>IFERROR(SUM('Data Sheet'!J23:J24),0)</f>
        <v>7078.42</v>
      </c>
      <c r="L15" s="60">
        <f>IFERROR(SUM('Data Sheet'!K23:K24),0)</f>
        <v>8014.68</v>
      </c>
    </row>
    <row r="16" spans="1:13" outlineLevel="1" x14ac:dyDescent="0.25">
      <c r="B16" s="61" t="s">
        <v>92</v>
      </c>
      <c r="C16" s="62">
        <f>C15/C6</f>
        <v>0.14027495337070481</v>
      </c>
      <c r="D16" s="62">
        <f t="shared" ref="D16:L16" si="4">D15/D6</f>
        <v>0.12507061420327537</v>
      </c>
      <c r="E16" s="62">
        <f t="shared" si="4"/>
        <v>0.11417654838069698</v>
      </c>
      <c r="F16" s="62">
        <f t="shared" si="4"/>
        <v>0.11556244386070379</v>
      </c>
      <c r="G16" s="62">
        <f t="shared" si="4"/>
        <v>0.11569196378855465</v>
      </c>
      <c r="H16" s="62">
        <f t="shared" si="4"/>
        <v>0.10782450167436604</v>
      </c>
      <c r="I16" s="62">
        <f t="shared" si="4"/>
        <v>9.8414960357519399E-2</v>
      </c>
      <c r="J16" s="62">
        <f t="shared" si="4"/>
        <v>9.7472286352478302E-2</v>
      </c>
      <c r="K16" s="62">
        <f t="shared" si="4"/>
        <v>0.10419870240714456</v>
      </c>
      <c r="L16" s="62">
        <f t="shared" si="4"/>
        <v>0.10640367248717331</v>
      </c>
    </row>
    <row r="17" spans="2:12" outlineLevel="1" x14ac:dyDescent="0.25"/>
    <row r="18" spans="2:12" outlineLevel="1" x14ac:dyDescent="0.25">
      <c r="B18" s="76" t="s">
        <v>5</v>
      </c>
      <c r="C18" s="77">
        <f>C12-C15</f>
        <v>14531.49</v>
      </c>
      <c r="D18" s="77">
        <f t="shared" ref="D18:L18" si="5">D12-D15</f>
        <v>15469.51</v>
      </c>
      <c r="E18" s="77">
        <f t="shared" si="5"/>
        <v>16520.590000000004</v>
      </c>
      <c r="F18" s="77">
        <f t="shared" si="5"/>
        <v>18537.39</v>
      </c>
      <c r="G18" s="77">
        <f t="shared" si="5"/>
        <v>19343.54</v>
      </c>
      <c r="H18" s="77">
        <f t="shared" si="5"/>
        <v>17064.78</v>
      </c>
      <c r="I18" s="77">
        <f t="shared" si="5"/>
        <v>20623.149999999994</v>
      </c>
      <c r="J18" s="77">
        <f t="shared" si="5"/>
        <v>25704.259999999995</v>
      </c>
      <c r="K18" s="77">
        <f t="shared" si="5"/>
        <v>25187.53</v>
      </c>
      <c r="L18" s="77">
        <f t="shared" si="5"/>
        <v>25839.449999999997</v>
      </c>
    </row>
    <row r="19" spans="2:12" outlineLevel="1" x14ac:dyDescent="0.25">
      <c r="B19" s="61" t="s">
        <v>93</v>
      </c>
      <c r="C19" s="62">
        <f>C18/C6</f>
        <v>0.37077599822413193</v>
      </c>
      <c r="D19" s="62">
        <f t="shared" ref="D19:L19" si="6">D18/D6</f>
        <v>0.36171096811605047</v>
      </c>
      <c r="E19" s="62">
        <f t="shared" si="6"/>
        <v>0.38022998950031928</v>
      </c>
      <c r="F19" s="62">
        <f t="shared" si="6"/>
        <v>0.38348264507056118</v>
      </c>
      <c r="G19" s="62">
        <f t="shared" si="6"/>
        <v>0.39166715599228152</v>
      </c>
      <c r="H19" s="62">
        <f t="shared" si="6"/>
        <v>0.3464405891900616</v>
      </c>
      <c r="I19" s="62">
        <f t="shared" si="6"/>
        <v>0.34006606365552439</v>
      </c>
      <c r="J19" s="62">
        <f t="shared" si="6"/>
        <v>0.36244517162741785</v>
      </c>
      <c r="K19" s="62">
        <f t="shared" si="6"/>
        <v>0.37077595605248426</v>
      </c>
      <c r="L19" s="62">
        <f t="shared" si="6"/>
        <v>0.34304705553418102</v>
      </c>
    </row>
    <row r="20" spans="2:12" outlineLevel="1" x14ac:dyDescent="0.25"/>
    <row r="21" spans="2:12" outlineLevel="1" x14ac:dyDescent="0.25">
      <c r="B21" t="s">
        <v>94</v>
      </c>
      <c r="C21" s="60">
        <f>IFERROR('Data Sheet'!B27,0)</f>
        <v>78.13</v>
      </c>
      <c r="D21" s="60">
        <f>IFERROR('Data Sheet'!C27,0)</f>
        <v>49.03</v>
      </c>
      <c r="E21" s="60">
        <f>IFERROR('Data Sheet'!D27,0)</f>
        <v>115.01</v>
      </c>
      <c r="F21" s="60">
        <f>IFERROR('Data Sheet'!E27,0)</f>
        <v>71.400000000000006</v>
      </c>
      <c r="G21" s="60">
        <f>IFERROR('Data Sheet'!F27,0)</f>
        <v>81.38</v>
      </c>
      <c r="H21" s="60">
        <f>IFERROR('Data Sheet'!G27,0)</f>
        <v>57.97</v>
      </c>
      <c r="I21" s="60">
        <f>IFERROR('Data Sheet'!H27,0)</f>
        <v>59.99</v>
      </c>
      <c r="J21" s="60">
        <f>IFERROR('Data Sheet'!I27,0)</f>
        <v>77.77</v>
      </c>
      <c r="K21" s="60">
        <f>IFERROR('Data Sheet'!J27,0)</f>
        <v>39.11</v>
      </c>
      <c r="L21" s="60">
        <f>IFERROR('Data Sheet'!K27,0)</f>
        <v>45.06</v>
      </c>
    </row>
    <row r="22" spans="2:12" outlineLevel="1" x14ac:dyDescent="0.25">
      <c r="B22" s="61" t="s">
        <v>95</v>
      </c>
      <c r="C22" s="62">
        <f>C21/C6</f>
        <v>1.9935139989946953E-3</v>
      </c>
      <c r="D22" s="62">
        <f t="shared" ref="D22:L22" si="7">D21/D6</f>
        <v>1.146428604831695E-3</v>
      </c>
      <c r="E22" s="62">
        <f t="shared" si="7"/>
        <v>2.647015094039118E-3</v>
      </c>
      <c r="F22" s="62">
        <f t="shared" si="7"/>
        <v>1.4770504832685763E-3</v>
      </c>
      <c r="G22" s="62">
        <f t="shared" si="7"/>
        <v>1.647778697934911E-3</v>
      </c>
      <c r="H22" s="62">
        <f t="shared" si="7"/>
        <v>1.1768778123918311E-3</v>
      </c>
      <c r="I22" s="62">
        <f t="shared" si="7"/>
        <v>9.8920694262006107E-4</v>
      </c>
      <c r="J22" s="62">
        <f t="shared" si="7"/>
        <v>1.0966027031108574E-3</v>
      </c>
      <c r="K22" s="62">
        <f t="shared" si="7"/>
        <v>5.7572329010477244E-4</v>
      </c>
      <c r="L22" s="62">
        <f t="shared" si="7"/>
        <v>5.9822094984104534E-4</v>
      </c>
    </row>
    <row r="23" spans="2:12" outlineLevel="1" x14ac:dyDescent="0.25"/>
    <row r="24" spans="2:12" outlineLevel="1" x14ac:dyDescent="0.25">
      <c r="B24" t="s">
        <v>6</v>
      </c>
      <c r="C24" s="60">
        <f>IFERROR('Data Sheet'!B26,0)</f>
        <v>1077.4000000000001</v>
      </c>
      <c r="D24" s="60">
        <f>IFERROR('Data Sheet'!C26,0)</f>
        <v>1152.79</v>
      </c>
      <c r="E24" s="60">
        <f>IFERROR('Data Sheet'!D26,0)</f>
        <v>1236.28</v>
      </c>
      <c r="F24" s="60">
        <f>IFERROR('Data Sheet'!E26,0)</f>
        <v>1396.61</v>
      </c>
      <c r="G24" s="60">
        <f>IFERROR('Data Sheet'!F26,0)</f>
        <v>1644.91</v>
      </c>
      <c r="H24" s="60">
        <f>IFERROR('Data Sheet'!G26,0)</f>
        <v>1645.59</v>
      </c>
      <c r="I24" s="60">
        <f>IFERROR('Data Sheet'!H26,0)</f>
        <v>1732.41</v>
      </c>
      <c r="J24" s="60">
        <f>IFERROR('Data Sheet'!I26,0)</f>
        <v>1809.01</v>
      </c>
      <c r="K24" s="60">
        <f>IFERROR('Data Sheet'!J26,0)</f>
        <v>1518.05</v>
      </c>
      <c r="L24" s="60">
        <f>IFERROR('Data Sheet'!K26,0)</f>
        <v>1646.32</v>
      </c>
    </row>
    <row r="25" spans="2:12" outlineLevel="1" x14ac:dyDescent="0.25">
      <c r="B25" s="62" t="s">
        <v>96</v>
      </c>
      <c r="C25" s="62">
        <f>C24/C6</f>
        <v>2.7490234001240049E-2</v>
      </c>
      <c r="D25" s="62">
        <f t="shared" ref="D25:L25" si="8">D24/D6</f>
        <v>2.6954750792656124E-2</v>
      </c>
      <c r="E25" s="62">
        <f t="shared" si="8"/>
        <v>2.845362855802696E-2</v>
      </c>
      <c r="F25" s="62">
        <f t="shared" si="8"/>
        <v>2.8891645314253867E-2</v>
      </c>
      <c r="G25" s="62">
        <f t="shared" si="8"/>
        <v>3.3306066085280348E-2</v>
      </c>
      <c r="H25" s="62">
        <f t="shared" si="8"/>
        <v>3.3407941336792708E-2</v>
      </c>
      <c r="I25" s="62">
        <f t="shared" si="8"/>
        <v>2.8566627762367396E-2</v>
      </c>
      <c r="J25" s="62">
        <f t="shared" si="8"/>
        <v>2.550810410125463E-2</v>
      </c>
      <c r="K25" s="62">
        <f t="shared" si="8"/>
        <v>2.2346631054552542E-2</v>
      </c>
      <c r="L25" s="62">
        <f t="shared" si="8"/>
        <v>2.1856704707996222E-2</v>
      </c>
    </row>
    <row r="26" spans="2:12" outlineLevel="1" x14ac:dyDescent="0.25"/>
    <row r="27" spans="2:12" outlineLevel="1" x14ac:dyDescent="0.25">
      <c r="B27" s="76" t="s">
        <v>97</v>
      </c>
      <c r="C27" s="77">
        <f>C18-SUM(C24,C21)</f>
        <v>13375.96</v>
      </c>
      <c r="D27" s="77">
        <f t="shared" ref="D27:L27" si="9">D18-SUM(D24,D21)</f>
        <v>14267.69</v>
      </c>
      <c r="E27" s="77">
        <f t="shared" si="9"/>
        <v>15169.300000000003</v>
      </c>
      <c r="F27" s="77">
        <f t="shared" si="9"/>
        <v>17069.38</v>
      </c>
      <c r="G27" s="77">
        <f t="shared" si="9"/>
        <v>17617.25</v>
      </c>
      <c r="H27" s="77">
        <f t="shared" si="9"/>
        <v>15361.22</v>
      </c>
      <c r="I27" s="77">
        <f t="shared" si="9"/>
        <v>18830.749999999993</v>
      </c>
      <c r="J27" s="77">
        <f t="shared" si="9"/>
        <v>23817.479999999996</v>
      </c>
      <c r="K27" s="77">
        <f t="shared" si="9"/>
        <v>23630.37</v>
      </c>
      <c r="L27" s="77">
        <f t="shared" si="9"/>
        <v>24148.069999999996</v>
      </c>
    </row>
    <row r="28" spans="2:12" outlineLevel="1" x14ac:dyDescent="0.25">
      <c r="B28" s="62" t="s">
        <v>98</v>
      </c>
      <c r="C28" s="62">
        <f>C27/C6</f>
        <v>0.34129225022389714</v>
      </c>
      <c r="D28" s="62">
        <f t="shared" ref="D28:L28" si="10">D27/D6</f>
        <v>0.33360978871856267</v>
      </c>
      <c r="E28" s="62">
        <f t="shared" si="10"/>
        <v>0.34912934584825317</v>
      </c>
      <c r="F28" s="62">
        <f t="shared" si="10"/>
        <v>0.3531139492730388</v>
      </c>
      <c r="G28" s="62">
        <f t="shared" si="10"/>
        <v>0.35671331120906624</v>
      </c>
      <c r="H28" s="62">
        <f t="shared" si="10"/>
        <v>0.31185577004087706</v>
      </c>
      <c r="I28" s="62">
        <f t="shared" si="10"/>
        <v>0.31051022895053687</v>
      </c>
      <c r="J28" s="62">
        <f t="shared" si="10"/>
        <v>0.33584046482305235</v>
      </c>
      <c r="K28" s="62">
        <f t="shared" si="10"/>
        <v>0.34785360170782698</v>
      </c>
      <c r="L28" s="62">
        <f t="shared" si="10"/>
        <v>0.32059212987634372</v>
      </c>
    </row>
    <row r="29" spans="2:12" outlineLevel="1" x14ac:dyDescent="0.25"/>
    <row r="30" spans="2:12" outlineLevel="1" x14ac:dyDescent="0.25">
      <c r="B30" t="s">
        <v>99</v>
      </c>
      <c r="C30" s="60">
        <f>IFERROR('Data Sheet'!B29,0)</f>
        <v>5358.21</v>
      </c>
      <c r="D30" s="60">
        <f>IFERROR('Data Sheet'!C29,0)</f>
        <v>5549.09</v>
      </c>
      <c r="E30" s="60">
        <f>IFERROR('Data Sheet'!D29,0)</f>
        <v>5916.43</v>
      </c>
      <c r="F30" s="60">
        <f>IFERROR('Data Sheet'!E29,0)</f>
        <v>6313.92</v>
      </c>
      <c r="G30" s="60">
        <f>IFERROR('Data Sheet'!F29,0)</f>
        <v>4441.79</v>
      </c>
      <c r="H30" s="60">
        <f>IFERROR('Data Sheet'!G29,0)</f>
        <v>4555.29</v>
      </c>
      <c r="I30" s="60">
        <f>IFERROR('Data Sheet'!H29,0)</f>
        <v>5237.34</v>
      </c>
      <c r="J30" s="60">
        <f>IFERROR('Data Sheet'!I29,0)</f>
        <v>6438.4</v>
      </c>
      <c r="K30" s="60">
        <f>IFERROR('Data Sheet'!J29,0)</f>
        <v>6209.46</v>
      </c>
      <c r="L30" s="60">
        <f>IFERROR('Data Sheet'!K29,0)</f>
        <v>6890.47</v>
      </c>
    </row>
    <row r="31" spans="2:12" outlineLevel="1" x14ac:dyDescent="0.25">
      <c r="B31" s="62" t="s">
        <v>108</v>
      </c>
      <c r="C31" s="62">
        <f>C30/C27</f>
        <v>0.40058507950083588</v>
      </c>
      <c r="D31" s="62">
        <f t="shared" ref="D31:L31" si="11">D30/D6</f>
        <v>0.12974985736866226</v>
      </c>
      <c r="E31" s="62">
        <f t="shared" si="11"/>
        <v>0.13616972013586523</v>
      </c>
      <c r="F31" s="62">
        <f t="shared" si="11"/>
        <v>0.13061594660110823</v>
      </c>
      <c r="G31" s="62">
        <f t="shared" si="11"/>
        <v>8.9937170591058102E-2</v>
      </c>
      <c r="H31" s="62">
        <f t="shared" si="11"/>
        <v>9.2479208728831891E-2</v>
      </c>
      <c r="I31" s="62">
        <f t="shared" si="11"/>
        <v>8.636127836075598E-2</v>
      </c>
      <c r="J31" s="62">
        <f t="shared" si="11"/>
        <v>9.0785223655766301E-2</v>
      </c>
      <c r="K31" s="62">
        <f t="shared" si="11"/>
        <v>9.1407075964560991E-2</v>
      </c>
      <c r="L31" s="62">
        <f t="shared" si="11"/>
        <v>9.1478551004243847E-2</v>
      </c>
    </row>
    <row r="32" spans="2:12" outlineLevel="1" x14ac:dyDescent="0.25"/>
    <row r="33" spans="1:13" outlineLevel="1" x14ac:dyDescent="0.25">
      <c r="B33" s="76" t="s">
        <v>100</v>
      </c>
      <c r="C33" s="77">
        <f>IFERROR(C27-C30,0)</f>
        <v>8017.7499999999991</v>
      </c>
      <c r="D33" s="77">
        <f t="shared" ref="D33:L33" si="12">IFERROR(D27-D30,0)</f>
        <v>8718.6</v>
      </c>
      <c r="E33" s="77">
        <f t="shared" si="12"/>
        <v>9252.8700000000026</v>
      </c>
      <c r="F33" s="77">
        <f t="shared" si="12"/>
        <v>10755.460000000001</v>
      </c>
      <c r="G33" s="77">
        <f t="shared" si="12"/>
        <v>13175.46</v>
      </c>
      <c r="H33" s="77">
        <f t="shared" si="12"/>
        <v>10805.93</v>
      </c>
      <c r="I33" s="77">
        <f t="shared" si="12"/>
        <v>13593.409999999993</v>
      </c>
      <c r="J33" s="77">
        <f t="shared" si="12"/>
        <v>17379.079999999994</v>
      </c>
      <c r="K33" s="77">
        <f t="shared" si="12"/>
        <v>17420.91</v>
      </c>
      <c r="L33" s="77">
        <f t="shared" si="12"/>
        <v>17257.599999999995</v>
      </c>
    </row>
    <row r="34" spans="1:13" outlineLevel="1" x14ac:dyDescent="0.25">
      <c r="B34" s="62" t="s">
        <v>101</v>
      </c>
      <c r="C34" s="62">
        <f>C33/C6</f>
        <v>0.20457566703493815</v>
      </c>
      <c r="D34" s="62">
        <f t="shared" ref="D34:L34" si="13">D33/D6</f>
        <v>0.20385993134990041</v>
      </c>
      <c r="E34" s="62">
        <f t="shared" si="13"/>
        <v>0.21295962571238797</v>
      </c>
      <c r="F34" s="62">
        <f t="shared" si="13"/>
        <v>0.22249800267193054</v>
      </c>
      <c r="G34" s="62">
        <f t="shared" si="13"/>
        <v>0.26677614061800814</v>
      </c>
      <c r="H34" s="62">
        <f t="shared" si="13"/>
        <v>0.21937656131204519</v>
      </c>
      <c r="I34" s="62">
        <f t="shared" si="13"/>
        <v>0.2241489505897809</v>
      </c>
      <c r="J34" s="62">
        <f t="shared" si="13"/>
        <v>0.24505524116728605</v>
      </c>
      <c r="K34" s="62">
        <f t="shared" si="13"/>
        <v>0.25644652574326599</v>
      </c>
      <c r="L34" s="62">
        <f t="shared" si="13"/>
        <v>0.22911357887209988</v>
      </c>
    </row>
    <row r="35" spans="1:13" outlineLevel="1" x14ac:dyDescent="0.25"/>
    <row r="36" spans="1:13" outlineLevel="1" x14ac:dyDescent="0.25">
      <c r="B36" t="s">
        <v>102</v>
      </c>
      <c r="C36">
        <f>IFERROR('Data Sheet'!B115,0)</f>
        <v>1207.08</v>
      </c>
      <c r="D36">
        <f>IFERROR('Data Sheet'!C115,0)</f>
        <v>1214.74</v>
      </c>
      <c r="E36">
        <f>IFERROR('Data Sheet'!D115,0)</f>
        <v>1220.43</v>
      </c>
      <c r="F36">
        <f>IFERROR('Data Sheet'!E115,0)</f>
        <v>1225.8599999999999</v>
      </c>
      <c r="G36">
        <f>IFERROR('Data Sheet'!F115,0)</f>
        <v>1229.22</v>
      </c>
      <c r="H36">
        <f>IFERROR('Data Sheet'!G115,0)</f>
        <v>1230.8800000000001</v>
      </c>
      <c r="I36">
        <f>IFERROR('Data Sheet'!H115,0)</f>
        <v>1232.33</v>
      </c>
      <c r="J36">
        <f>IFERROR('Data Sheet'!I115,0)</f>
        <v>1242.8</v>
      </c>
      <c r="K36">
        <f>IFERROR('Data Sheet'!J115,0)</f>
        <v>1248.47</v>
      </c>
      <c r="L36">
        <f>IFERROR('Data Sheet'!K115,0)</f>
        <v>1251.4100000000001</v>
      </c>
    </row>
    <row r="37" spans="1:13" outlineLevel="1" x14ac:dyDescent="0.25"/>
    <row r="38" spans="1:13" outlineLevel="1" x14ac:dyDescent="0.25">
      <c r="B38" t="s">
        <v>103</v>
      </c>
      <c r="C38" s="60">
        <f>IFERROR(C33/C36,0)</f>
        <v>6.6422689465486959</v>
      </c>
      <c r="D38" s="60">
        <f t="shared" ref="D38:L38" si="14">IFERROR(D33/D36,0)</f>
        <v>7.1773383604722003</v>
      </c>
      <c r="E38" s="60">
        <f t="shared" si="14"/>
        <v>7.5816474521275303</v>
      </c>
      <c r="F38" s="60">
        <f t="shared" si="14"/>
        <v>8.7738077757655866</v>
      </c>
      <c r="G38" s="60">
        <f t="shared" si="14"/>
        <v>10.718553228876848</v>
      </c>
      <c r="H38" s="60">
        <f t="shared" si="14"/>
        <v>8.7790280124788769</v>
      </c>
      <c r="I38" s="60">
        <f t="shared" si="14"/>
        <v>11.030657372619341</v>
      </c>
      <c r="J38" s="60">
        <f t="shared" si="14"/>
        <v>13.983810749919533</v>
      </c>
      <c r="K38" s="60">
        <f t="shared" si="14"/>
        <v>13.953807460331445</v>
      </c>
      <c r="L38" s="60">
        <f t="shared" si="14"/>
        <v>13.790524288602452</v>
      </c>
    </row>
    <row r="39" spans="1:13" outlineLevel="1" x14ac:dyDescent="0.25">
      <c r="B39" s="62" t="s">
        <v>104</v>
      </c>
      <c r="C39" t="s">
        <v>90</v>
      </c>
      <c r="D39" s="62">
        <f>D38/C38-1</f>
        <v>8.0555216632943516E-2</v>
      </c>
      <c r="E39" s="62">
        <f t="shared" ref="E39:L39" si="15">E38/D38-1</f>
        <v>5.633134058190481E-2</v>
      </c>
      <c r="F39" s="62">
        <f t="shared" si="15"/>
        <v>0.15724291206702268</v>
      </c>
      <c r="G39" s="62">
        <f t="shared" si="15"/>
        <v>0.22165352864042731</v>
      </c>
      <c r="H39" s="62">
        <f t="shared" si="15"/>
        <v>-0.18095028078721465</v>
      </c>
      <c r="I39" s="62">
        <f t="shared" si="15"/>
        <v>0.25647820657821163</v>
      </c>
      <c r="J39" s="62">
        <f t="shared" si="15"/>
        <v>0.26772233762156428</v>
      </c>
      <c r="K39" s="62">
        <f t="shared" si="15"/>
        <v>-2.1455732006571138E-3</v>
      </c>
      <c r="L39" s="62">
        <f t="shared" si="15"/>
        <v>-1.1701693046373363E-2</v>
      </c>
    </row>
    <row r="40" spans="1:13" outlineLevel="1" x14ac:dyDescent="0.25"/>
    <row r="41" spans="1:13" outlineLevel="1" x14ac:dyDescent="0.25">
      <c r="B41" t="s">
        <v>105</v>
      </c>
      <c r="C41" s="60">
        <f>IFERROR('Data Sheet'!B31/'Financials Statements'!C36,0)</f>
        <v>5.666666666666667</v>
      </c>
      <c r="D41" s="60">
        <f>IFERROR('Data Sheet'!C31/'Financials Statements'!D36,0)</f>
        <v>4.7500041161071511</v>
      </c>
      <c r="E41" s="60">
        <f>IFERROR('Data Sheet'!D31/'Financials Statements'!E36,0)</f>
        <v>5.1499963127750057</v>
      </c>
      <c r="F41" s="60">
        <f>IFERROR('Data Sheet'!E31/'Financials Statements'!F36,0)</f>
        <v>5.7500040787691908</v>
      </c>
      <c r="G41" s="60">
        <f>IFERROR('Data Sheet'!F31/'Financials Statements'!G36,0)</f>
        <v>10.149997559427929</v>
      </c>
      <c r="H41" s="60">
        <f>IFERROR('Data Sheet'!G31/'Financials Statements'!H36,0)</f>
        <v>10.749999999999998</v>
      </c>
      <c r="I41" s="60">
        <f>IFERROR('Data Sheet'!H31/'Financials Statements'!I36,0)</f>
        <v>11.500004057354767</v>
      </c>
      <c r="J41" s="60">
        <f>IFERROR('Data Sheet'!I31/'Financials Statements'!J36,0)</f>
        <v>15.500000000000002</v>
      </c>
      <c r="K41" s="60">
        <f>IFERROR('Data Sheet'!J31/'Financials Statements'!K36,0)</f>
        <v>13.749997997548999</v>
      </c>
      <c r="L41" s="60">
        <f>IFERROR('Data Sheet'!K31/'Financials Statements'!L36,0)</f>
        <v>14.349997203154841</v>
      </c>
    </row>
    <row r="42" spans="1:13" outlineLevel="1" x14ac:dyDescent="0.25">
      <c r="B42" s="62" t="s">
        <v>106</v>
      </c>
      <c r="C42" s="62">
        <f>IFERROR(C41/C38,0)</f>
        <v>0.85312213526238667</v>
      </c>
      <c r="D42" s="62">
        <f t="shared" ref="D42:L42" si="16">IFERROR(D41/D38,0)</f>
        <v>0.66180579450829269</v>
      </c>
      <c r="E42" s="62">
        <f t="shared" si="16"/>
        <v>0.67927140443991962</v>
      </c>
      <c r="F42" s="62">
        <f t="shared" si="16"/>
        <v>0.65536016125763097</v>
      </c>
      <c r="G42" s="62">
        <f t="shared" si="16"/>
        <v>0.94695593170940517</v>
      </c>
      <c r="H42" s="62">
        <f t="shared" si="16"/>
        <v>1.2245091352618422</v>
      </c>
      <c r="I42" s="62">
        <f t="shared" si="16"/>
        <v>1.0425492941064831</v>
      </c>
      <c r="J42" s="62">
        <f t="shared" si="16"/>
        <v>1.108424611659536</v>
      </c>
      <c r="K42" s="62">
        <f t="shared" si="16"/>
        <v>0.98539398917737353</v>
      </c>
      <c r="L42" s="62">
        <f t="shared" si="16"/>
        <v>1.040569372334508</v>
      </c>
    </row>
    <row r="43" spans="1:13" outlineLevel="1" x14ac:dyDescent="0.25"/>
    <row r="44" spans="1:13" outlineLevel="1" x14ac:dyDescent="0.25">
      <c r="B44" t="s">
        <v>107</v>
      </c>
      <c r="C44" s="25">
        <f>IFERROR(IF(C38&gt;C41,1-C42,0),0)</f>
        <v>0.14687786473761333</v>
      </c>
      <c r="D44" s="25">
        <f t="shared" ref="D44:L44" si="17">IFERROR(1-D42,0)</f>
        <v>0.33819420549170731</v>
      </c>
      <c r="E44" s="25">
        <f t="shared" si="17"/>
        <v>0.32072859556008038</v>
      </c>
      <c r="F44" s="25">
        <f t="shared" si="17"/>
        <v>0.34463983874236903</v>
      </c>
      <c r="G44" s="25">
        <f t="shared" si="17"/>
        <v>5.3044068290594826E-2</v>
      </c>
      <c r="H44" s="25">
        <f t="shared" si="17"/>
        <v>-0.22450913526184224</v>
      </c>
      <c r="I44" s="25">
        <f t="shared" si="17"/>
        <v>-4.2549294106483115E-2</v>
      </c>
      <c r="J44" s="25">
        <f t="shared" si="17"/>
        <v>-0.10842461165953599</v>
      </c>
      <c r="K44" s="25">
        <f t="shared" si="17"/>
        <v>1.460601082262647E-2</v>
      </c>
      <c r="L44" s="25">
        <f t="shared" si="17"/>
        <v>-4.0569372334507969E-2</v>
      </c>
    </row>
    <row r="46" spans="1:13" x14ac:dyDescent="0.25">
      <c r="A46" t="s">
        <v>0</v>
      </c>
      <c r="B46" s="68" t="str">
        <f>"Balance Sheet" &amp; "-" &amp;"ITC"</f>
        <v>Balance Sheet-ITC</v>
      </c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</row>
    <row r="47" spans="1:13" outlineLevel="1" x14ac:dyDescent="0.25">
      <c r="B47" t="s">
        <v>69</v>
      </c>
      <c r="C47" s="60">
        <f>IFERROR('Data Sheet'!B57,0)</f>
        <v>804.72</v>
      </c>
      <c r="D47" s="60">
        <f>IFERROR('Data Sheet'!C57,0)</f>
        <v>1214.74</v>
      </c>
      <c r="E47" s="60">
        <f>IFERROR('Data Sheet'!D57,0)</f>
        <v>1220.43</v>
      </c>
      <c r="F47" s="60">
        <f>IFERROR('Data Sheet'!E57,0)</f>
        <v>1225.8599999999999</v>
      </c>
      <c r="G47" s="60">
        <f>IFERROR('Data Sheet'!F57,0)</f>
        <v>1229.22</v>
      </c>
      <c r="H47" s="60">
        <f>IFERROR('Data Sheet'!G57,0)</f>
        <v>1230.8800000000001</v>
      </c>
      <c r="I47" s="60">
        <f>IFERROR('Data Sheet'!H57,0)</f>
        <v>1232.33</v>
      </c>
      <c r="J47" s="60">
        <f>IFERROR('Data Sheet'!I57,0)</f>
        <v>1242.8</v>
      </c>
      <c r="K47" s="60">
        <f>IFERROR('Data Sheet'!J57,0)</f>
        <v>1248.47</v>
      </c>
      <c r="L47" s="60">
        <f>IFERROR('Data Sheet'!K57,0)</f>
        <v>1251.4100000000001</v>
      </c>
    </row>
    <row r="48" spans="1:13" outlineLevel="1" x14ac:dyDescent="0.25">
      <c r="B48" t="s">
        <v>70</v>
      </c>
      <c r="C48" s="60">
        <f>IFERROR('Data Sheet'!B58,0)</f>
        <v>41874.800000000003</v>
      </c>
      <c r="D48" s="60">
        <f>IFERROR('Data Sheet'!C58,0)</f>
        <v>45198.19</v>
      </c>
      <c r="E48" s="60">
        <f>IFERROR('Data Sheet'!D58,0)</f>
        <v>51289.68</v>
      </c>
      <c r="F48" s="60">
        <f>IFERROR('Data Sheet'!E58,0)</f>
        <v>57915.01</v>
      </c>
      <c r="G48" s="60">
        <f>IFERROR('Data Sheet'!F58,0)</f>
        <v>64044.04</v>
      </c>
      <c r="H48" s="60">
        <f>IFERROR('Data Sheet'!G58,0)</f>
        <v>59116.46</v>
      </c>
      <c r="I48" s="60">
        <f>IFERROR('Data Sheet'!H58,0)</f>
        <v>61223.24</v>
      </c>
      <c r="J48" s="60">
        <f>IFERROR('Data Sheet'!I58,0)</f>
        <v>67912.460000000006</v>
      </c>
      <c r="K48" s="60">
        <f>IFERROR('Data Sheet'!J58,0)</f>
        <v>73258.53</v>
      </c>
      <c r="L48" s="60">
        <f>IFERROR('Data Sheet'!K58,0)</f>
        <v>68778.64</v>
      </c>
    </row>
    <row r="49" spans="2:12" outlineLevel="1" x14ac:dyDescent="0.25">
      <c r="B49" t="s">
        <v>71</v>
      </c>
      <c r="C49" s="60">
        <f>IFERROR('Data Sheet'!B59,0)</f>
        <v>83.78</v>
      </c>
      <c r="D49" s="60">
        <f>IFERROR('Data Sheet'!C59,0)</f>
        <v>45.72</v>
      </c>
      <c r="E49" s="60">
        <f>IFERROR('Data Sheet'!D59,0)</f>
        <v>35.92</v>
      </c>
      <c r="F49" s="60">
        <f>IFERROR('Data Sheet'!E59,0)</f>
        <v>13.44</v>
      </c>
      <c r="G49" s="60">
        <f>IFERROR('Data Sheet'!F59,0)</f>
        <v>277.45</v>
      </c>
      <c r="H49" s="60">
        <f>IFERROR('Data Sheet'!G59,0)</f>
        <v>270.83</v>
      </c>
      <c r="I49" s="60">
        <f>IFERROR('Data Sheet'!H59,0)</f>
        <v>249.44</v>
      </c>
      <c r="J49" s="60">
        <f>IFERROR('Data Sheet'!I59,0)</f>
        <v>306.04000000000002</v>
      </c>
      <c r="K49" s="60">
        <f>IFERROR('Data Sheet'!J59,0)</f>
        <v>303.43</v>
      </c>
      <c r="L49" s="60">
        <f>IFERROR('Data Sheet'!K59,0)</f>
        <v>284.54000000000002</v>
      </c>
    </row>
    <row r="50" spans="2:12" outlineLevel="1" x14ac:dyDescent="0.25">
      <c r="B50" t="s">
        <v>72</v>
      </c>
      <c r="C50" s="60">
        <f>IFERROR('Data Sheet'!B60,0)</f>
        <v>8888.0400000000009</v>
      </c>
      <c r="D50" s="60">
        <f>IFERROR('Data Sheet'!C60,0)</f>
        <v>9439.67</v>
      </c>
      <c r="E50" s="60">
        <f>IFERROR('Data Sheet'!D60,0)</f>
        <v>11694.85</v>
      </c>
      <c r="F50" s="60">
        <f>IFERROR('Data Sheet'!E60,0)</f>
        <v>12584.73</v>
      </c>
      <c r="G50" s="60">
        <f>IFERROR('Data Sheet'!F60,0)</f>
        <v>11760.04</v>
      </c>
      <c r="H50" s="60">
        <f>IFERROR('Data Sheet'!G60,0)</f>
        <v>13142.59</v>
      </c>
      <c r="I50" s="60">
        <f>IFERROR('Data Sheet'!H60,0)</f>
        <v>14491.01</v>
      </c>
      <c r="J50" s="60">
        <f>IFERROR('Data Sheet'!I60,0)</f>
        <v>16369.66</v>
      </c>
      <c r="K50" s="60">
        <f>IFERROR('Data Sheet'!J60,0)</f>
        <v>16943.54</v>
      </c>
      <c r="L50" s="60">
        <f>IFERROR('Data Sheet'!K60,0)</f>
        <v>17688.11</v>
      </c>
    </row>
    <row r="51" spans="2:12" outlineLevel="1" x14ac:dyDescent="0.25">
      <c r="B51" s="76" t="s">
        <v>109</v>
      </c>
      <c r="C51" s="77">
        <f>IFERROR('Data Sheet'!B61,0)</f>
        <v>51651.34</v>
      </c>
      <c r="D51" s="77">
        <f>IFERROR('Data Sheet'!C61,0)</f>
        <v>55898.32</v>
      </c>
      <c r="E51" s="77">
        <f>IFERROR('Data Sheet'!D61,0)</f>
        <v>64240.88</v>
      </c>
      <c r="F51" s="77">
        <f>IFERROR('Data Sheet'!E61,0)</f>
        <v>71739.039999999994</v>
      </c>
      <c r="G51" s="77">
        <f>IFERROR('Data Sheet'!F61,0)</f>
        <v>77310.75</v>
      </c>
      <c r="H51" s="77">
        <f>IFERROR('Data Sheet'!G61,0)</f>
        <v>73760.759999999995</v>
      </c>
      <c r="I51" s="77">
        <f>IFERROR('Data Sheet'!H61,0)</f>
        <v>77196.02</v>
      </c>
      <c r="J51" s="77">
        <f>IFERROR('Data Sheet'!I61,0)</f>
        <v>85830.96</v>
      </c>
      <c r="K51" s="77">
        <f>IFERROR('Data Sheet'!J61,0)</f>
        <v>91753.97</v>
      </c>
      <c r="L51" s="77">
        <f>IFERROR('Data Sheet'!K61,0)</f>
        <v>88002.7</v>
      </c>
    </row>
    <row r="52" spans="2:12" outlineLevel="1" x14ac:dyDescent="0.25">
      <c r="B52" s="1"/>
    </row>
    <row r="53" spans="2:12" outlineLevel="1" x14ac:dyDescent="0.25">
      <c r="B53" t="s">
        <v>74</v>
      </c>
      <c r="C53" s="60">
        <f>IFERROR('Data Sheet'!B62,0)</f>
        <v>15106.63</v>
      </c>
      <c r="D53" s="60">
        <f>IFERROR('Data Sheet'!C62,0)</f>
        <v>15893.48</v>
      </c>
      <c r="E53" s="60">
        <f>IFERROR('Data Sheet'!D62,0)</f>
        <v>16523.96</v>
      </c>
      <c r="F53" s="60">
        <f>IFERROR('Data Sheet'!E62,0)</f>
        <v>19374.189999999999</v>
      </c>
      <c r="G53" s="60">
        <f>IFERROR('Data Sheet'!F62,0)</f>
        <v>21713.34</v>
      </c>
      <c r="H53" s="60">
        <f>IFERROR('Data Sheet'!G62,0)</f>
        <v>23298.48</v>
      </c>
      <c r="I53" s="60">
        <f>IFERROR('Data Sheet'!H62,0)</f>
        <v>24231.59</v>
      </c>
      <c r="J53" s="60">
        <f>IFERROR('Data Sheet'!I62,0)</f>
        <v>25851.27</v>
      </c>
      <c r="K53" s="60">
        <f>IFERROR('Data Sheet'!J62,0)</f>
        <v>27820.22</v>
      </c>
      <c r="L53" s="60">
        <f>IFERROR('Data Sheet'!K62,0)</f>
        <v>21954.85</v>
      </c>
    </row>
    <row r="54" spans="2:12" outlineLevel="1" x14ac:dyDescent="0.25">
      <c r="B54" t="s">
        <v>75</v>
      </c>
      <c r="C54" s="60">
        <f>IFERROR('Data Sheet'!B63,0)</f>
        <v>2559.7199999999998</v>
      </c>
      <c r="D54" s="60">
        <f>IFERROR('Data Sheet'!C63,0)</f>
        <v>3729.89</v>
      </c>
      <c r="E54" s="60">
        <f>IFERROR('Data Sheet'!D63,0)</f>
        <v>5508.33</v>
      </c>
      <c r="F54" s="60">
        <f>IFERROR('Data Sheet'!E63,0)</f>
        <v>4136.42</v>
      </c>
      <c r="G54" s="60">
        <f>IFERROR('Data Sheet'!F63,0)</f>
        <v>3256.46</v>
      </c>
      <c r="H54" s="60">
        <f>IFERROR('Data Sheet'!G63,0)</f>
        <v>4011.29</v>
      </c>
      <c r="I54" s="60">
        <f>IFERROR('Data Sheet'!H63,0)</f>
        <v>3225.54</v>
      </c>
      <c r="J54" s="60">
        <f>IFERROR('Data Sheet'!I63,0)</f>
        <v>3003.3</v>
      </c>
      <c r="K54" s="60">
        <f>IFERROR('Data Sheet'!J63,0)</f>
        <v>2860.78</v>
      </c>
      <c r="L54" s="60">
        <f>IFERROR('Data Sheet'!K63,0)</f>
        <v>1090.9100000000001</v>
      </c>
    </row>
    <row r="55" spans="2:12" outlineLevel="1" x14ac:dyDescent="0.25">
      <c r="B55" t="s">
        <v>76</v>
      </c>
      <c r="C55" s="60">
        <f>IFERROR('Data Sheet'!B64,0)</f>
        <v>11747.59</v>
      </c>
      <c r="D55" s="60">
        <f>IFERROR('Data Sheet'!C64,0)</f>
        <v>17581.38</v>
      </c>
      <c r="E55" s="60">
        <f>IFERROR('Data Sheet'!D64,0)</f>
        <v>22052.86</v>
      </c>
      <c r="F55" s="60">
        <f>IFERROR('Data Sheet'!E64,0)</f>
        <v>25043.49</v>
      </c>
      <c r="G55" s="60">
        <f>IFERROR('Data Sheet'!F64,0)</f>
        <v>28663.35</v>
      </c>
      <c r="H55" s="60">
        <f>IFERROR('Data Sheet'!G64,0)</f>
        <v>24870.87</v>
      </c>
      <c r="I55" s="60">
        <f>IFERROR('Data Sheet'!H64,0)</f>
        <v>24841.01</v>
      </c>
      <c r="J55" s="60">
        <f>IFERROR('Data Sheet'!I64,0)</f>
        <v>29415.02</v>
      </c>
      <c r="K55" s="60">
        <f>IFERROR('Data Sheet'!J64,0)</f>
        <v>31114.02</v>
      </c>
      <c r="L55" s="60">
        <f>IFERROR('Data Sheet'!K64,0)</f>
        <v>34719.82</v>
      </c>
    </row>
    <row r="56" spans="2:12" outlineLevel="1" x14ac:dyDescent="0.25">
      <c r="B56" t="s">
        <v>77</v>
      </c>
      <c r="C56" s="60">
        <f>IFERROR('Data Sheet'!B65-SUM('Data Sheet'!B67:B69),0)</f>
        <v>5194.82</v>
      </c>
      <c r="D56" s="60">
        <f>IFERROR('Data Sheet'!C65-SUM('Data Sheet'!C67:C69),0)</f>
        <v>5135.7800000000007</v>
      </c>
      <c r="E56" s="60">
        <f>IFERROR('Data Sheet'!D65-SUM('Data Sheet'!D67:D69),0)</f>
        <v>7078.7499999999982</v>
      </c>
      <c r="F56" s="60">
        <f>IFERROR('Data Sheet'!E65-SUM('Data Sheet'!E67:E69),0)</f>
        <v>7138.07</v>
      </c>
      <c r="G56" s="60">
        <f>IFERROR('Data Sheet'!F65-SUM('Data Sheet'!F67:F69),0)</f>
        <v>4958.4499999999971</v>
      </c>
      <c r="H56" s="60">
        <f>IFERROR('Data Sheet'!G65-SUM('Data Sheet'!G67:G69),0)</f>
        <v>4022.239999999998</v>
      </c>
      <c r="I56" s="60">
        <f>IFERROR('Data Sheet'!H65-SUM('Data Sheet'!H67:H69),0)</f>
        <v>6917.41</v>
      </c>
      <c r="J56" s="60">
        <f>IFERROR('Data Sheet'!I65-SUM('Data Sheet'!I67:I69),0)</f>
        <v>7953.8499999999985</v>
      </c>
      <c r="K56" s="60">
        <f>IFERROR('Data Sheet'!J65-SUM('Data Sheet'!J67:J69),0)</f>
        <v>4562.57</v>
      </c>
      <c r="L56" s="60">
        <f>IFERROR('Data Sheet'!K65-SUM('Data Sheet'!K67:K69),0)</f>
        <v>5867.5299999999988</v>
      </c>
    </row>
    <row r="57" spans="2:12" outlineLevel="1" x14ac:dyDescent="0.25">
      <c r="B57" s="76" t="s">
        <v>110</v>
      </c>
      <c r="C57" s="77">
        <f>SUM(C53:C56)</f>
        <v>34608.759999999995</v>
      </c>
      <c r="D57" s="77">
        <f t="shared" ref="D57:L57" si="18">SUM(D53:D56)</f>
        <v>42340.53</v>
      </c>
      <c r="E57" s="77">
        <f t="shared" si="18"/>
        <v>51163.9</v>
      </c>
      <c r="F57" s="77">
        <f t="shared" si="18"/>
        <v>55692.170000000006</v>
      </c>
      <c r="G57" s="77">
        <f t="shared" si="18"/>
        <v>58591.599999999991</v>
      </c>
      <c r="H57" s="77">
        <f t="shared" si="18"/>
        <v>56202.879999999997</v>
      </c>
      <c r="I57" s="77">
        <f t="shared" si="18"/>
        <v>59215.55</v>
      </c>
      <c r="J57" s="77">
        <f t="shared" si="18"/>
        <v>66223.44</v>
      </c>
      <c r="K57" s="77">
        <f t="shared" si="18"/>
        <v>66357.59</v>
      </c>
      <c r="L57" s="77">
        <f t="shared" si="18"/>
        <v>63633.11</v>
      </c>
    </row>
    <row r="58" spans="2:12" outlineLevel="1" x14ac:dyDescent="0.25"/>
    <row r="59" spans="2:12" outlineLevel="1" x14ac:dyDescent="0.25">
      <c r="B59" t="s">
        <v>78</v>
      </c>
      <c r="C59" s="60">
        <f>IFERROR('Data Sheet'!B67,0)</f>
        <v>1917.18</v>
      </c>
      <c r="D59" s="60">
        <f>IFERROR('Data Sheet'!C67,0)</f>
        <v>2474.29</v>
      </c>
      <c r="E59" s="60">
        <f>IFERROR('Data Sheet'!D67,0)</f>
        <v>2682.29</v>
      </c>
      <c r="F59" s="60">
        <f>IFERROR('Data Sheet'!E67,0)</f>
        <v>4035.28</v>
      </c>
      <c r="G59" s="60">
        <f>IFERROR('Data Sheet'!F67,0)</f>
        <v>2562.48</v>
      </c>
      <c r="H59" s="60">
        <f>IFERROR('Data Sheet'!G67,0)</f>
        <v>2501.6999999999998</v>
      </c>
      <c r="I59" s="60">
        <f>IFERROR('Data Sheet'!H67,0)</f>
        <v>2461.9</v>
      </c>
      <c r="J59" s="60">
        <f>IFERROR('Data Sheet'!I67,0)</f>
        <v>2956.17</v>
      </c>
      <c r="K59" s="60">
        <f>IFERROR('Data Sheet'!J67,0)</f>
        <v>4025.82</v>
      </c>
      <c r="L59" s="60">
        <f>IFERROR('Data Sheet'!K67,0)</f>
        <v>4719.67</v>
      </c>
    </row>
    <row r="60" spans="2:12" outlineLevel="1" x14ac:dyDescent="0.25">
      <c r="B60" t="s">
        <v>79</v>
      </c>
      <c r="C60" s="60">
        <f>IFERROR('Data Sheet'!B68,0)</f>
        <v>9062.1</v>
      </c>
      <c r="D60" s="60">
        <f>IFERROR('Data Sheet'!C68,0)</f>
        <v>8116.1</v>
      </c>
      <c r="E60" s="60">
        <f>IFERROR('Data Sheet'!D68,0)</f>
        <v>7495.09</v>
      </c>
      <c r="F60" s="60">
        <f>IFERROR('Data Sheet'!E68,0)</f>
        <v>7859.56</v>
      </c>
      <c r="G60" s="60">
        <f>IFERROR('Data Sheet'!F68,0)</f>
        <v>8879.33</v>
      </c>
      <c r="H60" s="60">
        <f>IFERROR('Data Sheet'!G68,0)</f>
        <v>10397.16</v>
      </c>
      <c r="I60" s="60">
        <f>IFERROR('Data Sheet'!H68,0)</f>
        <v>10864.15</v>
      </c>
      <c r="J60" s="60">
        <f>IFERROR('Data Sheet'!I68,0)</f>
        <v>11771.16</v>
      </c>
      <c r="K60" s="60">
        <f>IFERROR('Data Sheet'!J68,0)</f>
        <v>14152.88</v>
      </c>
      <c r="L60" s="60">
        <f>IFERROR('Data Sheet'!K68,0)</f>
        <v>15637.56</v>
      </c>
    </row>
    <row r="61" spans="2:12" outlineLevel="1" x14ac:dyDescent="0.25">
      <c r="B61" t="s">
        <v>80</v>
      </c>
      <c r="C61" s="60">
        <f>IFERROR('Data Sheet'!B69,0)</f>
        <v>6063.3</v>
      </c>
      <c r="D61" s="60">
        <f>IFERROR('Data Sheet'!C69,0)</f>
        <v>2967.4</v>
      </c>
      <c r="E61" s="60">
        <f>IFERROR('Data Sheet'!D69,0)</f>
        <v>2899.6</v>
      </c>
      <c r="F61" s="60">
        <f>IFERROR('Data Sheet'!E69,0)</f>
        <v>4152.03</v>
      </c>
      <c r="G61" s="60">
        <f>IFERROR('Data Sheet'!F69,0)</f>
        <v>7277.34</v>
      </c>
      <c r="H61" s="60">
        <f>IFERROR('Data Sheet'!G69,0)</f>
        <v>4659.0200000000004</v>
      </c>
      <c r="I61" s="60">
        <f>IFERROR('Data Sheet'!H69,0)</f>
        <v>4654.42</v>
      </c>
      <c r="J61" s="60">
        <f>IFERROR('Data Sheet'!I69,0)</f>
        <v>4880.1899999999996</v>
      </c>
      <c r="K61" s="60">
        <f>IFERROR('Data Sheet'!J69,0)</f>
        <v>7217.68</v>
      </c>
      <c r="L61" s="60">
        <f>IFERROR('Data Sheet'!K69,0)</f>
        <v>4012.36</v>
      </c>
    </row>
    <row r="62" spans="2:12" outlineLevel="1" x14ac:dyDescent="0.25">
      <c r="B62" s="76" t="s">
        <v>111</v>
      </c>
      <c r="C62" s="77">
        <f>IFERROR(SUM(C59:C61),0)</f>
        <v>17042.580000000002</v>
      </c>
      <c r="D62" s="77">
        <f t="shared" ref="D62:L62" si="19">IFERROR(SUM(D59:D61),0)</f>
        <v>13557.789999999999</v>
      </c>
      <c r="E62" s="77">
        <f t="shared" si="19"/>
        <v>13076.980000000001</v>
      </c>
      <c r="F62" s="77">
        <f t="shared" si="19"/>
        <v>16046.869999999999</v>
      </c>
      <c r="G62" s="77">
        <f t="shared" si="19"/>
        <v>18719.150000000001</v>
      </c>
      <c r="H62" s="77">
        <f t="shared" si="19"/>
        <v>17557.88</v>
      </c>
      <c r="I62" s="77">
        <f t="shared" si="19"/>
        <v>17980.47</v>
      </c>
      <c r="J62" s="77">
        <f t="shared" si="19"/>
        <v>19607.52</v>
      </c>
      <c r="K62" s="77">
        <f t="shared" si="19"/>
        <v>25396.38</v>
      </c>
      <c r="L62" s="77">
        <f t="shared" si="19"/>
        <v>24369.59</v>
      </c>
    </row>
    <row r="63" spans="2:12" outlineLevel="1" x14ac:dyDescent="0.25"/>
    <row r="64" spans="2:12" outlineLevel="1" x14ac:dyDescent="0.25">
      <c r="B64" s="78" t="s">
        <v>112</v>
      </c>
      <c r="C64" s="77">
        <f>IFERROR(SUM(C62,C57),0)</f>
        <v>51651.34</v>
      </c>
      <c r="D64" s="77">
        <f t="shared" ref="D64:L64" si="20">IFERROR(SUM(D62,D57),0)</f>
        <v>55898.32</v>
      </c>
      <c r="E64" s="77">
        <f t="shared" si="20"/>
        <v>64240.880000000005</v>
      </c>
      <c r="F64" s="77">
        <f t="shared" si="20"/>
        <v>71739.040000000008</v>
      </c>
      <c r="G64" s="77">
        <f t="shared" si="20"/>
        <v>77310.75</v>
      </c>
      <c r="H64" s="77">
        <f t="shared" si="20"/>
        <v>73760.759999999995</v>
      </c>
      <c r="I64" s="77">
        <f t="shared" si="20"/>
        <v>77196.02</v>
      </c>
      <c r="J64" s="77">
        <f t="shared" si="20"/>
        <v>85830.96</v>
      </c>
      <c r="K64" s="77">
        <f t="shared" si="20"/>
        <v>91753.97</v>
      </c>
      <c r="L64" s="77">
        <f t="shared" si="20"/>
        <v>88002.7</v>
      </c>
    </row>
    <row r="65" spans="1:13" outlineLevel="1" x14ac:dyDescent="0.25"/>
    <row r="66" spans="1:13" outlineLevel="1" x14ac:dyDescent="0.25">
      <c r="B66" s="70" t="s">
        <v>113</v>
      </c>
      <c r="C66" s="71" t="b">
        <f>C64=C51</f>
        <v>1</v>
      </c>
      <c r="D66" s="71" t="b">
        <f t="shared" ref="D66:L66" si="21">D64=D51</f>
        <v>1</v>
      </c>
      <c r="E66" s="71" t="b">
        <f t="shared" si="21"/>
        <v>1</v>
      </c>
      <c r="F66" s="71" t="b">
        <f t="shared" si="21"/>
        <v>1</v>
      </c>
      <c r="G66" s="71" t="b">
        <f t="shared" si="21"/>
        <v>1</v>
      </c>
      <c r="H66" s="71" t="b">
        <f t="shared" si="21"/>
        <v>1</v>
      </c>
      <c r="I66" s="71" t="b">
        <f t="shared" si="21"/>
        <v>1</v>
      </c>
      <c r="J66" s="71" t="b">
        <f t="shared" si="21"/>
        <v>1</v>
      </c>
      <c r="K66" s="71" t="b">
        <f t="shared" si="21"/>
        <v>1</v>
      </c>
      <c r="L66" s="71" t="b">
        <f t="shared" si="21"/>
        <v>1</v>
      </c>
    </row>
    <row r="68" spans="1:13" x14ac:dyDescent="0.25">
      <c r="A68" t="s">
        <v>0</v>
      </c>
      <c r="B68" s="68" t="str">
        <f>"Cashflow Statemment" &amp; "-" &amp;"ITC"</f>
        <v>Cashflow Statemment-ITC</v>
      </c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</row>
    <row r="69" spans="1:13" outlineLevel="1" x14ac:dyDescent="0.25">
      <c r="B69" s="1" t="s">
        <v>138</v>
      </c>
    </row>
    <row r="70" spans="1:13" outlineLevel="1" x14ac:dyDescent="0.25">
      <c r="B70" t="s">
        <v>114</v>
      </c>
      <c r="C70" s="74">
        <f>IFERROR('Data Sheet'!B84,0)</f>
        <v>15154</v>
      </c>
      <c r="D70" s="74">
        <f>IFERROR('Data Sheet'!C84,0)</f>
        <v>16075</v>
      </c>
      <c r="E70" s="74">
        <f>IFERROR('Data Sheet'!D84,0)</f>
        <v>17433</v>
      </c>
      <c r="F70" s="74">
        <f>IFERROR('Data Sheet'!E84,0)</f>
        <v>18862</v>
      </c>
      <c r="G70" s="74">
        <f>IFERROR('Data Sheet'!F84,0)</f>
        <v>19416</v>
      </c>
      <c r="H70" s="74">
        <f>IFERROR('Data Sheet'!G84,0)</f>
        <v>17326</v>
      </c>
      <c r="I70" s="74">
        <f>IFERROR('Data Sheet'!H84,0)</f>
        <v>20857</v>
      </c>
      <c r="J70" s="74">
        <f>IFERROR('Data Sheet'!I84,0)</f>
        <v>26052</v>
      </c>
      <c r="K70" s="74">
        <f>IFERROR('Data Sheet'!J84,0)</f>
        <v>26635</v>
      </c>
      <c r="L70" s="74">
        <f>IFERROR('Data Sheet'!K84,0)</f>
        <v>26719</v>
      </c>
    </row>
    <row r="71" spans="1:13" outlineLevel="1" x14ac:dyDescent="0.25">
      <c r="B71" t="s">
        <v>78</v>
      </c>
      <c r="C71" s="74">
        <f>IFERROR('Data Sheet'!B85,0)</f>
        <v>-207</v>
      </c>
      <c r="D71" s="74">
        <f>IFERROR('Data Sheet'!C85,0)</f>
        <v>-870</v>
      </c>
      <c r="E71" s="74">
        <f>IFERROR('Data Sheet'!D85,0)</f>
        <v>-964</v>
      </c>
      <c r="F71" s="74">
        <f>IFERROR('Data Sheet'!E85,0)</f>
        <v>-755</v>
      </c>
      <c r="G71" s="74">
        <f>IFERROR('Data Sheet'!F85,0)</f>
        <v>1411</v>
      </c>
      <c r="H71" s="74">
        <f>IFERROR('Data Sheet'!G85,0)</f>
        <v>-66</v>
      </c>
      <c r="I71" s="74">
        <f>IFERROR('Data Sheet'!H85,0)</f>
        <v>-732</v>
      </c>
      <c r="J71" s="74">
        <f>IFERROR('Data Sheet'!I85,0)</f>
        <v>-884</v>
      </c>
      <c r="K71" s="74">
        <f>IFERROR('Data Sheet'!J85,0)</f>
        <v>-934</v>
      </c>
      <c r="L71" s="74">
        <f>IFERROR('Data Sheet'!K85,0)</f>
        <v>-1023</v>
      </c>
    </row>
    <row r="72" spans="1:13" outlineLevel="1" x14ac:dyDescent="0.25">
      <c r="B72" t="s">
        <v>79</v>
      </c>
      <c r="C72" s="74">
        <f>IFERROR('Data Sheet'!B86,0)</f>
        <v>278</v>
      </c>
      <c r="D72" s="74">
        <f>IFERROR('Data Sheet'!C86,0)</f>
        <v>-44</v>
      </c>
      <c r="E72" s="74">
        <f>IFERROR('Data Sheet'!D86,0)</f>
        <v>-1736</v>
      </c>
      <c r="F72" s="74">
        <f>IFERROR('Data Sheet'!E86,0)</f>
        <v>475</v>
      </c>
      <c r="G72" s="74">
        <f>IFERROR('Data Sheet'!F86,0)</f>
        <v>-295</v>
      </c>
      <c r="H72" s="74">
        <f>IFERROR('Data Sheet'!G86,0)</f>
        <v>415</v>
      </c>
      <c r="I72" s="74">
        <f>IFERROR('Data Sheet'!H86,0)</f>
        <v>100</v>
      </c>
      <c r="J72" s="74">
        <f>IFERROR('Data Sheet'!I86,0)</f>
        <v>924</v>
      </c>
      <c r="K72" s="74">
        <f>IFERROR('Data Sheet'!J86,0)</f>
        <v>3339</v>
      </c>
      <c r="L72" s="74">
        <f>IFERROR('Data Sheet'!K86,0)</f>
        <v>2742</v>
      </c>
    </row>
    <row r="73" spans="1:13" outlineLevel="1" x14ac:dyDescent="0.25">
      <c r="B73" t="s">
        <v>115</v>
      </c>
      <c r="C73" s="74">
        <f>IFERROR('Data Sheet'!B87,0)</f>
        <v>-693</v>
      </c>
      <c r="D73" s="74">
        <f>IFERROR('Data Sheet'!C87,0)</f>
        <v>593</v>
      </c>
      <c r="E73" s="74">
        <f>IFERROR('Data Sheet'!D87,0)</f>
        <v>602</v>
      </c>
      <c r="F73" s="74">
        <f>IFERROR('Data Sheet'!E87,0)</f>
        <v>-359</v>
      </c>
      <c r="G73" s="74">
        <f>IFERROR('Data Sheet'!F87,0)</f>
        <v>-508</v>
      </c>
      <c r="H73" s="74">
        <f>IFERROR('Data Sheet'!G87,0)</f>
        <v>-1460</v>
      </c>
      <c r="I73" s="74">
        <f>IFERROR('Data Sheet'!H87,0)</f>
        <v>-466</v>
      </c>
      <c r="J73" s="74">
        <f>IFERROR('Data Sheet'!I87,0)</f>
        <v>-1098</v>
      </c>
      <c r="K73" s="74">
        <f>IFERROR('Data Sheet'!J87,0)</f>
        <v>-2545</v>
      </c>
      <c r="L73" s="74">
        <f>IFERROR('Data Sheet'!K87,0)</f>
        <v>-2975</v>
      </c>
    </row>
    <row r="74" spans="1:13" outlineLevel="1" x14ac:dyDescent="0.25">
      <c r="B74" t="s">
        <v>141</v>
      </c>
      <c r="C74" s="74">
        <f>IFERROR('Data Sheet'!B88,0)</f>
        <v>622</v>
      </c>
      <c r="D74" s="74">
        <f>IFERROR('Data Sheet'!C88,0)</f>
        <v>321</v>
      </c>
      <c r="E74" s="74">
        <f>IFERROR('Data Sheet'!D88,0)</f>
        <v>2098</v>
      </c>
      <c r="F74" s="74">
        <f>IFERROR('Data Sheet'!E88,0)</f>
        <v>639</v>
      </c>
      <c r="G74" s="74">
        <f>IFERROR('Data Sheet'!F88,0)</f>
        <v>-607</v>
      </c>
      <c r="H74" s="74">
        <f>IFERROR('Data Sheet'!G88,0)</f>
        <v>1112</v>
      </c>
      <c r="I74" s="74">
        <f>IFERROR('Data Sheet'!H88,0)</f>
        <v>1099</v>
      </c>
      <c r="J74" s="74">
        <f>IFERROR('Data Sheet'!I88,0)</f>
        <v>1058</v>
      </c>
      <c r="K74" s="74">
        <f>IFERROR('Data Sheet'!J88,0)</f>
        <v>141</v>
      </c>
      <c r="L74" s="74">
        <f>IFERROR('Data Sheet'!K88,0)</f>
        <v>1256</v>
      </c>
    </row>
    <row r="75" spans="1:13" outlineLevel="1" x14ac:dyDescent="0.25">
      <c r="B75" t="s">
        <v>116</v>
      </c>
      <c r="C75" s="74">
        <f>IFERROR('Data Sheet'!B89,0)</f>
        <v>-277</v>
      </c>
      <c r="D75" s="74">
        <f>IFERROR('Data Sheet'!C89,0)</f>
        <v>44</v>
      </c>
      <c r="E75" s="74">
        <f>IFERROR('Data Sheet'!D89,0)</f>
        <v>1736</v>
      </c>
      <c r="F75" s="74">
        <f>IFERROR('Data Sheet'!E89,0)</f>
        <v>-476</v>
      </c>
      <c r="G75" s="74">
        <f>IFERROR('Data Sheet'!F89,0)</f>
        <v>296</v>
      </c>
      <c r="H75" s="74">
        <f>IFERROR('Data Sheet'!G89,0)</f>
        <v>-413</v>
      </c>
      <c r="I75" s="74">
        <f>IFERROR('Data Sheet'!H89,0)</f>
        <v>-100</v>
      </c>
      <c r="J75" s="74">
        <f>IFERROR('Data Sheet'!I89,0)</f>
        <v>-924</v>
      </c>
      <c r="K75" s="74">
        <f>IFERROR('Data Sheet'!J89,0)</f>
        <v>-3337</v>
      </c>
      <c r="L75" s="74">
        <f>IFERROR('Data Sheet'!K89,0)</f>
        <v>-2742</v>
      </c>
    </row>
    <row r="76" spans="1:13" outlineLevel="1" x14ac:dyDescent="0.25">
      <c r="B76" t="s">
        <v>117</v>
      </c>
      <c r="C76" s="74">
        <f>IFERROR('Data Sheet'!B90,0)</f>
        <v>-5078</v>
      </c>
      <c r="D76" s="74">
        <f>IFERROR('Data Sheet'!C90,0)</f>
        <v>-5492</v>
      </c>
      <c r="E76" s="74">
        <f>IFERROR('Data Sheet'!D90,0)</f>
        <v>-6000</v>
      </c>
      <c r="F76" s="74">
        <f>IFERROR('Data Sheet'!E90,0)</f>
        <v>-5803</v>
      </c>
      <c r="G76" s="74">
        <f>IFERROR('Data Sheet'!F90,0)</f>
        <v>-5023</v>
      </c>
      <c r="H76" s="74">
        <f>IFERROR('Data Sheet'!G90,0)</f>
        <v>-4387</v>
      </c>
      <c r="I76" s="74">
        <f>IFERROR('Data Sheet'!H90,0)</f>
        <v>-4982</v>
      </c>
      <c r="J76" s="74">
        <f>IFERROR('Data Sheet'!I90,0)</f>
        <v>-6250</v>
      </c>
      <c r="K76" s="74">
        <f>IFERROR('Data Sheet'!J90,0)</f>
        <v>-6120</v>
      </c>
      <c r="L76" s="74">
        <f>IFERROR('Data Sheet'!K90,0)</f>
        <v>-6350</v>
      </c>
    </row>
    <row r="77" spans="1:13" outlineLevel="1" x14ac:dyDescent="0.25">
      <c r="B77" s="79" t="s">
        <v>139</v>
      </c>
      <c r="C77" s="80">
        <f>SUM(C70:C76)</f>
        <v>9799</v>
      </c>
      <c r="D77" s="80">
        <f t="shared" ref="D77:L77" si="22">SUM(D70:D76)</f>
        <v>10627</v>
      </c>
      <c r="E77" s="80">
        <f t="shared" si="22"/>
        <v>13169</v>
      </c>
      <c r="F77" s="80">
        <f t="shared" si="22"/>
        <v>12583</v>
      </c>
      <c r="G77" s="80">
        <f t="shared" si="22"/>
        <v>14690</v>
      </c>
      <c r="H77" s="80">
        <f t="shared" si="22"/>
        <v>12527</v>
      </c>
      <c r="I77" s="80">
        <f t="shared" si="22"/>
        <v>15776</v>
      </c>
      <c r="J77" s="80">
        <f t="shared" si="22"/>
        <v>18878</v>
      </c>
      <c r="K77" s="80">
        <f t="shared" si="22"/>
        <v>17179</v>
      </c>
      <c r="L77" s="80">
        <f t="shared" si="22"/>
        <v>17627</v>
      </c>
    </row>
    <row r="78" spans="1:13" outlineLevel="1" x14ac:dyDescent="0.25">
      <c r="C78" s="74"/>
      <c r="D78" s="74"/>
      <c r="E78" s="74"/>
      <c r="F78" s="74"/>
      <c r="G78" s="74"/>
      <c r="H78" s="74"/>
      <c r="I78" s="74"/>
      <c r="J78" s="74"/>
      <c r="K78" s="74"/>
      <c r="L78" s="74"/>
    </row>
    <row r="79" spans="1:13" outlineLevel="1" x14ac:dyDescent="0.25">
      <c r="B79" s="1" t="s">
        <v>142</v>
      </c>
      <c r="C79" s="74"/>
      <c r="D79" s="74"/>
      <c r="E79" s="74"/>
      <c r="F79" s="74"/>
      <c r="G79" s="74"/>
      <c r="H79" s="74"/>
      <c r="I79" s="74"/>
      <c r="J79" s="74"/>
      <c r="K79" s="74"/>
      <c r="L79" s="74"/>
    </row>
    <row r="80" spans="1:13" outlineLevel="1" x14ac:dyDescent="0.25">
      <c r="B80" t="s">
        <v>118</v>
      </c>
      <c r="C80" s="74">
        <f>IFERROR('Data Sheet'!B92,0)</f>
        <v>-2348</v>
      </c>
      <c r="D80" s="74">
        <f>IFERROR('Data Sheet'!C92,0)</f>
        <v>-3122</v>
      </c>
      <c r="E80" s="74">
        <f>IFERROR('Data Sheet'!D92,0)</f>
        <v>-2878</v>
      </c>
      <c r="F80" s="74">
        <f>IFERROR('Data Sheet'!E92,0)</f>
        <v>-3169</v>
      </c>
      <c r="G80" s="74">
        <f>IFERROR('Data Sheet'!F92,0)</f>
        <v>-2441</v>
      </c>
      <c r="H80" s="74">
        <f>IFERROR('Data Sheet'!G92,0)</f>
        <v>-1837</v>
      </c>
      <c r="I80" s="74">
        <f>IFERROR('Data Sheet'!H92,0)</f>
        <v>-2142</v>
      </c>
      <c r="J80" s="74">
        <f>IFERROR('Data Sheet'!I92,0)</f>
        <v>-2743</v>
      </c>
      <c r="K80" s="74">
        <f>IFERROR('Data Sheet'!J92,0)</f>
        <v>-3563</v>
      </c>
      <c r="L80" s="74">
        <f>IFERROR('Data Sheet'!K92,0)</f>
        <v>-2279</v>
      </c>
    </row>
    <row r="81" spans="2:12" outlineLevel="1" x14ac:dyDescent="0.25">
      <c r="B81" t="s">
        <v>119</v>
      </c>
      <c r="C81" s="74">
        <f>IFERROR('Data Sheet'!B93,0)</f>
        <v>8</v>
      </c>
      <c r="D81" s="74">
        <f>IFERROR('Data Sheet'!C93,0)</f>
        <v>50</v>
      </c>
      <c r="E81" s="74">
        <f>IFERROR('Data Sheet'!D93,0)</f>
        <v>80</v>
      </c>
      <c r="F81" s="74">
        <f>IFERROR('Data Sheet'!E93,0)</f>
        <v>28</v>
      </c>
      <c r="G81" s="74">
        <f>IFERROR('Data Sheet'!F93,0)</f>
        <v>27</v>
      </c>
      <c r="H81" s="74">
        <f>IFERROR('Data Sheet'!G93,0)</f>
        <v>3</v>
      </c>
      <c r="I81" s="74">
        <f>IFERROR('Data Sheet'!H93,0)</f>
        <v>133</v>
      </c>
      <c r="J81" s="74">
        <f>IFERROR('Data Sheet'!I93,0)</f>
        <v>49</v>
      </c>
      <c r="K81" s="74">
        <f>IFERROR('Data Sheet'!J93,0)</f>
        <v>107</v>
      </c>
      <c r="L81" s="74">
        <f>IFERROR('Data Sheet'!K93,0)</f>
        <v>175</v>
      </c>
    </row>
    <row r="82" spans="2:12" outlineLevel="1" x14ac:dyDescent="0.25">
      <c r="B82" t="s">
        <v>120</v>
      </c>
      <c r="C82" s="74">
        <f>IFERROR('Data Sheet'!B94,0)</f>
        <v>-154081</v>
      </c>
      <c r="D82" s="74">
        <f>IFERROR('Data Sheet'!C94,0)</f>
        <v>-85683</v>
      </c>
      <c r="E82" s="74">
        <f>IFERROR('Data Sheet'!D94,0)</f>
        <v>-98330</v>
      </c>
      <c r="F82" s="74">
        <f>IFERROR('Data Sheet'!E94,0)</f>
        <v>-94187</v>
      </c>
      <c r="G82" s="74">
        <f>IFERROR('Data Sheet'!F94,0)</f>
        <v>-79835</v>
      </c>
      <c r="H82" s="74">
        <f>IFERROR('Data Sheet'!G94,0)</f>
        <v>-57553</v>
      </c>
      <c r="I82" s="74">
        <f>IFERROR('Data Sheet'!H94,0)</f>
        <v>-69776</v>
      </c>
      <c r="J82" s="74">
        <f>IFERROR('Data Sheet'!I94,0)</f>
        <v>-80932</v>
      </c>
      <c r="K82" s="74">
        <f>IFERROR('Data Sheet'!J94,0)</f>
        <v>-75107</v>
      </c>
      <c r="L82" s="74">
        <f>IFERROR('Data Sheet'!K94,0)</f>
        <v>-66373</v>
      </c>
    </row>
    <row r="83" spans="2:12" outlineLevel="1" x14ac:dyDescent="0.25">
      <c r="B83" t="s">
        <v>121</v>
      </c>
      <c r="C83" s="74">
        <f>IFERROR('Data Sheet'!B95,0)</f>
        <v>150651</v>
      </c>
      <c r="D83" s="74">
        <f>IFERROR('Data Sheet'!C95,0)</f>
        <v>81034</v>
      </c>
      <c r="E83" s="74">
        <f>IFERROR('Data Sheet'!D95,0)</f>
        <v>95017</v>
      </c>
      <c r="F83" s="74">
        <f>IFERROR('Data Sheet'!E95,0)</f>
        <v>92454</v>
      </c>
      <c r="G83" s="74">
        <f>IFERROR('Data Sheet'!F95,0)</f>
        <v>75835</v>
      </c>
      <c r="H83" s="74">
        <f>IFERROR('Data Sheet'!G95,0)</f>
        <v>62797</v>
      </c>
      <c r="I83" s="74">
        <f>IFERROR('Data Sheet'!H95,0)</f>
        <v>70992</v>
      </c>
      <c r="J83" s="74">
        <f>IFERROR('Data Sheet'!I95,0)</f>
        <v>77230</v>
      </c>
      <c r="K83" s="74">
        <f>IFERROR('Data Sheet'!J95,0)</f>
        <v>77830</v>
      </c>
      <c r="L83" s="74">
        <f>IFERROR('Data Sheet'!K95,0)</f>
        <v>67311</v>
      </c>
    </row>
    <row r="84" spans="2:12" outlineLevel="1" x14ac:dyDescent="0.25">
      <c r="B84" t="s">
        <v>122</v>
      </c>
      <c r="C84" s="74">
        <f>IFERROR('Data Sheet'!B96,0)</f>
        <v>741</v>
      </c>
      <c r="D84" s="74">
        <f>IFERROR('Data Sheet'!C96,0)</f>
        <v>756</v>
      </c>
      <c r="E84" s="74">
        <f>IFERROR('Data Sheet'!D96,0)</f>
        <v>736</v>
      </c>
      <c r="F84" s="74">
        <f>IFERROR('Data Sheet'!E96,0)</f>
        <v>1184</v>
      </c>
      <c r="G84" s="74">
        <f>IFERROR('Data Sheet'!F96,0)</f>
        <v>1513</v>
      </c>
      <c r="H84" s="74">
        <f>IFERROR('Data Sheet'!G96,0)</f>
        <v>1275</v>
      </c>
      <c r="I84" s="74">
        <f>IFERROR('Data Sheet'!H96,0)</f>
        <v>1035</v>
      </c>
      <c r="J84" s="74">
        <f>IFERROR('Data Sheet'!I96,0)</f>
        <v>1324</v>
      </c>
      <c r="K84" s="74">
        <f>IFERROR('Data Sheet'!J96,0)</f>
        <v>1138</v>
      </c>
      <c r="L84" s="74">
        <f>IFERROR('Data Sheet'!K96,0)</f>
        <v>1072</v>
      </c>
    </row>
    <row r="85" spans="2:12" outlineLevel="1" x14ac:dyDescent="0.25">
      <c r="B85" t="s">
        <v>123</v>
      </c>
      <c r="C85" s="74">
        <f>IFERROR('Data Sheet'!B97,0)</f>
        <v>64</v>
      </c>
      <c r="D85" s="74">
        <f>IFERROR('Data Sheet'!C97,0)</f>
        <v>4</v>
      </c>
      <c r="E85" s="74">
        <f>IFERROR('Data Sheet'!D97,0)</f>
        <v>13</v>
      </c>
      <c r="F85" s="74">
        <f>IFERROR('Data Sheet'!E97,0)</f>
        <v>13</v>
      </c>
      <c r="G85" s="74">
        <f>IFERROR('Data Sheet'!F97,0)</f>
        <v>17</v>
      </c>
      <c r="H85" s="74">
        <f>IFERROR('Data Sheet'!G97,0)</f>
        <v>7</v>
      </c>
      <c r="I85" s="74">
        <f>IFERROR('Data Sheet'!H97,0)</f>
        <v>16</v>
      </c>
      <c r="J85" s="74">
        <f>IFERROR('Data Sheet'!I97,0)</f>
        <v>19</v>
      </c>
      <c r="K85" s="74">
        <f>IFERROR('Data Sheet'!J97,0)</f>
        <v>36</v>
      </c>
      <c r="L85" s="74">
        <f>IFERROR('Data Sheet'!K97,0)</f>
        <v>38</v>
      </c>
    </row>
    <row r="86" spans="2:12" outlineLevel="1" x14ac:dyDescent="0.25">
      <c r="B86" t="s">
        <v>124</v>
      </c>
      <c r="C86" s="74">
        <f>IFERROR('Data Sheet'!B98,0)</f>
        <v>-8</v>
      </c>
      <c r="D86" s="74">
        <f>IFERROR('Data Sheet'!C98,0)</f>
        <v>0</v>
      </c>
      <c r="E86" s="74">
        <f>IFERROR('Data Sheet'!D98,0)</f>
        <v>0</v>
      </c>
      <c r="F86" s="74">
        <f>IFERROR('Data Sheet'!E98,0)</f>
        <v>0</v>
      </c>
      <c r="G86" s="74">
        <f>IFERROR('Data Sheet'!F98,0)</f>
        <v>0</v>
      </c>
      <c r="H86" s="74">
        <f>IFERROR('Data Sheet'!G98,0)</f>
        <v>0</v>
      </c>
      <c r="I86" s="74">
        <f>IFERROR('Data Sheet'!H98,0)</f>
        <v>0</v>
      </c>
      <c r="J86" s="74">
        <f>IFERROR('Data Sheet'!I98,0)</f>
        <v>0</v>
      </c>
      <c r="K86" s="74">
        <f>IFERROR('Data Sheet'!J98,0)</f>
        <v>0</v>
      </c>
      <c r="L86" s="74">
        <f>IFERROR('Data Sheet'!K98,0)</f>
        <v>0</v>
      </c>
    </row>
    <row r="87" spans="2:12" outlineLevel="1" x14ac:dyDescent="0.25">
      <c r="B87" t="s">
        <v>125</v>
      </c>
      <c r="C87" s="74">
        <f>IFERROR('Data Sheet'!B99,0)</f>
        <v>0</v>
      </c>
      <c r="D87" s="74">
        <f>IFERROR('Data Sheet'!C99,0)</f>
        <v>0</v>
      </c>
      <c r="E87" s="74">
        <f>IFERROR('Data Sheet'!D99,0)</f>
        <v>0</v>
      </c>
      <c r="F87" s="74">
        <f>IFERROR('Data Sheet'!E99,0)</f>
        <v>0</v>
      </c>
      <c r="G87" s="74">
        <f>IFERROR('Data Sheet'!F99,0)</f>
        <v>0</v>
      </c>
      <c r="H87" s="74">
        <f>IFERROR('Data Sheet'!G99,0)</f>
        <v>-2</v>
      </c>
      <c r="I87" s="74">
        <f>IFERROR('Data Sheet'!H99,0)</f>
        <v>-2</v>
      </c>
      <c r="J87" s="74">
        <f>IFERROR('Data Sheet'!I99,0)</f>
        <v>-2</v>
      </c>
      <c r="K87" s="74">
        <f>IFERROR('Data Sheet'!J99,0)</f>
        <v>-65</v>
      </c>
      <c r="L87" s="74">
        <f>IFERROR('Data Sheet'!K99,0)</f>
        <v>-30</v>
      </c>
    </row>
    <row r="88" spans="2:12" outlineLevel="1" x14ac:dyDescent="0.25">
      <c r="B88" t="s">
        <v>126</v>
      </c>
      <c r="C88" s="74">
        <f>IFERROR('Data Sheet'!B100,0)</f>
        <v>0</v>
      </c>
      <c r="D88" s="74">
        <f>IFERROR('Data Sheet'!C100,0)</f>
        <v>129</v>
      </c>
      <c r="E88" s="74">
        <f>IFERROR('Data Sheet'!D100,0)</f>
        <v>18</v>
      </c>
      <c r="F88" s="74">
        <f>IFERROR('Data Sheet'!E100,0)</f>
        <v>18</v>
      </c>
      <c r="G88" s="74">
        <f>IFERROR('Data Sheet'!F100,0)</f>
        <v>0</v>
      </c>
      <c r="H88" s="74">
        <f>IFERROR('Data Sheet'!G100,0)</f>
        <v>0</v>
      </c>
      <c r="I88" s="74">
        <f>IFERROR('Data Sheet'!H100,0)</f>
        <v>0</v>
      </c>
      <c r="J88" s="74">
        <f>IFERROR('Data Sheet'!I100,0)</f>
        <v>56</v>
      </c>
      <c r="K88" s="74">
        <f>IFERROR('Data Sheet'!J100,0)</f>
        <v>0</v>
      </c>
      <c r="L88" s="74">
        <f>IFERROR('Data Sheet'!K100,0)</f>
        <v>0</v>
      </c>
    </row>
    <row r="89" spans="2:12" outlineLevel="1" x14ac:dyDescent="0.25">
      <c r="B89" t="s">
        <v>127</v>
      </c>
      <c r="C89" s="74">
        <f>IFERROR('Data Sheet'!B101,0)</f>
        <v>1052</v>
      </c>
      <c r="D89" s="74">
        <f>IFERROR('Data Sheet'!C101,0)</f>
        <v>3579</v>
      </c>
      <c r="E89" s="74">
        <f>IFERROR('Data Sheet'!D101,0)</f>
        <v>-1769</v>
      </c>
      <c r="F89" s="74">
        <f>IFERROR('Data Sheet'!E101,0)</f>
        <v>-1887</v>
      </c>
      <c r="G89" s="74">
        <f>IFERROR('Data Sheet'!F101,0)</f>
        <v>-1290</v>
      </c>
      <c r="H89" s="74">
        <f>IFERROR('Data Sheet'!G101,0)</f>
        <v>1051</v>
      </c>
      <c r="I89" s="74">
        <f>IFERROR('Data Sheet'!H101,0)</f>
        <v>-2494</v>
      </c>
      <c r="J89" s="74">
        <f>IFERROR('Data Sheet'!I101,0)</f>
        <v>-733</v>
      </c>
      <c r="K89" s="74">
        <f>IFERROR('Data Sheet'!J101,0)</f>
        <v>1187</v>
      </c>
      <c r="L89" s="74">
        <f>IFERROR('Data Sheet'!K101,0)</f>
        <v>-478</v>
      </c>
    </row>
    <row r="90" spans="2:12" outlineLevel="1" x14ac:dyDescent="0.25">
      <c r="B90" s="79" t="s">
        <v>139</v>
      </c>
      <c r="C90" s="80">
        <f>SUM(C80:C89)</f>
        <v>-3921</v>
      </c>
      <c r="D90" s="80">
        <f t="shared" ref="D90:L90" si="23">SUM(D80:D89)</f>
        <v>-3253</v>
      </c>
      <c r="E90" s="80">
        <f t="shared" si="23"/>
        <v>-7113</v>
      </c>
      <c r="F90" s="80">
        <f t="shared" si="23"/>
        <v>-5546</v>
      </c>
      <c r="G90" s="80">
        <f t="shared" si="23"/>
        <v>-6174</v>
      </c>
      <c r="H90" s="80">
        <f t="shared" si="23"/>
        <v>5741</v>
      </c>
      <c r="I90" s="80">
        <f t="shared" si="23"/>
        <v>-2238</v>
      </c>
      <c r="J90" s="80">
        <f t="shared" si="23"/>
        <v>-5732</v>
      </c>
      <c r="K90" s="80">
        <f t="shared" si="23"/>
        <v>1563</v>
      </c>
      <c r="L90" s="80">
        <f t="shared" si="23"/>
        <v>-564</v>
      </c>
    </row>
    <row r="91" spans="2:12" outlineLevel="1" x14ac:dyDescent="0.25">
      <c r="C91" s="74"/>
      <c r="D91" s="74"/>
      <c r="E91" s="74"/>
      <c r="F91" s="74"/>
      <c r="G91" s="74"/>
      <c r="H91" s="74"/>
      <c r="I91" s="74"/>
      <c r="J91" s="74"/>
      <c r="K91" s="74"/>
      <c r="L91" s="74"/>
    </row>
    <row r="92" spans="2:12" outlineLevel="1" x14ac:dyDescent="0.25">
      <c r="B92" s="1" t="s">
        <v>143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</row>
    <row r="93" spans="2:12" outlineLevel="1" x14ac:dyDescent="0.25">
      <c r="B93" t="s">
        <v>128</v>
      </c>
      <c r="C93" s="74">
        <f>IFERROR('Data Sheet'!B103,0)</f>
        <v>532</v>
      </c>
      <c r="D93" s="74">
        <f>IFERROR('Data Sheet'!C103,0)</f>
        <v>1067</v>
      </c>
      <c r="E93" s="74">
        <f>IFERROR('Data Sheet'!D103,0)</f>
        <v>913</v>
      </c>
      <c r="F93" s="74">
        <f>IFERROR('Data Sheet'!E103,0)</f>
        <v>969</v>
      </c>
      <c r="G93" s="74">
        <f>IFERROR('Data Sheet'!F103,0)</f>
        <v>625</v>
      </c>
      <c r="H93" s="74">
        <f>IFERROR('Data Sheet'!G103,0)</f>
        <v>291</v>
      </c>
      <c r="I93" s="74">
        <f>IFERROR('Data Sheet'!H103,0)</f>
        <v>292</v>
      </c>
      <c r="J93" s="74">
        <f>IFERROR('Data Sheet'!I103,0)</f>
        <v>2477</v>
      </c>
      <c r="K93" s="74">
        <f>IFERROR('Data Sheet'!J103,0)</f>
        <v>1443</v>
      </c>
      <c r="L93" s="74">
        <f>IFERROR('Data Sheet'!K103,0)</f>
        <v>797</v>
      </c>
    </row>
    <row r="94" spans="2:12" outlineLevel="1" x14ac:dyDescent="0.25">
      <c r="B94" t="s">
        <v>129</v>
      </c>
      <c r="C94" s="74">
        <f>IFERROR('Data Sheet'!B104,0)</f>
        <v>0</v>
      </c>
      <c r="D94" s="74">
        <f>IFERROR('Data Sheet'!C104,0)</f>
        <v>0</v>
      </c>
      <c r="E94" s="74">
        <f>IFERROR('Data Sheet'!D104,0)</f>
        <v>11</v>
      </c>
      <c r="F94" s="74">
        <f>IFERROR('Data Sheet'!E104,0)</f>
        <v>0</v>
      </c>
      <c r="G94" s="74">
        <f>IFERROR('Data Sheet'!F104,0)</f>
        <v>0</v>
      </c>
      <c r="H94" s="74">
        <f>IFERROR('Data Sheet'!G104,0)</f>
        <v>0</v>
      </c>
      <c r="I94" s="74">
        <f>IFERROR('Data Sheet'!H104,0)</f>
        <v>0</v>
      </c>
      <c r="J94" s="74">
        <f>IFERROR('Data Sheet'!I104,0)</f>
        <v>0</v>
      </c>
      <c r="K94" s="74">
        <f>IFERROR('Data Sheet'!J104,0)</f>
        <v>8</v>
      </c>
      <c r="L94" s="74">
        <f>IFERROR('Data Sheet'!K104,0)</f>
        <v>90</v>
      </c>
    </row>
    <row r="95" spans="2:12" outlineLevel="1" x14ac:dyDescent="0.25">
      <c r="B95" t="s">
        <v>130</v>
      </c>
      <c r="C95" s="74">
        <f>IFERROR('Data Sheet'!B105,0)</f>
        <v>-13</v>
      </c>
      <c r="D95" s="74">
        <f>IFERROR('Data Sheet'!C105,0)</f>
        <v>-13</v>
      </c>
      <c r="E95" s="74">
        <f>IFERROR('Data Sheet'!D105,0)</f>
        <v>-8</v>
      </c>
      <c r="F95" s="74">
        <f>IFERROR('Data Sheet'!E105,0)</f>
        <v>-18</v>
      </c>
      <c r="G95" s="74">
        <f>IFERROR('Data Sheet'!F105,0)</f>
        <v>-3</v>
      </c>
      <c r="H95" s="74">
        <f>IFERROR('Data Sheet'!G105,0)</f>
        <v>-2</v>
      </c>
      <c r="I95" s="74">
        <f>IFERROR('Data Sheet'!H105,0)</f>
        <v>-1</v>
      </c>
      <c r="J95" s="74">
        <f>IFERROR('Data Sheet'!I105,0)</f>
        <v>-1</v>
      </c>
      <c r="K95" s="74">
        <f>IFERROR('Data Sheet'!J105,0)</f>
        <v>-2</v>
      </c>
      <c r="L95" s="74">
        <f>IFERROR('Data Sheet'!K105,0)</f>
        <v>-54</v>
      </c>
    </row>
    <row r="96" spans="2:12" outlineLevel="1" x14ac:dyDescent="0.25">
      <c r="B96" t="s">
        <v>131</v>
      </c>
      <c r="C96" s="74">
        <f>IFERROR('Data Sheet'!B106,0)</f>
        <v>-28</v>
      </c>
      <c r="D96" s="74">
        <f>IFERROR('Data Sheet'!C106,0)</f>
        <v>-25</v>
      </c>
      <c r="E96" s="74">
        <f>IFERROR('Data Sheet'!D106,0)</f>
        <v>-49</v>
      </c>
      <c r="F96" s="74">
        <f>IFERROR('Data Sheet'!E106,0)</f>
        <v>-98</v>
      </c>
      <c r="G96" s="74">
        <f>IFERROR('Data Sheet'!F106,0)</f>
        <v>-44</v>
      </c>
      <c r="H96" s="74">
        <f>IFERROR('Data Sheet'!G106,0)</f>
        <v>-41</v>
      </c>
      <c r="I96" s="74">
        <f>IFERROR('Data Sheet'!H106,0)</f>
        <v>-40</v>
      </c>
      <c r="J96" s="74">
        <f>IFERROR('Data Sheet'!I106,0)</f>
        <v>-41</v>
      </c>
      <c r="K96" s="74">
        <f>IFERROR('Data Sheet'!J106,0)</f>
        <v>-46</v>
      </c>
      <c r="L96" s="74">
        <f>IFERROR('Data Sheet'!K106,0)</f>
        <v>-50</v>
      </c>
    </row>
    <row r="97" spans="2:12" outlineLevel="1" x14ac:dyDescent="0.25">
      <c r="B97" t="s">
        <v>132</v>
      </c>
      <c r="C97" s="74">
        <f>IFERROR('Data Sheet'!B107,0)</f>
        <v>-5133</v>
      </c>
      <c r="D97" s="74">
        <f>IFERROR('Data Sheet'!C107,0)</f>
        <v>-6994</v>
      </c>
      <c r="E97" s="74">
        <f>IFERROR('Data Sheet'!D107,0)</f>
        <v>-5952</v>
      </c>
      <c r="F97" s="74">
        <f>IFERROR('Data Sheet'!E107,0)</f>
        <v>-6519</v>
      </c>
      <c r="G97" s="74">
        <f>IFERROR('Data Sheet'!F107,0)</f>
        <v>-7302</v>
      </c>
      <c r="H97" s="74">
        <f>IFERROR('Data Sheet'!G107,0)</f>
        <v>-18881</v>
      </c>
      <c r="I97" s="74">
        <f>IFERROR('Data Sheet'!H107,0)</f>
        <v>-13788</v>
      </c>
      <c r="J97" s="74">
        <f>IFERROR('Data Sheet'!I107,0)</f>
        <v>-15418</v>
      </c>
      <c r="K97" s="74">
        <f>IFERROR('Data Sheet'!J107,0)</f>
        <v>-19899</v>
      </c>
      <c r="L97" s="74">
        <f>IFERROR('Data Sheet'!K107,0)</f>
        <v>-17782</v>
      </c>
    </row>
    <row r="98" spans="2:12" outlineLevel="1" x14ac:dyDescent="0.25">
      <c r="B98" t="s">
        <v>133</v>
      </c>
      <c r="C98" s="74">
        <f>IFERROR('Data Sheet'!B108,0)</f>
        <v>0</v>
      </c>
      <c r="D98" s="74">
        <f>IFERROR('Data Sheet'!C108,0)</f>
        <v>0</v>
      </c>
      <c r="E98" s="74">
        <f>IFERROR('Data Sheet'!D108,0)</f>
        <v>0</v>
      </c>
      <c r="F98" s="74">
        <f>IFERROR('Data Sheet'!E108,0)</f>
        <v>0</v>
      </c>
      <c r="G98" s="74">
        <f>IFERROR('Data Sheet'!F108,0)</f>
        <v>-49</v>
      </c>
      <c r="H98" s="74">
        <f>IFERROR('Data Sheet'!G108,0)</f>
        <v>-55</v>
      </c>
      <c r="I98" s="74">
        <f>IFERROR('Data Sheet'!H108,0)</f>
        <v>-59</v>
      </c>
      <c r="J98" s="74">
        <f>IFERROR('Data Sheet'!I108,0)</f>
        <v>-59</v>
      </c>
      <c r="K98" s="74">
        <f>IFERROR('Data Sheet'!J108,0)</f>
        <v>-67</v>
      </c>
      <c r="L98" s="74">
        <f>IFERROR('Data Sheet'!K108,0)</f>
        <v>-66</v>
      </c>
    </row>
    <row r="99" spans="2:12" outlineLevel="1" x14ac:dyDescent="0.25">
      <c r="B99" t="s">
        <v>134</v>
      </c>
      <c r="C99" s="74">
        <f>IFERROR('Data Sheet'!B109,0)</f>
        <v>-971</v>
      </c>
      <c r="D99" s="74">
        <f>IFERROR('Data Sheet'!C109,0)</f>
        <v>-1335</v>
      </c>
      <c r="E99" s="74">
        <f>IFERROR('Data Sheet'!D109,0)</f>
        <v>-1136</v>
      </c>
      <c r="F99" s="74">
        <f>IFERROR('Data Sheet'!E109,0)</f>
        <v>-1203</v>
      </c>
      <c r="G99" s="74">
        <f>IFERROR('Data Sheet'!F109,0)</f>
        <v>-1409</v>
      </c>
      <c r="H99" s="74">
        <f>IFERROR('Data Sheet'!G109,0)</f>
        <v>55</v>
      </c>
      <c r="I99" s="74">
        <f>IFERROR('Data Sheet'!H109,0)</f>
        <v>15</v>
      </c>
      <c r="J99" s="74">
        <f>IFERROR('Data Sheet'!I109,0)</f>
        <v>35</v>
      </c>
      <c r="K99" s="74">
        <f>IFERROR('Data Sheet'!J109,0)</f>
        <v>12</v>
      </c>
      <c r="L99" s="74">
        <f>IFERROR('Data Sheet'!K109,0)</f>
        <v>28</v>
      </c>
    </row>
    <row r="100" spans="2:12" outlineLevel="1" x14ac:dyDescent="0.25">
      <c r="B100" s="76" t="s">
        <v>144</v>
      </c>
      <c r="C100" s="81">
        <f t="shared" ref="C100:L100" si="24">SUM(C93:C99)</f>
        <v>-5613</v>
      </c>
      <c r="D100" s="81">
        <f t="shared" si="24"/>
        <v>-7300</v>
      </c>
      <c r="E100" s="81">
        <f t="shared" si="24"/>
        <v>-6221</v>
      </c>
      <c r="F100" s="81">
        <f t="shared" si="24"/>
        <v>-6869</v>
      </c>
      <c r="G100" s="81">
        <f t="shared" si="24"/>
        <v>-8182</v>
      </c>
      <c r="H100" s="81">
        <f t="shared" si="24"/>
        <v>-18633</v>
      </c>
      <c r="I100" s="81">
        <f t="shared" si="24"/>
        <v>-13581</v>
      </c>
      <c r="J100" s="81">
        <f t="shared" si="24"/>
        <v>-13007</v>
      </c>
      <c r="K100" s="81">
        <f t="shared" si="24"/>
        <v>-18551</v>
      </c>
      <c r="L100" s="81">
        <f t="shared" si="24"/>
        <v>-17037</v>
      </c>
    </row>
    <row r="101" spans="2:12" outlineLevel="1" x14ac:dyDescent="0.25">
      <c r="C101" s="74"/>
      <c r="D101" s="74"/>
      <c r="E101" s="74"/>
      <c r="F101" s="74"/>
      <c r="G101" s="74"/>
      <c r="H101" s="74"/>
      <c r="I101" s="74"/>
      <c r="J101" s="74"/>
      <c r="K101" s="74"/>
      <c r="L101" s="74"/>
    </row>
    <row r="102" spans="2:12" outlineLevel="1" x14ac:dyDescent="0.25">
      <c r="B102" s="1" t="s">
        <v>84</v>
      </c>
      <c r="C102" s="75">
        <f t="shared" ref="C102:L102" si="25">IFERROR(C100+C90+C77,0)</f>
        <v>265</v>
      </c>
      <c r="D102" s="75">
        <f t="shared" si="25"/>
        <v>74</v>
      </c>
      <c r="E102" s="75">
        <f t="shared" si="25"/>
        <v>-165</v>
      </c>
      <c r="F102" s="75">
        <f t="shared" si="25"/>
        <v>168</v>
      </c>
      <c r="G102" s="75">
        <f t="shared" si="25"/>
        <v>334</v>
      </c>
      <c r="H102" s="75">
        <f t="shared" si="25"/>
        <v>-365</v>
      </c>
      <c r="I102" s="75">
        <f t="shared" si="25"/>
        <v>-43</v>
      </c>
      <c r="J102" s="75">
        <f t="shared" si="25"/>
        <v>139</v>
      </c>
      <c r="K102" s="75">
        <f t="shared" si="25"/>
        <v>191</v>
      </c>
      <c r="L102" s="75">
        <f t="shared" si="25"/>
        <v>26</v>
      </c>
    </row>
  </sheetData>
  <mergeCells count="1">
    <mergeCell ref="B2:M2"/>
  </mergeCells>
  <pageMargins left="0.7" right="0.7" top="0.75" bottom="0.75" header="0.3" footer="0.3"/>
  <ignoredErrors>
    <ignoredError sqref="C15:L15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F8E3-36B8-4EB2-89BA-27919FD79F3E}">
  <dimension ref="A2:N40"/>
  <sheetViews>
    <sheetView showGridLines="0" workbookViewId="0">
      <selection activeCell="S22" sqref="S22"/>
    </sheetView>
  </sheetViews>
  <sheetFormatPr defaultRowHeight="15" x14ac:dyDescent="0.25"/>
  <cols>
    <col min="1" max="1" width="1.85546875" customWidth="1"/>
    <col min="2" max="2" width="19" bestFit="1" customWidth="1"/>
    <col min="4" max="4" width="9.85546875" bestFit="1" customWidth="1"/>
  </cols>
  <sheetData>
    <row r="2" spans="1:14" x14ac:dyDescent="0.25">
      <c r="A2" t="s">
        <v>18</v>
      </c>
      <c r="B2" s="287" t="str">
        <f>"Common Size " &amp; " - " &amp; " Income Statement " &amp; " - " &amp; "ITC LTD"</f>
        <v>Common Size  -  Income Statement  - ITC LTD</v>
      </c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7"/>
    </row>
    <row r="4" spans="1:14" x14ac:dyDescent="0.25">
      <c r="B4" s="111" t="s">
        <v>285</v>
      </c>
      <c r="C4" s="111"/>
      <c r="D4" s="214">
        <f>'Data Sheet'!B$16</f>
        <v>42460</v>
      </c>
      <c r="E4" s="214">
        <f>'Data Sheet'!C$16</f>
        <v>42825</v>
      </c>
      <c r="F4" s="214">
        <f>'Data Sheet'!D$16</f>
        <v>43190</v>
      </c>
      <c r="G4" s="214">
        <f>'Data Sheet'!E$16</f>
        <v>43555</v>
      </c>
      <c r="H4" s="214">
        <f>'Data Sheet'!F$16</f>
        <v>43921</v>
      </c>
      <c r="I4" s="214">
        <f>'Data Sheet'!G$16</f>
        <v>44286</v>
      </c>
      <c r="J4" s="214">
        <f>'Data Sheet'!H$16</f>
        <v>44651</v>
      </c>
      <c r="K4" s="214">
        <f>'Data Sheet'!I$16</f>
        <v>45016</v>
      </c>
      <c r="L4" s="214">
        <f>'Data Sheet'!J$16</f>
        <v>45382</v>
      </c>
      <c r="M4" s="214">
        <f>'Data Sheet'!K$16</f>
        <v>45747</v>
      </c>
      <c r="N4" s="72"/>
    </row>
    <row r="6" spans="1:14" x14ac:dyDescent="0.25">
      <c r="B6" t="str">
        <f>'Data Sheet'!A17</f>
        <v>Sales</v>
      </c>
      <c r="D6" s="6">
        <f>'Data Sheet'!B17/'Data Sheet'!B$17</f>
        <v>1</v>
      </c>
      <c r="E6" s="6">
        <f>'Data Sheet'!C17/'Data Sheet'!C$17</f>
        <v>1</v>
      </c>
      <c r="F6" s="6">
        <f>'Data Sheet'!D17/'Data Sheet'!D$17</f>
        <v>1</v>
      </c>
      <c r="G6" s="6">
        <f>'Data Sheet'!E17/'Data Sheet'!E$17</f>
        <v>1</v>
      </c>
      <c r="H6" s="6">
        <f>'Data Sheet'!F17/'Data Sheet'!F$17</f>
        <v>1</v>
      </c>
      <c r="I6" s="6">
        <f>'Data Sheet'!G17/'Data Sheet'!G$17</f>
        <v>1</v>
      </c>
      <c r="J6" s="6">
        <f>'Data Sheet'!H17/'Data Sheet'!H$17</f>
        <v>1</v>
      </c>
      <c r="K6" s="6">
        <f>'Data Sheet'!I17/'Data Sheet'!I$17</f>
        <v>1</v>
      </c>
      <c r="L6" s="6">
        <f>'Data Sheet'!J17/'Data Sheet'!J$17</f>
        <v>1</v>
      </c>
      <c r="M6" s="6">
        <f>'Data Sheet'!K17/'Data Sheet'!K$17</f>
        <v>1</v>
      </c>
    </row>
    <row r="7" spans="1:14" x14ac:dyDescent="0.25">
      <c r="B7" t="str">
        <f>'Data Sheet'!A18</f>
        <v>Raw Material Cost</v>
      </c>
      <c r="D7" s="6">
        <f>'Data Sheet'!B18/'Data Sheet'!B$17</f>
        <v>0.35119016332373104</v>
      </c>
      <c r="E7" s="6">
        <f>'Data Sheet'!C18/'Data Sheet'!C$17</f>
        <v>0.36140887026627638</v>
      </c>
      <c r="F7" s="6">
        <f>'Data Sheet'!D18/'Data Sheet'!D$17</f>
        <v>0.34126770411430057</v>
      </c>
      <c r="G7" s="6">
        <f>'Data Sheet'!E18/'Data Sheet'!E$17</f>
        <v>0.36457743323380137</v>
      </c>
      <c r="H7" s="6">
        <f>'Data Sheet'!F18/'Data Sheet'!F$17</f>
        <v>0.36544726723455434</v>
      </c>
      <c r="I7" s="6">
        <f>'Data Sheet'!G18/'Data Sheet'!G$17</f>
        <v>0.42179832695358777</v>
      </c>
      <c r="J7" s="6">
        <f>'Data Sheet'!H18/'Data Sheet'!H$17</f>
        <v>0.44638923800889574</v>
      </c>
      <c r="K7" s="6">
        <f>'Data Sheet'!I18/'Data Sheet'!I$17</f>
        <v>0.41405473255908887</v>
      </c>
      <c r="L7" s="6">
        <f>'Data Sheet'!J18/'Data Sheet'!J$17</f>
        <v>0.40258779596166394</v>
      </c>
      <c r="M7" s="6">
        <f>'Data Sheet'!K18/'Data Sheet'!K$17</f>
        <v>0.43418640224928956</v>
      </c>
    </row>
    <row r="8" spans="1:14" x14ac:dyDescent="0.25">
      <c r="B8" t="str">
        <f>'Data Sheet'!A19</f>
        <v>Change in Inventory</v>
      </c>
      <c r="D8" s="6">
        <f>'Data Sheet'!B19/'Data Sheet'!B$17</f>
        <v>4.9851883415280122E-3</v>
      </c>
      <c r="E8" s="6">
        <f>'Data Sheet'!C19/'Data Sheet'!C$17</f>
        <v>-1.3855582263208599E-2</v>
      </c>
      <c r="F8" s="6">
        <f>'Data Sheet'!D19/'Data Sheet'!D$17</f>
        <v>-2.3654432075903346E-2</v>
      </c>
      <c r="G8" s="6">
        <f>'Data Sheet'!E19/'Data Sheet'!E$17</f>
        <v>4.2033877828479265E-3</v>
      </c>
      <c r="H8" s="6">
        <f>'Data Sheet'!F19/'Data Sheet'!F$17</f>
        <v>1.4236945636261661E-2</v>
      </c>
      <c r="I8" s="6">
        <f>'Data Sheet'!G19/'Data Sheet'!G$17</f>
        <v>1.3099947317613884E-2</v>
      </c>
      <c r="J8" s="6">
        <f>'Data Sheet'!H19/'Data Sheet'!H$17</f>
        <v>1.1311818013624969E-2</v>
      </c>
      <c r="K8" s="6">
        <f>'Data Sheet'!I19/'Data Sheet'!I$17</f>
        <v>5.0563297326542671E-3</v>
      </c>
      <c r="L8" s="6">
        <f>'Data Sheet'!J19/'Data Sheet'!J$17</f>
        <v>5.4138009307551057E-3</v>
      </c>
      <c r="M8" s="6">
        <f>'Data Sheet'!K19/'Data Sheet'!K$17</f>
        <v>9.6338000943665004E-3</v>
      </c>
    </row>
    <row r="9" spans="1:14" x14ac:dyDescent="0.25">
      <c r="B9" t="str">
        <f>'Data Sheet'!A20</f>
        <v>Power and Fuel</v>
      </c>
      <c r="D9" s="6">
        <f>'Data Sheet'!B20/'Data Sheet'!B$17</f>
        <v>1.4591716187701094E-2</v>
      </c>
      <c r="E9" s="6">
        <f>'Data Sheet'!C20/'Data Sheet'!C$17</f>
        <v>1.366291304632479E-2</v>
      </c>
      <c r="F9" s="6">
        <f>'Data Sheet'!D20/'Data Sheet'!D$17</f>
        <v>1.5040643108899779E-2</v>
      </c>
      <c r="G9" s="6">
        <f>'Data Sheet'!E20/'Data Sheet'!E$17</f>
        <v>1.544758973909165E-2</v>
      </c>
      <c r="H9" s="6">
        <f>'Data Sheet'!F20/'Data Sheet'!F$17</f>
        <v>1.5810616813498098E-2</v>
      </c>
      <c r="I9" s="6">
        <f>'Data Sheet'!G20/'Data Sheet'!G$17</f>
        <v>1.4202115619058639E-2</v>
      </c>
      <c r="J9" s="6">
        <f>'Data Sheet'!H20/'Data Sheet'!H$17</f>
        <v>1.4671889670529284E-2</v>
      </c>
      <c r="K9" s="6">
        <f>'Data Sheet'!I20/'Data Sheet'!I$17</f>
        <v>1.7376718209484814E-2</v>
      </c>
      <c r="L9" s="6">
        <f>'Data Sheet'!J20/'Data Sheet'!J$17</f>
        <v>1.4027274946071023E-2</v>
      </c>
      <c r="M9" s="6">
        <f>'Data Sheet'!K20/'Data Sheet'!K$17</f>
        <v>1.2948841620671628E-2</v>
      </c>
    </row>
    <row r="10" spans="1:14" x14ac:dyDescent="0.25">
      <c r="B10" t="str">
        <f>'Data Sheet'!A21</f>
        <v>Other Mfr. Exp</v>
      </c>
      <c r="D10" s="6">
        <f>'Data Sheet'!B21/'Data Sheet'!B$17</f>
        <v>4.035481640432638E-2</v>
      </c>
      <c r="E10" s="6">
        <f>'Data Sheet'!C21/'Data Sheet'!C$17</f>
        <v>3.9373263872651262E-2</v>
      </c>
      <c r="F10" s="6">
        <f>'Data Sheet'!D21/'Data Sheet'!D$17</f>
        <v>3.9071609111752781E-2</v>
      </c>
      <c r="G10" s="6">
        <f>'Data Sheet'!E21/'Data Sheet'!E$17</f>
        <v>3.8705549365550963E-2</v>
      </c>
      <c r="H10" s="6">
        <f>'Data Sheet'!F21/'Data Sheet'!F$17</f>
        <v>3.8638972861663935E-2</v>
      </c>
      <c r="I10" s="6">
        <f>'Data Sheet'!G21/'Data Sheet'!G$17</f>
        <v>3.2222130865483298E-2</v>
      </c>
      <c r="J10" s="6">
        <f>'Data Sheet'!H21/'Data Sheet'!H$17</f>
        <v>3.1126792288308232E-2</v>
      </c>
      <c r="K10" s="6">
        <f>'Data Sheet'!I21/'Data Sheet'!I$17</f>
        <v>3.2823347978673707E-2</v>
      </c>
      <c r="L10" s="6">
        <f>'Data Sheet'!J21/'Data Sheet'!J$17</f>
        <v>3.2146292303738125E-2</v>
      </c>
      <c r="M10" s="6">
        <f>'Data Sheet'!K21/'Data Sheet'!K$17</f>
        <v>3.1137227849959922E-2</v>
      </c>
    </row>
    <row r="11" spans="1:14" x14ac:dyDescent="0.25">
      <c r="B11" t="str">
        <f>'Data Sheet'!A22</f>
        <v>Employee Cost</v>
      </c>
      <c r="D11" s="6">
        <f>'Data Sheet'!B22/'Data Sheet'!B$17</f>
        <v>8.779754083093276E-2</v>
      </c>
      <c r="E11" s="6">
        <f>'Data Sheet'!C22/'Data Sheet'!C$17</f>
        <v>8.4917788232213173E-2</v>
      </c>
      <c r="F11" s="6">
        <f>'Data Sheet'!D22/'Data Sheet'!D$17</f>
        <v>8.6559073708127279E-2</v>
      </c>
      <c r="G11" s="6">
        <f>'Data Sheet'!E22/'Data Sheet'!E$17</f>
        <v>8.6427726513138917E-2</v>
      </c>
      <c r="H11" s="6">
        <f>'Data Sheet'!F22/'Data Sheet'!F$17</f>
        <v>8.6980968945709156E-2</v>
      </c>
      <c r="I11" s="6">
        <f>'Data Sheet'!G22/'Data Sheet'!G$17</f>
        <v>9.0612283015056611E-2</v>
      </c>
      <c r="J11" s="6">
        <f>'Data Sheet'!H22/'Data Sheet'!H$17</f>
        <v>8.0642874032847811E-2</v>
      </c>
      <c r="K11" s="6">
        <f>'Data Sheet'!I22/'Data Sheet'!I$17</f>
        <v>8.0884073005510662E-2</v>
      </c>
      <c r="L11" s="6">
        <f>'Data Sheet'!J22/'Data Sheet'!J$17</f>
        <v>8.167777925965311E-2</v>
      </c>
      <c r="M11" s="6">
        <f>'Data Sheet'!K22/'Data Sheet'!K$17</f>
        <v>8.1910600353091084E-2</v>
      </c>
    </row>
    <row r="12" spans="1:14" x14ac:dyDescent="0.25">
      <c r="B12" t="str">
        <f>'Data Sheet'!A23</f>
        <v>Selling and admin</v>
      </c>
      <c r="D12" s="6">
        <f>'Data Sheet'!B23/'Data Sheet'!B$17</f>
        <v>0.10874079214943828</v>
      </c>
      <c r="E12" s="6">
        <f>'Data Sheet'!C23/'Data Sheet'!C$17</f>
        <v>9.7731460264312231E-2</v>
      </c>
      <c r="F12" s="6">
        <f>'Data Sheet'!D23/'Data Sheet'!D$17</f>
        <v>9.1023394356686257E-2</v>
      </c>
      <c r="G12" s="6">
        <f>'Data Sheet'!E23/'Data Sheet'!E$17</f>
        <v>9.4051086087218794E-2</v>
      </c>
      <c r="H12" s="6">
        <f>'Data Sheet'!F23/'Data Sheet'!F$17</f>
        <v>9.088558487234677E-2</v>
      </c>
      <c r="I12" s="6">
        <f>'Data Sheet'!G23/'Data Sheet'!G$17</f>
        <v>8.6012775732401917E-2</v>
      </c>
      <c r="J12" s="6">
        <f>'Data Sheet'!H23/'Data Sheet'!H$17</f>
        <v>8.0112405832412942E-2</v>
      </c>
      <c r="K12" s="6">
        <f>'Data Sheet'!I23/'Data Sheet'!I$17</f>
        <v>7.9020821350771431E-2</v>
      </c>
      <c r="L12" s="6">
        <f>'Data Sheet'!J23/'Data Sheet'!J$17</f>
        <v>7.8202536244364573E-2</v>
      </c>
      <c r="M12" s="6">
        <f>'Data Sheet'!K23/'Data Sheet'!K$17</f>
        <v>7.691228243463448E-2</v>
      </c>
    </row>
    <row r="13" spans="1:14" x14ac:dyDescent="0.25">
      <c r="B13" t="str">
        <f>'Data Sheet'!A24</f>
        <v>Other Expenses</v>
      </c>
      <c r="D13" s="6">
        <f>'Data Sheet'!B24/'Data Sheet'!B$17</f>
        <v>3.1534161221266538E-2</v>
      </c>
      <c r="E13" s="6">
        <f>'Data Sheet'!C24/'Data Sheet'!C$17</f>
        <v>2.7339153938963141E-2</v>
      </c>
      <c r="F13" s="6">
        <f>'Data Sheet'!D24/'Data Sheet'!D$17</f>
        <v>2.3153154024010712E-2</v>
      </c>
      <c r="G13" s="6">
        <f>'Data Sheet'!E24/'Data Sheet'!E$17</f>
        <v>2.1511357773484997E-2</v>
      </c>
      <c r="H13" s="6">
        <f>'Data Sheet'!F24/'Data Sheet'!F$17</f>
        <v>2.4806378916207884E-2</v>
      </c>
      <c r="I13" s="6">
        <f>'Data Sheet'!G24/'Data Sheet'!G$17</f>
        <v>2.1811725941964111E-2</v>
      </c>
      <c r="J13" s="6">
        <f>'Data Sheet'!H24/'Data Sheet'!H$17</f>
        <v>1.8302554525106464E-2</v>
      </c>
      <c r="K13" s="6">
        <f>'Data Sheet'!I24/'Data Sheet'!I$17</f>
        <v>1.8451465001706874E-2</v>
      </c>
      <c r="L13" s="6">
        <f>'Data Sheet'!J24/'Data Sheet'!J$17</f>
        <v>2.5996166162779982E-2</v>
      </c>
      <c r="M13" s="6">
        <f>'Data Sheet'!K24/'Data Sheet'!K$17</f>
        <v>2.9491390052538827E-2</v>
      </c>
    </row>
    <row r="14" spans="1:14" x14ac:dyDescent="0.25">
      <c r="B14" t="str">
        <f>'Data Sheet'!A25</f>
        <v>Other Income</v>
      </c>
      <c r="D14" s="6">
        <f>'Data Sheet'!B25/'Data Sheet'!B$17</f>
        <v>3.7842065110060448E-2</v>
      </c>
      <c r="E14" s="6">
        <f>'Data Sheet'!C25/'Data Sheet'!C$17</f>
        <v>4.1120614670919112E-2</v>
      </c>
      <c r="F14" s="6">
        <f>'Data Sheet'!D25/'Data Sheet'!D$17</f>
        <v>5.1550394555080051E-2</v>
      </c>
      <c r="G14" s="6">
        <f>'Data Sheet'!E25/'Data Sheet'!E$17</f>
        <v>4.3038023913323203E-2</v>
      </c>
      <c r="H14" s="6">
        <f>'Data Sheet'!F25/'Data Sheet'!F$17</f>
        <v>4.8945790146129507E-2</v>
      </c>
      <c r="I14" s="6">
        <f>'Data Sheet'!G25/'Data Sheet'!G$17</f>
        <v>5.2315944085615476E-2</v>
      </c>
      <c r="J14" s="6">
        <f>'Data Sheet'!H25/'Data Sheet'!H$17</f>
        <v>3.1490386438746173E-2</v>
      </c>
      <c r="K14" s="6">
        <f>'Data Sheet'!I25/'Data Sheet'!I$17</f>
        <v>2.957795672050224E-2</v>
      </c>
      <c r="L14" s="6">
        <f>'Data Sheet'!J25/'Data Sheet'!J$17</f>
        <v>4.9026275416247496E-2</v>
      </c>
      <c r="M14" s="6">
        <f>'Data Sheet'!K25/'Data Sheet'!K$17</f>
        <v>0.23624656049506038</v>
      </c>
    </row>
    <row r="15" spans="1:14" x14ac:dyDescent="0.25">
      <c r="B15" t="str">
        <f>'Data Sheet'!A26</f>
        <v>Depreciation</v>
      </c>
      <c r="D15" s="6">
        <f>'Data Sheet'!B26/'Data Sheet'!B$17</f>
        <v>2.7490234001240049E-2</v>
      </c>
      <c r="E15" s="6">
        <f>'Data Sheet'!C26/'Data Sheet'!C$17</f>
        <v>2.6954750792656124E-2</v>
      </c>
      <c r="F15" s="6">
        <f>'Data Sheet'!D26/'Data Sheet'!D$17</f>
        <v>2.845362855802696E-2</v>
      </c>
      <c r="G15" s="6">
        <f>'Data Sheet'!E26/'Data Sheet'!E$17</f>
        <v>2.8891645314253867E-2</v>
      </c>
      <c r="H15" s="6">
        <f>'Data Sheet'!F26/'Data Sheet'!F$17</f>
        <v>3.3306066085280348E-2</v>
      </c>
      <c r="I15" s="6">
        <f>'Data Sheet'!G26/'Data Sheet'!G$17</f>
        <v>3.3407941336792708E-2</v>
      </c>
      <c r="J15" s="6">
        <f>'Data Sheet'!H26/'Data Sheet'!H$17</f>
        <v>2.8566627762367396E-2</v>
      </c>
      <c r="K15" s="6">
        <f>'Data Sheet'!I26/'Data Sheet'!I$17</f>
        <v>2.550810410125463E-2</v>
      </c>
      <c r="L15" s="6">
        <f>'Data Sheet'!J26/'Data Sheet'!J$17</f>
        <v>2.2346631054552542E-2</v>
      </c>
      <c r="M15" s="6">
        <f>'Data Sheet'!K26/'Data Sheet'!K$17</f>
        <v>2.1856704707996222E-2</v>
      </c>
    </row>
    <row r="16" spans="1:14" x14ac:dyDescent="0.25">
      <c r="B16" t="str">
        <f>'Data Sheet'!A27</f>
        <v>Interest</v>
      </c>
      <c r="D16" s="6">
        <f>'Data Sheet'!B27/'Data Sheet'!B$17</f>
        <v>1.9935139989946953E-3</v>
      </c>
      <c r="E16" s="6">
        <f>'Data Sheet'!C27/'Data Sheet'!C$17</f>
        <v>1.146428604831695E-3</v>
      </c>
      <c r="F16" s="6">
        <f>'Data Sheet'!D27/'Data Sheet'!D$17</f>
        <v>2.647015094039118E-3</v>
      </c>
      <c r="G16" s="6">
        <f>'Data Sheet'!E27/'Data Sheet'!E$17</f>
        <v>1.4770504832685763E-3</v>
      </c>
      <c r="H16" s="6">
        <f>'Data Sheet'!F27/'Data Sheet'!F$17</f>
        <v>1.647778697934911E-3</v>
      </c>
      <c r="I16" s="6">
        <f>'Data Sheet'!G27/'Data Sheet'!G$17</f>
        <v>1.1768778123918311E-3</v>
      </c>
      <c r="J16" s="6">
        <f>'Data Sheet'!H27/'Data Sheet'!H$17</f>
        <v>9.8920694262006107E-4</v>
      </c>
      <c r="K16" s="6">
        <f>'Data Sheet'!I27/'Data Sheet'!I$17</f>
        <v>1.0966027031108574E-3</v>
      </c>
      <c r="L16" s="6">
        <f>'Data Sheet'!J27/'Data Sheet'!J$17</f>
        <v>5.7572329010477244E-4</v>
      </c>
      <c r="M16" s="6">
        <f>'Data Sheet'!K27/'Data Sheet'!K$17</f>
        <v>5.9822094984104534E-4</v>
      </c>
    </row>
    <row r="17" spans="2:13" x14ac:dyDescent="0.25">
      <c r="B17" t="str">
        <f>'Data Sheet'!A28</f>
        <v>Profit before tax</v>
      </c>
      <c r="D17" s="6">
        <f>'Data Sheet'!B28/'Data Sheet'!B$17</f>
        <v>0.37913431533395764</v>
      </c>
      <c r="E17" s="6">
        <f>'Data Sheet'!C28/'Data Sheet'!C$17</f>
        <v>0.37473040338948177</v>
      </c>
      <c r="F17" s="6">
        <f>'Data Sheet'!D28/'Data Sheet'!D$17</f>
        <v>0.40067974040333321</v>
      </c>
      <c r="G17" s="6">
        <f>'Data Sheet'!E28/'Data Sheet'!E$17</f>
        <v>0.39615197318636197</v>
      </c>
      <c r="H17" s="6">
        <f>'Data Sheet'!F28/'Data Sheet'!F$17</f>
        <v>0.40565910135519573</v>
      </c>
      <c r="I17" s="6">
        <f>'Data Sheet'!G28/'Data Sheet'!G$17</f>
        <v>0.36417171412649252</v>
      </c>
      <c r="J17" s="6">
        <f>'Data Sheet'!H28/'Data Sheet'!H$17</f>
        <v>0.34200061538928322</v>
      </c>
      <c r="K17" s="6">
        <f>'Data Sheet'!I28/'Data Sheet'!I$17</f>
        <v>0.36541842154355464</v>
      </c>
      <c r="L17" s="6">
        <f>'Data Sheet'!J28/'Data Sheet'!J$17</f>
        <v>0.39687987712407446</v>
      </c>
      <c r="M17" s="6">
        <f>'Data Sheet'!K28/'Data Sheet'!K$17</f>
        <v>0.5568386903714041</v>
      </c>
    </row>
    <row r="18" spans="2:13" x14ac:dyDescent="0.25">
      <c r="B18" t="str">
        <f>'Data Sheet'!A29</f>
        <v>Tax</v>
      </c>
      <c r="D18" s="6">
        <f>'Data Sheet'!B29/'Data Sheet'!B$17</f>
        <v>0.13671658318895902</v>
      </c>
      <c r="E18" s="6">
        <f>'Data Sheet'!C29/'Data Sheet'!C$17</f>
        <v>0.12974985736866226</v>
      </c>
      <c r="F18" s="6">
        <f>'Data Sheet'!D29/'Data Sheet'!D$17</f>
        <v>0.13616972013586523</v>
      </c>
      <c r="G18" s="6">
        <f>'Data Sheet'!E29/'Data Sheet'!E$17</f>
        <v>0.13061594660110823</v>
      </c>
      <c r="H18" s="6">
        <f>'Data Sheet'!F29/'Data Sheet'!F$17</f>
        <v>8.9937170591058102E-2</v>
      </c>
      <c r="I18" s="6">
        <f>'Data Sheet'!G29/'Data Sheet'!G$17</f>
        <v>9.2479208728831891E-2</v>
      </c>
      <c r="J18" s="6">
        <f>'Data Sheet'!H29/'Data Sheet'!H$17</f>
        <v>8.636127836075598E-2</v>
      </c>
      <c r="K18" s="6">
        <f>'Data Sheet'!I29/'Data Sheet'!I$17</f>
        <v>9.0785223655766301E-2</v>
      </c>
      <c r="L18" s="6">
        <f>'Data Sheet'!J29/'Data Sheet'!J$17</f>
        <v>9.1407075964560991E-2</v>
      </c>
      <c r="M18" s="6">
        <f>'Data Sheet'!K29/'Data Sheet'!K$17</f>
        <v>9.1478551004243847E-2</v>
      </c>
    </row>
    <row r="19" spans="2:13" x14ac:dyDescent="0.25">
      <c r="B19" t="str">
        <f>'Data Sheet'!A30</f>
        <v>Net profit</v>
      </c>
      <c r="D19" s="6">
        <f>'Data Sheet'!B30/'Data Sheet'!B$17</f>
        <v>0.23842687684507849</v>
      </c>
      <c r="E19" s="6">
        <f>'Data Sheet'!C30/'Data Sheet'!C$17</f>
        <v>0.2405896052151629</v>
      </c>
      <c r="F19" s="6">
        <f>'Data Sheet'!D30/'Data Sheet'!D$17</f>
        <v>0.25941254263049918</v>
      </c>
      <c r="G19" s="6">
        <f>'Data Sheet'!E30/'Data Sheet'!E$17</f>
        <v>0.26049729848707825</v>
      </c>
      <c r="H19" s="6">
        <f>'Data Sheet'!F30/'Data Sheet'!F$17</f>
        <v>0.30991987883622846</v>
      </c>
      <c r="I19" s="6">
        <f>'Data Sheet'!G30/'Data Sheet'!G$17</f>
        <v>0.26719186640802561</v>
      </c>
      <c r="J19" s="6">
        <f>'Data Sheet'!H30/'Data Sheet'!H$17</f>
        <v>0.25134430898478244</v>
      </c>
      <c r="K19" s="6">
        <f>'Data Sheet'!I30/'Data Sheet'!I$17</f>
        <v>0.27061368436652333</v>
      </c>
      <c r="L19" s="6">
        <f>'Data Sheet'!J30/'Data Sheet'!J$17</f>
        <v>0.30116584334261615</v>
      </c>
      <c r="M19" s="6">
        <f>'Data Sheet'!K30/'Data Sheet'!K$17</f>
        <v>0.46129964497060272</v>
      </c>
    </row>
    <row r="20" spans="2:13" x14ac:dyDescent="0.25">
      <c r="B20" t="str">
        <f>'Data Sheet'!A31</f>
        <v>Dividend Amount</v>
      </c>
      <c r="D20" s="6">
        <f>'Data Sheet'!B31/'Data Sheet'!B$17</f>
        <v>0.17452802988357347</v>
      </c>
      <c r="E20" s="6">
        <f>'Data Sheet'!C31/'Data Sheet'!C$17</f>
        <v>0.13491568383542682</v>
      </c>
      <c r="F20" s="6">
        <f>'Data Sheet'!D31/'Data Sheet'!D$17</f>
        <v>0.14465738404665338</v>
      </c>
      <c r="G20" s="6">
        <f>'Data Sheet'!E31/'Data Sheet'!E$17</f>
        <v>0.14581632691057719</v>
      </c>
      <c r="H20" s="6">
        <f>'Data Sheet'!F31/'Data Sheet'!F$17</f>
        <v>0.25262524879676518</v>
      </c>
      <c r="I20" s="6">
        <f>'Data Sheet'!G31/'Data Sheet'!G$17</f>
        <v>0.26862860338892897</v>
      </c>
      <c r="J20" s="6">
        <f>'Data Sheet'!H31/'Data Sheet'!H$17</f>
        <v>0.23368633021208504</v>
      </c>
      <c r="K20" s="6">
        <f>'Data Sheet'!I31/'Data Sheet'!I$17</f>
        <v>0.27162526052598296</v>
      </c>
      <c r="L20" s="6">
        <f>'Data Sheet'!J31/'Data Sheet'!J$17</f>
        <v>0.2527008650128349</v>
      </c>
      <c r="M20" s="6">
        <f>'Data Sheet'!K31/'Data Sheet'!K$17</f>
        <v>0.23840857296025375</v>
      </c>
    </row>
    <row r="23" spans="2:13" x14ac:dyDescent="0.25">
      <c r="B23" s="287" t="str">
        <f>"Common Size " &amp; " - " &amp; " Balance Sheet " &amp; " - " &amp; "ITC LTD"</f>
        <v>Common Size  -  Balance Sheet  - ITC LTD</v>
      </c>
      <c r="C23" s="287"/>
      <c r="D23" s="287"/>
      <c r="E23" s="287"/>
      <c r="F23" s="287"/>
      <c r="G23" s="287"/>
      <c r="H23" s="287"/>
      <c r="I23" s="287"/>
      <c r="J23" s="287"/>
      <c r="K23" s="287"/>
      <c r="L23" s="287"/>
      <c r="M23" s="287"/>
    </row>
    <row r="25" spans="2:13" x14ac:dyDescent="0.25">
      <c r="B25" s="111" t="s">
        <v>285</v>
      </c>
      <c r="C25" s="111"/>
      <c r="D25" s="214">
        <f>'Data Sheet'!B$16</f>
        <v>42460</v>
      </c>
      <c r="E25" s="214">
        <f>'Data Sheet'!C$16</f>
        <v>42825</v>
      </c>
      <c r="F25" s="214">
        <f>'Data Sheet'!D$16</f>
        <v>43190</v>
      </c>
      <c r="G25" s="214">
        <f>'Data Sheet'!E$16</f>
        <v>43555</v>
      </c>
      <c r="H25" s="214">
        <f>'Data Sheet'!F$16</f>
        <v>43921</v>
      </c>
      <c r="I25" s="214">
        <f>'Data Sheet'!G$16</f>
        <v>44286</v>
      </c>
      <c r="J25" s="214">
        <f>'Data Sheet'!H$16</f>
        <v>44651</v>
      </c>
      <c r="K25" s="214">
        <f>'Data Sheet'!I$16</f>
        <v>45016</v>
      </c>
      <c r="L25" s="214">
        <f>'Data Sheet'!J$16</f>
        <v>45382</v>
      </c>
      <c r="M25" s="214">
        <f>'Data Sheet'!K$16</f>
        <v>45747</v>
      </c>
    </row>
    <row r="26" spans="2:13" x14ac:dyDescent="0.25">
      <c r="B26" s="1"/>
      <c r="C26" s="1"/>
      <c r="D26" s="213"/>
      <c r="E26" s="213"/>
      <c r="F26" s="213"/>
      <c r="G26" s="213"/>
      <c r="H26" s="213"/>
      <c r="I26" s="213"/>
      <c r="J26" s="213"/>
      <c r="K26" s="213"/>
      <c r="L26" s="213"/>
      <c r="M26" s="213"/>
    </row>
    <row r="27" spans="2:13" x14ac:dyDescent="0.25">
      <c r="B27" s="1" t="s">
        <v>286</v>
      </c>
      <c r="D27" s="24">
        <f>'Data Sheet'!B61/'Data Sheet'!B$61</f>
        <v>1</v>
      </c>
      <c r="E27" s="24">
        <f>'Data Sheet'!C61/'Data Sheet'!C$61</f>
        <v>1</v>
      </c>
      <c r="F27" s="24">
        <f>'Data Sheet'!D61/'Data Sheet'!D$61</f>
        <v>1</v>
      </c>
      <c r="G27" s="24">
        <f>'Data Sheet'!E61/'Data Sheet'!E$61</f>
        <v>1</v>
      </c>
      <c r="H27" s="24">
        <f>'Data Sheet'!F61/'Data Sheet'!F$61</f>
        <v>1</v>
      </c>
      <c r="I27" s="24">
        <f>'Data Sheet'!G61/'Data Sheet'!G$61</f>
        <v>1</v>
      </c>
      <c r="J27" s="24">
        <f>'Data Sheet'!H61/'Data Sheet'!H$61</f>
        <v>1</v>
      </c>
      <c r="K27" s="24">
        <f>'Data Sheet'!I61/'Data Sheet'!I$61</f>
        <v>1</v>
      </c>
      <c r="L27" s="24">
        <f>'Data Sheet'!J61/'Data Sheet'!J$61</f>
        <v>1</v>
      </c>
      <c r="M27" s="24">
        <f>'Data Sheet'!K61/'Data Sheet'!K$61</f>
        <v>1</v>
      </c>
    </row>
    <row r="28" spans="2:13" x14ac:dyDescent="0.25">
      <c r="B28" t="str">
        <f>'Data Sheet'!A57</f>
        <v>Equity Share Capital</v>
      </c>
      <c r="D28" s="25">
        <f>'Data Sheet'!B57/'Data Sheet'!B$61</f>
        <v>1.5579847492824001E-2</v>
      </c>
      <c r="E28" s="25">
        <f>'Data Sheet'!C57/'Data Sheet'!C$61</f>
        <v>2.1731243443452324E-2</v>
      </c>
      <c r="F28" s="25">
        <f>'Data Sheet'!D57/'Data Sheet'!D$61</f>
        <v>1.8997716096043518E-2</v>
      </c>
      <c r="G28" s="25">
        <f>'Data Sheet'!E57/'Data Sheet'!E$61</f>
        <v>1.7087766995488092E-2</v>
      </c>
      <c r="H28" s="25">
        <f>'Data Sheet'!F57/'Data Sheet'!F$61</f>
        <v>1.5899729339063456E-2</v>
      </c>
      <c r="I28" s="25">
        <f>'Data Sheet'!G57/'Data Sheet'!G$61</f>
        <v>1.6687463632424616E-2</v>
      </c>
      <c r="J28" s="25">
        <f>'Data Sheet'!H57/'Data Sheet'!H$61</f>
        <v>1.5963646830497218E-2</v>
      </c>
      <c r="K28" s="25">
        <f>'Data Sheet'!I57/'Data Sheet'!I$61</f>
        <v>1.447962366959428E-2</v>
      </c>
      <c r="L28" s="25">
        <f>'Data Sheet'!J57/'Data Sheet'!J$61</f>
        <v>1.3606713693151371E-2</v>
      </c>
      <c r="M28" s="25">
        <f>'Data Sheet'!K57/'Data Sheet'!K$61</f>
        <v>1.4220131882317249E-2</v>
      </c>
    </row>
    <row r="29" spans="2:13" x14ac:dyDescent="0.25">
      <c r="B29" t="str">
        <f>'Data Sheet'!A58</f>
        <v>Reserves</v>
      </c>
      <c r="D29" s="25">
        <f>'Data Sheet'!B58/'Data Sheet'!B$61</f>
        <v>0.81072049631239007</v>
      </c>
      <c r="E29" s="25">
        <f>'Data Sheet'!C58/'Data Sheet'!C$61</f>
        <v>0.80857868358118823</v>
      </c>
      <c r="F29" s="25">
        <f>'Data Sheet'!D58/'Data Sheet'!D$61</f>
        <v>0.79839628597864787</v>
      </c>
      <c r="G29" s="25">
        <f>'Data Sheet'!E58/'Data Sheet'!E$61</f>
        <v>0.80730115708267081</v>
      </c>
      <c r="H29" s="25">
        <f>'Data Sheet'!F58/'Data Sheet'!F$61</f>
        <v>0.82839760317937672</v>
      </c>
      <c r="I29" s="25">
        <f>'Data Sheet'!G58/'Data Sheet'!G$61</f>
        <v>0.80146218666944324</v>
      </c>
      <c r="J29" s="25">
        <f>'Data Sheet'!H58/'Data Sheet'!H$61</f>
        <v>0.79308803744027212</v>
      </c>
      <c r="K29" s="25">
        <f>'Data Sheet'!I58/'Data Sheet'!I$61</f>
        <v>0.79123500424555426</v>
      </c>
      <c r="L29" s="25">
        <f>'Data Sheet'!J58/'Data Sheet'!J$61</f>
        <v>0.79842354505205604</v>
      </c>
      <c r="M29" s="25">
        <f>'Data Sheet'!K58/'Data Sheet'!K$61</f>
        <v>0.78155147512519507</v>
      </c>
    </row>
    <row r="30" spans="2:13" x14ac:dyDescent="0.25">
      <c r="B30" t="str">
        <f>'Data Sheet'!A59</f>
        <v>Borrowings</v>
      </c>
      <c r="D30" s="25">
        <f>'Data Sheet'!B59/'Data Sheet'!B$61</f>
        <v>1.6220295543155319E-3</v>
      </c>
      <c r="E30" s="25">
        <f>'Data Sheet'!C59/'Data Sheet'!C$61</f>
        <v>8.1791366896178633E-4</v>
      </c>
      <c r="F30" s="25">
        <f>'Data Sheet'!D59/'Data Sheet'!D$61</f>
        <v>5.5914551606391452E-4</v>
      </c>
      <c r="G30" s="25">
        <f>'Data Sheet'!E59/'Data Sheet'!E$61</f>
        <v>1.8734569071456771E-4</v>
      </c>
      <c r="H30" s="25">
        <f>'Data Sheet'!F59/'Data Sheet'!F$61</f>
        <v>3.5887635290046986E-3</v>
      </c>
      <c r="I30" s="25">
        <f>'Data Sheet'!G59/'Data Sheet'!G$61</f>
        <v>3.6717354864564847E-3</v>
      </c>
      <c r="J30" s="25">
        <f>'Data Sheet'!H59/'Data Sheet'!H$61</f>
        <v>3.2312546683106198E-3</v>
      </c>
      <c r="K30" s="25">
        <f>'Data Sheet'!I59/'Data Sheet'!I$61</f>
        <v>3.5656131540413856E-3</v>
      </c>
      <c r="L30" s="25">
        <f>'Data Sheet'!J59/'Data Sheet'!J$61</f>
        <v>3.3069958716772691E-3</v>
      </c>
      <c r="M30" s="25">
        <f>'Data Sheet'!K59/'Data Sheet'!K$61</f>
        <v>3.2333098870830101E-3</v>
      </c>
    </row>
    <row r="31" spans="2:13" x14ac:dyDescent="0.25">
      <c r="B31" t="str">
        <f>'Data Sheet'!A60</f>
        <v>Other Liabilities</v>
      </c>
      <c r="D31" s="25">
        <f>'Data Sheet'!B60/'Data Sheet'!B$61</f>
        <v>0.17207762664047055</v>
      </c>
      <c r="E31" s="25">
        <f>'Data Sheet'!C60/'Data Sheet'!C$61</f>
        <v>0.16887215930639776</v>
      </c>
      <c r="F31" s="25">
        <f>'Data Sheet'!D60/'Data Sheet'!D$61</f>
        <v>0.18204685240924473</v>
      </c>
      <c r="G31" s="25">
        <f>'Data Sheet'!E60/'Data Sheet'!E$61</f>
        <v>0.17542373023112662</v>
      </c>
      <c r="H31" s="25">
        <f>'Data Sheet'!F60/'Data Sheet'!F$61</f>
        <v>0.15211390395255511</v>
      </c>
      <c r="I31" s="25">
        <f>'Data Sheet'!G60/'Data Sheet'!G$61</f>
        <v>0.17817861421167572</v>
      </c>
      <c r="J31" s="25">
        <f>'Data Sheet'!H60/'Data Sheet'!H$61</f>
        <v>0.18771706106091998</v>
      </c>
      <c r="K31" s="25">
        <f>'Data Sheet'!I60/'Data Sheet'!I$61</f>
        <v>0.19071975893081003</v>
      </c>
      <c r="L31" s="25">
        <f>'Data Sheet'!J60/'Data Sheet'!J$61</f>
        <v>0.18466274538311531</v>
      </c>
      <c r="M31" s="25">
        <f>'Data Sheet'!K60/'Data Sheet'!K$61</f>
        <v>0.20099508310540473</v>
      </c>
    </row>
    <row r="33" spans="2:13" x14ac:dyDescent="0.25">
      <c r="B33" s="1" t="s">
        <v>112</v>
      </c>
      <c r="D33" s="25">
        <f>'Data Sheet'!B74/'Data Sheet'!B74</f>
        <v>1</v>
      </c>
      <c r="E33" s="25">
        <f>'Data Sheet'!C74/'Data Sheet'!C74</f>
        <v>1</v>
      </c>
      <c r="F33" s="25">
        <f>'Data Sheet'!D74/'Data Sheet'!D74</f>
        <v>1</v>
      </c>
      <c r="G33" s="25">
        <f>'Data Sheet'!E74/'Data Sheet'!E74</f>
        <v>1</v>
      </c>
      <c r="H33" s="25">
        <f>'Data Sheet'!F74/'Data Sheet'!F74</f>
        <v>1</v>
      </c>
      <c r="I33" s="25">
        <f>'Data Sheet'!G74/'Data Sheet'!G74</f>
        <v>1</v>
      </c>
      <c r="J33" s="25">
        <f>'Data Sheet'!H74/'Data Sheet'!H74</f>
        <v>1</v>
      </c>
      <c r="K33" s="25">
        <f>'Data Sheet'!I74/'Data Sheet'!I74</f>
        <v>1</v>
      </c>
      <c r="L33" s="25">
        <f>'Data Sheet'!J74/'Data Sheet'!J74</f>
        <v>1</v>
      </c>
      <c r="M33" s="25">
        <f>'Data Sheet'!K74/'Data Sheet'!K74</f>
        <v>1</v>
      </c>
    </row>
    <row r="34" spans="2:13" x14ac:dyDescent="0.25">
      <c r="B34" t="str">
        <f>'Data Sheet'!A62</f>
        <v>Net Block</v>
      </c>
      <c r="D34" s="25">
        <f>'Data Sheet'!B62/'Data Sheet'!B$74</f>
        <v>0.29247314784088857</v>
      </c>
      <c r="E34" s="25">
        <f>'Data Sheet'!C62/'Data Sheet'!C$74</f>
        <v>0.2843284019984858</v>
      </c>
      <c r="F34" s="25">
        <f>'Data Sheet'!D62/'Data Sheet'!D$74</f>
        <v>0.25721876786245768</v>
      </c>
      <c r="G34" s="25">
        <f>'Data Sheet'!E62/'Data Sheet'!E$74</f>
        <v>0.27006480711199926</v>
      </c>
      <c r="H34" s="25">
        <f>'Data Sheet'!F62/'Data Sheet'!F$74</f>
        <v>0.28085796606552127</v>
      </c>
      <c r="I34" s="25">
        <f>'Data Sheet'!G62/'Data Sheet'!G$74</f>
        <v>0.31586550897794441</v>
      </c>
      <c r="J34" s="25">
        <f>'Data Sheet'!H62/'Data Sheet'!H$74</f>
        <v>0.31389688224859258</v>
      </c>
      <c r="K34" s="25">
        <f>'Data Sheet'!I62/'Data Sheet'!I$74</f>
        <v>0.30118817265937603</v>
      </c>
      <c r="L34" s="25">
        <f>'Data Sheet'!J62/'Data Sheet'!J$74</f>
        <v>0.30320453708978479</v>
      </c>
      <c r="M34" s="25">
        <f>'Data Sheet'!K62/'Data Sheet'!K$74</f>
        <v>0.24947927734035433</v>
      </c>
    </row>
    <row r="35" spans="2:13" x14ac:dyDescent="0.25">
      <c r="B35" t="str">
        <f>'Data Sheet'!A63</f>
        <v>Capital Work in Progress</v>
      </c>
      <c r="D35" s="25">
        <f>'Data Sheet'!B63/'Data Sheet'!B$74</f>
        <v>4.9557668784585257E-2</v>
      </c>
      <c r="E35" s="25">
        <f>'Data Sheet'!C63/'Data Sheet'!C$74</f>
        <v>6.6726334530268522E-2</v>
      </c>
      <c r="F35" s="25">
        <f>'Data Sheet'!D63/'Data Sheet'!D$74</f>
        <v>8.5744933755577443E-2</v>
      </c>
      <c r="G35" s="25">
        <f>'Data Sheet'!E63/'Data Sheet'!E$74</f>
        <v>5.7659260564401203E-2</v>
      </c>
      <c r="H35" s="25">
        <f>'Data Sheet'!F63/'Data Sheet'!F$74</f>
        <v>4.2121697176653962E-2</v>
      </c>
      <c r="I35" s="25">
        <f>'Data Sheet'!G63/'Data Sheet'!G$74</f>
        <v>5.4382438575741363E-2</v>
      </c>
      <c r="J35" s="25">
        <f>'Data Sheet'!H63/'Data Sheet'!H$74</f>
        <v>4.1783760354484591E-2</v>
      </c>
      <c r="K35" s="25">
        <f>'Data Sheet'!I63/'Data Sheet'!I$74</f>
        <v>3.4990870427174532E-2</v>
      </c>
      <c r="L35" s="25">
        <f>'Data Sheet'!J63/'Data Sheet'!J$74</f>
        <v>3.1178814388085879E-2</v>
      </c>
      <c r="M35" s="25">
        <f>'Data Sheet'!K63/'Data Sheet'!K$74</f>
        <v>1.2396324203689206E-2</v>
      </c>
    </row>
    <row r="36" spans="2:13" x14ac:dyDescent="0.25">
      <c r="B36" t="str">
        <f>'Data Sheet'!A64</f>
        <v>Investments</v>
      </c>
      <c r="D36" s="25">
        <f>'Data Sheet'!B64/'Data Sheet'!B$74</f>
        <v>0.22744017870591549</v>
      </c>
      <c r="E36" s="25">
        <f>'Data Sheet'!C64/'Data Sheet'!C$74</f>
        <v>0.31452430055142983</v>
      </c>
      <c r="F36" s="25">
        <f>'Data Sheet'!D64/'Data Sheet'!D$74</f>
        <v>0.34328390271117087</v>
      </c>
      <c r="G36" s="25">
        <f>'Data Sheet'!E64/'Data Sheet'!E$74</f>
        <v>0.34909151279414952</v>
      </c>
      <c r="H36" s="25">
        <f>'Data Sheet'!F64/'Data Sheet'!F$74</f>
        <v>0.37075503730076348</v>
      </c>
      <c r="I36" s="25">
        <f>'Data Sheet'!G64/'Data Sheet'!G$74</f>
        <v>0.33718294117359965</v>
      </c>
      <c r="J36" s="25">
        <f>'Data Sheet'!H64/'Data Sheet'!H$74</f>
        <v>0.3217913306929554</v>
      </c>
      <c r="K36" s="25">
        <f>'Data Sheet'!I64/'Data Sheet'!I$74</f>
        <v>0.34270873819889697</v>
      </c>
      <c r="L36" s="25">
        <f>'Data Sheet'!J64/'Data Sheet'!J$74</f>
        <v>0.33910271130502584</v>
      </c>
      <c r="M36" s="25">
        <f>'Data Sheet'!K64/'Data Sheet'!K$74</f>
        <v>0.39453130415316806</v>
      </c>
    </row>
    <row r="37" spans="2:13" x14ac:dyDescent="0.25">
      <c r="B37" t="str">
        <f>'Data Sheet'!A65</f>
        <v>Other Assets</v>
      </c>
      <c r="D37" s="25">
        <f>'Data Sheet'!B75/'Data Sheet'!B$74</f>
        <v>0.10057473823525198</v>
      </c>
      <c r="E37" s="25">
        <f>'Data Sheet'!C75/'Data Sheet'!C$74</f>
        <v>9.1877179850843468E-2</v>
      </c>
      <c r="F37" s="25">
        <f>'Data Sheet'!D75/'Data Sheet'!D$74</f>
        <v>0.11019073835850315</v>
      </c>
      <c r="G37" s="25">
        <f>'Data Sheet'!E75/'Data Sheet'!E$74</f>
        <v>9.9500495127896896E-2</v>
      </c>
      <c r="H37" s="25">
        <f>'Data Sheet'!F75/'Data Sheet'!F$74</f>
        <v>6.4136617482044828E-2</v>
      </c>
      <c r="I37" s="25">
        <f>'Data Sheet'!G75/'Data Sheet'!G$74</f>
        <v>5.4530891492983506E-2</v>
      </c>
      <c r="J37" s="25">
        <f>'Data Sheet'!H75/'Data Sheet'!H$74</f>
        <v>8.9608376183124464E-2</v>
      </c>
      <c r="K37" s="25">
        <f>'Data Sheet'!I75/'Data Sheet'!I$74</f>
        <v>9.2668775928872266E-2</v>
      </c>
      <c r="L37" s="25">
        <f>'Data Sheet'!J75/'Data Sheet'!J$74</f>
        <v>4.9726131741220564E-2</v>
      </c>
      <c r="M37" s="25">
        <f>'Data Sheet'!K75/'Data Sheet'!K$74</f>
        <v>6.6674431579940144E-2</v>
      </c>
    </row>
    <row r="38" spans="2:13" x14ac:dyDescent="0.25">
      <c r="B38" t="str">
        <f>'Data Sheet'!A67</f>
        <v>Receivables</v>
      </c>
      <c r="D38" s="25">
        <f>'Data Sheet'!B67/'Data Sheet'!B$74</f>
        <v>3.7117720469594793E-2</v>
      </c>
      <c r="E38" s="25">
        <f>'Data Sheet'!C67/'Data Sheet'!C$74</f>
        <v>4.4264120996838546E-2</v>
      </c>
      <c r="F38" s="25">
        <f>'Data Sheet'!D67/'Data Sheet'!D$74</f>
        <v>4.1753631021243798E-2</v>
      </c>
      <c r="G38" s="25">
        <f>'Data Sheet'!E67/'Data Sheet'!E$74</f>
        <v>5.6249428484128033E-2</v>
      </c>
      <c r="H38" s="25">
        <f>'Data Sheet'!F67/'Data Sheet'!F$74</f>
        <v>3.3145196495959491E-2</v>
      </c>
      <c r="I38" s="25">
        <f>'Data Sheet'!G67/'Data Sheet'!G$74</f>
        <v>3.3916407585822053E-2</v>
      </c>
      <c r="J38" s="25">
        <f>'Data Sheet'!H67/'Data Sheet'!H$74</f>
        <v>3.1891540522425897E-2</v>
      </c>
      <c r="K38" s="25">
        <f>'Data Sheet'!I67/'Data Sheet'!I$74</f>
        <v>3.4441767865581369E-2</v>
      </c>
      <c r="L38" s="25">
        <f>'Data Sheet'!J67/'Data Sheet'!J$74</f>
        <v>4.3876248624446439E-2</v>
      </c>
      <c r="M38" s="25">
        <f>'Data Sheet'!K67/'Data Sheet'!K$74</f>
        <v>5.3630968140750232E-2</v>
      </c>
    </row>
    <row r="39" spans="2:13" x14ac:dyDescent="0.25">
      <c r="B39" t="str">
        <f>'Data Sheet'!A68</f>
        <v>Inventory</v>
      </c>
      <c r="D39" s="25">
        <f>'Data Sheet'!B68/'Data Sheet'!B$74</f>
        <v>0.17544752953166368</v>
      </c>
      <c r="E39" s="25">
        <f>'Data Sheet'!C68/'Data Sheet'!C$74</f>
        <v>0.14519398794096139</v>
      </c>
      <c r="F39" s="25">
        <f>'Data Sheet'!D68/'Data Sheet'!D$74</f>
        <v>0.11667165829608811</v>
      </c>
      <c r="G39" s="25">
        <f>'Data Sheet'!E68/'Data Sheet'!E$74</f>
        <v>0.10955764113932945</v>
      </c>
      <c r="H39" s="25">
        <f>'Data Sheet'!F68/'Data Sheet'!F$74</f>
        <v>0.11485246230310792</v>
      </c>
      <c r="I39" s="25">
        <f>'Data Sheet'!G68/'Data Sheet'!G$74</f>
        <v>0.14095787516289149</v>
      </c>
      <c r="J39" s="25">
        <f>'Data Sheet'!H68/'Data Sheet'!H$74</f>
        <v>0.14073458709399783</v>
      </c>
      <c r="K39" s="25">
        <f>'Data Sheet'!I68/'Data Sheet'!I$74</f>
        <v>0.13714352024024895</v>
      </c>
      <c r="L39" s="25">
        <f>'Data Sheet'!J68/'Data Sheet'!J$74</f>
        <v>0.1542481486087196</v>
      </c>
      <c r="M39" s="25">
        <f>'Data Sheet'!K68/'Data Sheet'!K$74</f>
        <v>0.17769409347667742</v>
      </c>
    </row>
    <row r="40" spans="2:13" x14ac:dyDescent="0.25">
      <c r="B40" t="str">
        <f>'Data Sheet'!A69</f>
        <v>Cash &amp; Bank</v>
      </c>
      <c r="D40" s="25">
        <f>'Data Sheet'!B69/'Data Sheet'!B$74</f>
        <v>0.11738901643210033</v>
      </c>
      <c r="E40" s="25">
        <f>'Data Sheet'!C69/'Data Sheet'!C$74</f>
        <v>5.3085674131172461E-2</v>
      </c>
      <c r="F40" s="25">
        <f>'Data Sheet'!D69/'Data Sheet'!D$74</f>
        <v>4.5136367994958973E-2</v>
      </c>
      <c r="G40" s="25">
        <f>'Data Sheet'!E69/'Data Sheet'!E$74</f>
        <v>5.7876854778095725E-2</v>
      </c>
      <c r="H40" s="25">
        <f>'Data Sheet'!F69/'Data Sheet'!F$74</f>
        <v>9.4131023175949013E-2</v>
      </c>
      <c r="I40" s="25">
        <f>'Data Sheet'!G69/'Data Sheet'!G$74</f>
        <v>6.3163937031017581E-2</v>
      </c>
      <c r="J40" s="25">
        <f>'Data Sheet'!H69/'Data Sheet'!H$74</f>
        <v>6.0293522904419167E-2</v>
      </c>
      <c r="K40" s="25">
        <f>'Data Sheet'!I69/'Data Sheet'!I$74</f>
        <v>5.6858154679849782E-2</v>
      </c>
      <c r="L40" s="25">
        <f>'Data Sheet'!J69/'Data Sheet'!J$74</f>
        <v>7.8663408242716906E-2</v>
      </c>
      <c r="M40" s="25">
        <f>'Data Sheet'!K69/'Data Sheet'!K$74</f>
        <v>4.5593601105420635E-2</v>
      </c>
    </row>
  </sheetData>
  <mergeCells count="2">
    <mergeCell ref="B2:M2"/>
    <mergeCell ref="B23:M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3869-DC4C-4176-983C-7EED72B729C1}">
  <dimension ref="B2:O47"/>
  <sheetViews>
    <sheetView showGridLines="0" workbookViewId="0">
      <pane ySplit="3" topLeftCell="A19" activePane="bottomLeft" state="frozen"/>
      <selection pane="bottomLeft" activeCell="Q33" sqref="Q33"/>
    </sheetView>
  </sheetViews>
  <sheetFormatPr defaultRowHeight="15" x14ac:dyDescent="0.25"/>
  <cols>
    <col min="1" max="1" width="1.85546875" customWidth="1"/>
    <col min="2" max="2" width="34.42578125" customWidth="1"/>
    <col min="3" max="12" width="10.140625" bestFit="1" customWidth="1"/>
    <col min="13" max="13" width="24.28515625" customWidth="1"/>
    <col min="14" max="14" width="10.140625" bestFit="1" customWidth="1"/>
  </cols>
  <sheetData>
    <row r="2" spans="2:15" x14ac:dyDescent="0.25">
      <c r="B2" s="287" t="str">
        <f>"Ratio Analysis "&amp; " - "&amp; "ITC"</f>
        <v>Ratio Analysis  - ITC</v>
      </c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7"/>
      <c r="N2" s="287"/>
      <c r="O2" s="287"/>
    </row>
    <row r="3" spans="2:15" x14ac:dyDescent="0.25">
      <c r="B3" s="58" t="s">
        <v>88</v>
      </c>
      <c r="C3" s="53">
        <f>'Data Sheet'!B16</f>
        <v>42460</v>
      </c>
      <c r="D3" s="53">
        <f>'Data Sheet'!C16</f>
        <v>42825</v>
      </c>
      <c r="E3" s="53">
        <f>'Data Sheet'!D16</f>
        <v>43190</v>
      </c>
      <c r="F3" s="53">
        <f>'Data Sheet'!E16</f>
        <v>43555</v>
      </c>
      <c r="G3" s="53">
        <f>'Data Sheet'!F16</f>
        <v>43921</v>
      </c>
      <c r="H3" s="53">
        <f>'Data Sheet'!G16</f>
        <v>44286</v>
      </c>
      <c r="I3" s="53">
        <f>'Data Sheet'!H16</f>
        <v>44651</v>
      </c>
      <c r="J3" s="53">
        <f>'Data Sheet'!I16</f>
        <v>45016</v>
      </c>
      <c r="K3" s="53">
        <f>'Data Sheet'!J16</f>
        <v>45382</v>
      </c>
      <c r="L3" s="53">
        <f>'Data Sheet'!K16</f>
        <v>45747</v>
      </c>
      <c r="M3" s="95" t="s">
        <v>176</v>
      </c>
      <c r="N3" s="53" t="s">
        <v>174</v>
      </c>
      <c r="O3" s="53" t="s">
        <v>175</v>
      </c>
    </row>
    <row r="4" spans="2:15" x14ac:dyDescent="0.25">
      <c r="B4" s="64"/>
      <c r="C4" s="65"/>
      <c r="D4" s="65"/>
      <c r="E4" s="65"/>
      <c r="F4" s="65"/>
      <c r="G4" s="65"/>
      <c r="H4" s="65"/>
      <c r="I4" s="65"/>
      <c r="J4" s="65"/>
      <c r="K4" s="65"/>
      <c r="L4" s="65"/>
    </row>
    <row r="5" spans="2:15" x14ac:dyDescent="0.25">
      <c r="B5" s="1" t="s">
        <v>158</v>
      </c>
    </row>
    <row r="6" spans="2:15" x14ac:dyDescent="0.25">
      <c r="B6" s="82" t="s">
        <v>89</v>
      </c>
      <c r="C6" s="83" t="str">
        <f>IFERROR('Financials Statements'!C7,0)</f>
        <v>-</v>
      </c>
      <c r="D6" s="84">
        <f>IFERROR('Financials Statements'!D7,0)</f>
        <v>9.1230120355888067E-2</v>
      </c>
      <c r="E6" s="84">
        <f>IFERROR('Financials Statements'!E7,0)</f>
        <v>1.5931218960147486E-2</v>
      </c>
      <c r="F6" s="84">
        <f>IFERROR('Financials Statements'!F7,0)</f>
        <v>0.11256062863673999</v>
      </c>
      <c r="G6" s="84">
        <f>IFERROR('Financials Statements'!G7,0)</f>
        <v>2.1682439110972673E-2</v>
      </c>
      <c r="H6" s="84">
        <f>IFERROR('Financials Statements'!H7,0)</f>
        <v>-2.6372963308678443E-3</v>
      </c>
      <c r="I6" s="84">
        <f>IFERROR('Financials Statements'!I7,0)</f>
        <v>0.23117497962237188</v>
      </c>
      <c r="J6" s="84">
        <f>IFERROR('Financials Statements'!J7,0)</f>
        <v>0.1694215175842706</v>
      </c>
      <c r="K6" s="84">
        <f>IFERROR('Financials Statements'!K7,0)</f>
        <v>-4.2119724423754779E-2</v>
      </c>
      <c r="L6" s="84">
        <f>IFERROR('Financials Statements'!L7,0)</f>
        <v>0.10880596078957838</v>
      </c>
      <c r="M6" s="82"/>
      <c r="N6" s="84">
        <f>IFERROR(AVERAGE(D6:L6),0)</f>
        <v>7.8449982700594056E-2</v>
      </c>
      <c r="O6" s="82">
        <f>IFERROR(MEDIAN(C6:L6),0)</f>
        <v>9.1230120355888067E-2</v>
      </c>
    </row>
    <row r="7" spans="2:15" x14ac:dyDescent="0.25">
      <c r="B7" t="s">
        <v>145</v>
      </c>
      <c r="C7" s="85">
        <f>IFERROR('Financials Statements'!C8,0)</f>
        <v>0</v>
      </c>
      <c r="D7" s="85">
        <f>IFERROR('Financials Statements'!D18/'Financials Statements'!C18-1,0)</f>
        <v>6.4550847848362514E-2</v>
      </c>
      <c r="E7" s="85">
        <f>IFERROR('Financials Statements'!E18/'Financials Statements'!D18-1,0)</f>
        <v>6.7945267820377131E-2</v>
      </c>
      <c r="F7" s="85">
        <f>IFERROR('Financials Statements'!F18/'Financials Statements'!E18-1,0)</f>
        <v>0.12207796452790087</v>
      </c>
      <c r="G7" s="85">
        <f>IFERROR('Financials Statements'!G18/'Financials Statements'!F18-1,0)</f>
        <v>4.34877833395102E-2</v>
      </c>
      <c r="H7" s="85">
        <f>IFERROR('Financials Statements'!H18/'Financials Statements'!G18-1,0)</f>
        <v>-0.11780470379258412</v>
      </c>
      <c r="I7" s="85">
        <f>IFERROR('Financials Statements'!I18/'Financials Statements'!H18-1,0)</f>
        <v>0.20852129356487437</v>
      </c>
      <c r="J7" s="85">
        <f>IFERROR('Financials Statements'!J18/'Financials Statements'!I18-1,0)</f>
        <v>0.24637894792987503</v>
      </c>
      <c r="K7" s="85">
        <f>IFERROR('Financials Statements'!K18/'Financials Statements'!J18-1,0)</f>
        <v>-2.0102893450346215E-2</v>
      </c>
      <c r="L7" s="85">
        <f>IFERROR('Financials Statements'!L18/'Financials Statements'!K18-1,0)</f>
        <v>2.5882649072775266E-2</v>
      </c>
      <c r="N7" s="85">
        <f t="shared" ref="N7:N10" si="0">IFERROR(AVERAGE(D7:L7),0)</f>
        <v>7.121523965119389E-2</v>
      </c>
      <c r="O7">
        <f t="shared" ref="O7:O10" si="1">IFERROR(MEDIAN(C7:L7),0)</f>
        <v>5.4019315593936357E-2</v>
      </c>
    </row>
    <row r="8" spans="2:15" x14ac:dyDescent="0.25">
      <c r="B8" t="s">
        <v>146</v>
      </c>
      <c r="C8" s="85">
        <f>IFERROR('Financials Statements'!C27/'Financials Statements'!B27-1,0)</f>
        <v>0</v>
      </c>
      <c r="D8" s="85">
        <f>IFERROR('Financials Statements'!D27/'Financials Statements'!C27-1,0)</f>
        <v>6.6666616826007274E-2</v>
      </c>
      <c r="E8" s="85">
        <f>IFERROR('Financials Statements'!E27/'Financials Statements'!D27-1,0)</f>
        <v>6.3192429888790924E-2</v>
      </c>
      <c r="F8" s="85">
        <f>IFERROR('Financials Statements'!F27/'Financials Statements'!E27-1,0)</f>
        <v>0.125258251863962</v>
      </c>
      <c r="G8" s="85">
        <f>IFERROR('Financials Statements'!G27/'Financials Statements'!F27-1,0)</f>
        <v>3.2096654945873881E-2</v>
      </c>
      <c r="H8" s="85">
        <f>IFERROR('Financials Statements'!H27/'Financials Statements'!G27-1,0)</f>
        <v>-0.12805801132412842</v>
      </c>
      <c r="I8" s="85">
        <f>IFERROR('Financials Statements'!I27/'Financials Statements'!H27-1,0)</f>
        <v>0.22586291974205142</v>
      </c>
      <c r="J8" s="85">
        <f>IFERROR('Financials Statements'!J27/'Financials Statements'!I27-1,0)</f>
        <v>0.26481844854825254</v>
      </c>
      <c r="K8" s="85">
        <f>IFERROR('Financials Statements'!K27/'Financials Statements'!J27-1,0)</f>
        <v>-7.8559948407639357E-3</v>
      </c>
      <c r="L8" s="85">
        <f>IFERROR('Financials Statements'!L27/'Financials Statements'!K27-1,0)</f>
        <v>2.1908247733742447E-2</v>
      </c>
      <c r="N8" s="85">
        <f t="shared" si="0"/>
        <v>7.3765507042643119E-2</v>
      </c>
      <c r="O8">
        <f t="shared" si="1"/>
        <v>4.7644542417332403E-2</v>
      </c>
    </row>
    <row r="9" spans="2:15" x14ac:dyDescent="0.25">
      <c r="B9" t="s">
        <v>147</v>
      </c>
      <c r="C9" s="85">
        <f>IFERROR('Financials Statements'!C33/'Financials Statements'!B33-1,0)</f>
        <v>0</v>
      </c>
      <c r="D9" s="85">
        <f>IFERROR('Financials Statements'!D33/'Financials Statements'!C33-1,0)</f>
        <v>8.7412303950609838E-2</v>
      </c>
      <c r="E9" s="85">
        <f>IFERROR('Financials Statements'!E33/'Financials Statements'!D33-1,0)</f>
        <v>6.127933383800177E-2</v>
      </c>
      <c r="F9" s="85">
        <f>IFERROR('Financials Statements'!F33/'Financials Statements'!E33-1,0)</f>
        <v>0.16239177682167782</v>
      </c>
      <c r="G9" s="85">
        <f>IFERROR('Financials Statements'!G33/'Financials Statements'!F33-1,0)</f>
        <v>0.22500199898470163</v>
      </c>
      <c r="H9" s="85">
        <f>IFERROR('Financials Statements'!H33/'Financials Statements'!G33-1,0)</f>
        <v>-0.17984419519318484</v>
      </c>
      <c r="I9" s="85">
        <f>IFERROR('Financials Statements'!I33/'Financials Statements'!H33-1,0)</f>
        <v>0.25795836175137099</v>
      </c>
      <c r="J9" s="85">
        <f>IFERROR('Financials Statements'!J33/'Financials Statements'!I33-1,0)</f>
        <v>0.27849303449244922</v>
      </c>
      <c r="K9" s="85">
        <f>IFERROR('Financials Statements'!K33/'Financials Statements'!J33-1,0)</f>
        <v>2.4069168218343595E-3</v>
      </c>
      <c r="L9" s="85">
        <f>IFERROR('Financials Statements'!L33/'Financials Statements'!K33-1,0)</f>
        <v>-9.3743667810697318E-3</v>
      </c>
      <c r="N9" s="85">
        <f t="shared" si="0"/>
        <v>9.841390718737679E-2</v>
      </c>
      <c r="O9">
        <f t="shared" si="1"/>
        <v>7.4345818894305804E-2</v>
      </c>
    </row>
    <row r="10" spans="2:15" x14ac:dyDescent="0.25">
      <c r="B10" s="86" t="s">
        <v>148</v>
      </c>
      <c r="C10" s="87">
        <f>IFERROR('Financials Statements'!C41/'Financials Statements'!B41-1,0)</f>
        <v>0</v>
      </c>
      <c r="D10" s="87">
        <f>IFERROR('Financials Statements'!D41/'Financials Statements'!C41-1,0)</f>
        <v>-0.16176397951050281</v>
      </c>
      <c r="E10" s="87">
        <f>IFERROR('Financials Statements'!E41/'Financials Statements'!D41-1,0)</f>
        <v>8.4208810537972134E-2</v>
      </c>
      <c r="F10" s="87">
        <f>IFERROR('Financials Statements'!F41/'Financials Statements'!E41-1,0)</f>
        <v>0.11650644574362401</v>
      </c>
      <c r="G10" s="87">
        <f>IFERROR('Financials Statements'!G41/'Financials Statements'!F41-1,0)</f>
        <v>0.76521571469920979</v>
      </c>
      <c r="H10" s="87">
        <f>IFERROR('Financials Statements'!H41/'Financials Statements'!G41-1,0)</f>
        <v>5.9113555156941944E-2</v>
      </c>
      <c r="I10" s="87">
        <f>IFERROR('Financials Statements'!I41/'Financials Statements'!H41-1,0)</f>
        <v>6.9767819288815591E-2</v>
      </c>
      <c r="J10" s="87">
        <f>IFERROR('Financials Statements'!J41/'Financials Statements'!I41-1,0)</f>
        <v>0.34782561142550716</v>
      </c>
      <c r="K10" s="87">
        <f>IFERROR('Financials Statements'!K41/'Financials Statements'!J41-1,0)</f>
        <v>-0.1129033549968389</v>
      </c>
      <c r="L10" s="87">
        <f>IFERROR('Financials Statements'!L41/'Financials Statements'!K41-1,0)</f>
        <v>4.3636312217121498E-2</v>
      </c>
      <c r="M10" s="86"/>
      <c r="N10" s="87">
        <f t="shared" si="0"/>
        <v>0.1346229927290945</v>
      </c>
      <c r="O10" s="86">
        <f t="shared" si="1"/>
        <v>6.4440687222878767E-2</v>
      </c>
    </row>
    <row r="12" spans="2:15" x14ac:dyDescent="0.25">
      <c r="B12" s="1" t="s">
        <v>159</v>
      </c>
    </row>
    <row r="13" spans="2:15" x14ac:dyDescent="0.25">
      <c r="B13" s="82" t="s">
        <v>22</v>
      </c>
      <c r="C13" s="84">
        <f>IFERROR('Financials Statements'!C13,0)</f>
        <v>0.51105095159483671</v>
      </c>
      <c r="D13" s="84">
        <f>IFERROR('Financials Statements'!D13,0)</f>
        <v>0.48678158231932583</v>
      </c>
      <c r="E13" s="84">
        <f>IFERROR('Financials Statements'!E13,0)</f>
        <v>0.49440653788101624</v>
      </c>
      <c r="F13" s="84">
        <f>IFERROR('Financials Statements'!F13,0)</f>
        <v>0.49904508893126504</v>
      </c>
      <c r="G13" s="84">
        <f>IFERROR('Financials Statements'!G13,0)</f>
        <v>0.50735911978083614</v>
      </c>
      <c r="H13" s="84">
        <f>IFERROR('Financials Statements'!H13,0)</f>
        <v>0.45426509086442762</v>
      </c>
      <c r="I13" s="84">
        <f>IFERROR('Financials Statements'!I13,0)</f>
        <v>0.43848102401304379</v>
      </c>
      <c r="J13" s="84">
        <f>IFERROR('Financials Statements'!J13,0)</f>
        <v>0.45991745797989614</v>
      </c>
      <c r="K13" s="84">
        <f>IFERROR('Financials Statements'!K13,0)</f>
        <v>0.47497465845962877</v>
      </c>
      <c r="L13" s="84">
        <f>IFERROR('Financials Statements'!L13,0)</f>
        <v>0.44945072802135433</v>
      </c>
      <c r="M13" s="82"/>
      <c r="N13" s="84">
        <f>IFERROR(AVERAGE(C13:L13),0)</f>
        <v>0.47757322398456303</v>
      </c>
      <c r="O13" s="82">
        <f t="shared" ref="O13:O17" si="2">IFERROR(MEDIAN(C13:L13),0)</f>
        <v>0.4808781203894773</v>
      </c>
    </row>
    <row r="14" spans="2:15" x14ac:dyDescent="0.25">
      <c r="B14" t="s">
        <v>93</v>
      </c>
      <c r="C14" s="85">
        <f>IFERROR('Financials Statements'!C19,0)</f>
        <v>0.37077599822413193</v>
      </c>
      <c r="D14" s="85">
        <f>IFERROR('Financials Statements'!D19,0)</f>
        <v>0.36171096811605047</v>
      </c>
      <c r="E14" s="85">
        <f>IFERROR('Financials Statements'!E19,0)</f>
        <v>0.38022998950031928</v>
      </c>
      <c r="F14" s="85">
        <f>IFERROR('Financials Statements'!F19,0)</f>
        <v>0.38348264507056118</v>
      </c>
      <c r="G14" s="85">
        <f>IFERROR('Financials Statements'!G19,0)</f>
        <v>0.39166715599228152</v>
      </c>
      <c r="H14" s="85">
        <f>IFERROR('Financials Statements'!H19,0)</f>
        <v>0.3464405891900616</v>
      </c>
      <c r="I14" s="85">
        <f>IFERROR('Financials Statements'!I19,0)</f>
        <v>0.34006606365552439</v>
      </c>
      <c r="J14" s="85">
        <f>IFERROR('Financials Statements'!J19,0)</f>
        <v>0.36244517162741785</v>
      </c>
      <c r="K14" s="85">
        <f>IFERROR('Financials Statements'!K19,0)</f>
        <v>0.37077595605248426</v>
      </c>
      <c r="L14" s="85">
        <f>IFERROR('Financials Statements'!L19,0)</f>
        <v>0.34304705553418102</v>
      </c>
      <c r="N14" s="85">
        <f t="shared" ref="N14:N17" si="3">IFERROR(AVERAGE(C14:L14),0)</f>
        <v>0.36506415929630137</v>
      </c>
      <c r="O14">
        <f t="shared" si="2"/>
        <v>0.36661056383995105</v>
      </c>
    </row>
    <row r="15" spans="2:15" x14ac:dyDescent="0.25">
      <c r="B15" t="s">
        <v>149</v>
      </c>
      <c r="C15" s="85">
        <f>IFERROR(('Financials Statements'!C18-'Financials Statements'!C24)/'Financials Statements'!C6,0)</f>
        <v>0.34328576422289186</v>
      </c>
      <c r="D15" s="85">
        <f>IFERROR(('Financials Statements'!D18-'Financials Statements'!D24)/'Financials Statements'!D6,0)</f>
        <v>0.33475621732339439</v>
      </c>
      <c r="E15" s="85">
        <f>IFERROR(('Financials Statements'!E18-'Financials Statements'!E24)/'Financials Statements'!E6,0)</f>
        <v>0.35177636094229231</v>
      </c>
      <c r="F15" s="85">
        <f>IFERROR(('Financials Statements'!F18-'Financials Statements'!F24)/'Financials Statements'!F6,0)</f>
        <v>0.35459099975630731</v>
      </c>
      <c r="G15" s="85">
        <f>IFERROR(('Financials Statements'!G18-'Financials Statements'!G24)/'Financials Statements'!G6,0)</f>
        <v>0.35836108990700116</v>
      </c>
      <c r="H15" s="85">
        <f>IFERROR(('Financials Statements'!H18-'Financials Statements'!H24)/'Financials Statements'!H6,0)</f>
        <v>0.3130326478532689</v>
      </c>
      <c r="I15" s="85">
        <f>IFERROR(('Financials Statements'!I18-'Financials Statements'!I24)/'Financials Statements'!I6,0)</f>
        <v>0.31149943589315698</v>
      </c>
      <c r="J15" s="85">
        <f>IFERROR(('Financials Statements'!J18-'Financials Statements'!J24)/'Financials Statements'!J6,0)</f>
        <v>0.33693706752616326</v>
      </c>
      <c r="K15" s="85">
        <f>IFERROR(('Financials Statements'!K18-'Financials Statements'!K24)/'Financials Statements'!K6,0)</f>
        <v>0.34842932499793172</v>
      </c>
      <c r="L15" s="85">
        <f>IFERROR(('Financials Statements'!L18-'Financials Statements'!L24)/'Financials Statements'!L6,0)</f>
        <v>0.3211903508261848</v>
      </c>
      <c r="N15" s="85">
        <f t="shared" si="3"/>
        <v>0.33738592592485922</v>
      </c>
      <c r="O15">
        <f t="shared" si="2"/>
        <v>0.34011141587452753</v>
      </c>
    </row>
    <row r="16" spans="2:15" x14ac:dyDescent="0.25">
      <c r="B16" t="s">
        <v>150</v>
      </c>
      <c r="C16" s="85">
        <f>IFERROR('Financials Statements'!C28,0)</f>
        <v>0.34129225022389714</v>
      </c>
      <c r="D16" s="85">
        <f>IFERROR('Financials Statements'!D28,0)</f>
        <v>0.33360978871856267</v>
      </c>
      <c r="E16" s="85">
        <f>IFERROR('Financials Statements'!E28,0)</f>
        <v>0.34912934584825317</v>
      </c>
      <c r="F16" s="85">
        <f>IFERROR('Financials Statements'!F28,0)</f>
        <v>0.3531139492730388</v>
      </c>
      <c r="G16" s="85">
        <f>IFERROR('Financials Statements'!G28,0)</f>
        <v>0.35671331120906624</v>
      </c>
      <c r="H16" s="85">
        <f>IFERROR('Financials Statements'!H28,0)</f>
        <v>0.31185577004087706</v>
      </c>
      <c r="I16" s="85">
        <f>IFERROR('Financials Statements'!I28,0)</f>
        <v>0.31051022895053687</v>
      </c>
      <c r="J16" s="85">
        <f>IFERROR('Financials Statements'!J28,0)</f>
        <v>0.33584046482305235</v>
      </c>
      <c r="K16" s="85">
        <f>IFERROR('Financials Statements'!K28,0)</f>
        <v>0.34785360170782698</v>
      </c>
      <c r="L16" s="85">
        <f>IFERROR('Financials Statements'!L28,0)</f>
        <v>0.32059212987634372</v>
      </c>
      <c r="N16" s="85">
        <f t="shared" si="3"/>
        <v>0.33605108406714546</v>
      </c>
      <c r="O16">
        <f t="shared" si="2"/>
        <v>0.33856635752347475</v>
      </c>
    </row>
    <row r="17" spans="2:15" x14ac:dyDescent="0.25">
      <c r="B17" s="86" t="s">
        <v>151</v>
      </c>
      <c r="C17" s="87">
        <f>IFERROR('Financials Statements'!C34,0)</f>
        <v>0.20457566703493815</v>
      </c>
      <c r="D17" s="87">
        <f>IFERROR('Financials Statements'!D34,0)</f>
        <v>0.20385993134990041</v>
      </c>
      <c r="E17" s="87">
        <f>IFERROR('Financials Statements'!E34,0)</f>
        <v>0.21295962571238797</v>
      </c>
      <c r="F17" s="87">
        <f>IFERROR('Financials Statements'!F34,0)</f>
        <v>0.22249800267193054</v>
      </c>
      <c r="G17" s="87">
        <f>IFERROR('Financials Statements'!G34,0)</f>
        <v>0.26677614061800814</v>
      </c>
      <c r="H17" s="87">
        <f>IFERROR('Financials Statements'!H34,0)</f>
        <v>0.21937656131204519</v>
      </c>
      <c r="I17" s="87">
        <f>IFERROR('Financials Statements'!I34,0)</f>
        <v>0.2241489505897809</v>
      </c>
      <c r="J17" s="87">
        <f>IFERROR('Financials Statements'!J34,0)</f>
        <v>0.24505524116728605</v>
      </c>
      <c r="K17" s="87">
        <f>IFERROR('Financials Statements'!K34,0)</f>
        <v>0.25644652574326599</v>
      </c>
      <c r="L17" s="87">
        <f>IFERROR('Financials Statements'!L34,0)</f>
        <v>0.22911357887209988</v>
      </c>
      <c r="M17" s="86"/>
      <c r="N17" s="87">
        <f t="shared" si="3"/>
        <v>0.22848102250716437</v>
      </c>
      <c r="O17" s="86">
        <f t="shared" si="2"/>
        <v>0.22332347663085572</v>
      </c>
    </row>
    <row r="20" spans="2:15" x14ac:dyDescent="0.25">
      <c r="B20" s="82" t="s">
        <v>152</v>
      </c>
      <c r="C20" s="84">
        <f>IFERROR('Financials Statements'!C16,0)</f>
        <v>0.14027495337070481</v>
      </c>
      <c r="D20" s="84">
        <f>IFERROR('Financials Statements'!D16,0)</f>
        <v>0.12507061420327537</v>
      </c>
      <c r="E20" s="84">
        <f>IFERROR('Financials Statements'!E16,0)</f>
        <v>0.11417654838069698</v>
      </c>
      <c r="F20" s="84">
        <f>IFERROR('Financials Statements'!F16,0)</f>
        <v>0.11556244386070379</v>
      </c>
      <c r="G20" s="84">
        <f>IFERROR('Financials Statements'!G16,0)</f>
        <v>0.11569196378855465</v>
      </c>
      <c r="H20" s="84">
        <f>IFERROR('Financials Statements'!H16,0)</f>
        <v>0.10782450167436604</v>
      </c>
      <c r="I20" s="84">
        <f>IFERROR('Financials Statements'!I16,0)</f>
        <v>9.8414960357519399E-2</v>
      </c>
      <c r="J20" s="84">
        <f>IFERROR('Financials Statements'!J16,0)</f>
        <v>9.7472286352478302E-2</v>
      </c>
      <c r="K20" s="84">
        <f>IFERROR('Financials Statements'!K16,0)</f>
        <v>0.10419870240714456</v>
      </c>
      <c r="L20" s="84">
        <f>IFERROR('Financials Statements'!L16,0)</f>
        <v>0.10640367248717331</v>
      </c>
      <c r="M20" s="82"/>
      <c r="N20" s="84">
        <f t="shared" ref="N20:N22" si="4">IFERROR(AVERAGE(C20:L20),0)</f>
        <v>0.11250906468826172</v>
      </c>
      <c r="O20" s="82">
        <f t="shared" ref="O20:O22" si="5">IFERROR(MEDIAN(C20:L20),0)</f>
        <v>0.11100052502753151</v>
      </c>
    </row>
    <row r="21" spans="2:15" x14ac:dyDescent="0.25">
      <c r="B21" t="s">
        <v>153</v>
      </c>
      <c r="C21" s="85">
        <f>IFERROR('Financials Statements'!C25,0)</f>
        <v>2.7490234001240049E-2</v>
      </c>
      <c r="D21" s="85">
        <f>IFERROR('Financials Statements'!D25,0)</f>
        <v>2.6954750792656124E-2</v>
      </c>
      <c r="E21" s="85">
        <f>IFERROR('Financials Statements'!E25,0)</f>
        <v>2.845362855802696E-2</v>
      </c>
      <c r="F21" s="85">
        <f>IFERROR('Financials Statements'!F25,0)</f>
        <v>2.8891645314253867E-2</v>
      </c>
      <c r="G21" s="85">
        <f>IFERROR('Financials Statements'!G25,0)</f>
        <v>3.3306066085280348E-2</v>
      </c>
      <c r="H21" s="85">
        <f>IFERROR('Financials Statements'!H25,0)</f>
        <v>3.3407941336792708E-2</v>
      </c>
      <c r="I21" s="85">
        <f>IFERROR('Financials Statements'!I25,0)</f>
        <v>2.8566627762367396E-2</v>
      </c>
      <c r="J21" s="85">
        <f>IFERROR('Financials Statements'!J25,0)</f>
        <v>2.550810410125463E-2</v>
      </c>
      <c r="K21" s="85">
        <f>IFERROR('Financials Statements'!K25,0)</f>
        <v>2.2346631054552542E-2</v>
      </c>
      <c r="L21" s="85">
        <f>IFERROR('Financials Statements'!L25,0)</f>
        <v>2.1856704707996222E-2</v>
      </c>
      <c r="N21" s="85">
        <f t="shared" si="4"/>
        <v>2.7678233371442085E-2</v>
      </c>
      <c r="O21">
        <f t="shared" si="5"/>
        <v>2.7971931279633502E-2</v>
      </c>
    </row>
    <row r="22" spans="2:15" x14ac:dyDescent="0.25">
      <c r="B22" s="86" t="s">
        <v>154</v>
      </c>
      <c r="C22" s="88">
        <f>C15</f>
        <v>0.34328576422289186</v>
      </c>
      <c r="D22" s="88">
        <f t="shared" ref="D22:L22" si="6">D15</f>
        <v>0.33475621732339439</v>
      </c>
      <c r="E22" s="88">
        <f t="shared" si="6"/>
        <v>0.35177636094229231</v>
      </c>
      <c r="F22" s="88">
        <f t="shared" si="6"/>
        <v>0.35459099975630731</v>
      </c>
      <c r="G22" s="88">
        <f t="shared" si="6"/>
        <v>0.35836108990700116</v>
      </c>
      <c r="H22" s="88">
        <f t="shared" si="6"/>
        <v>0.3130326478532689</v>
      </c>
      <c r="I22" s="88">
        <f t="shared" si="6"/>
        <v>0.31149943589315698</v>
      </c>
      <c r="J22" s="88">
        <f t="shared" si="6"/>
        <v>0.33693706752616326</v>
      </c>
      <c r="K22" s="88">
        <f t="shared" si="6"/>
        <v>0.34842932499793172</v>
      </c>
      <c r="L22" s="88">
        <f t="shared" si="6"/>
        <v>0.3211903508261848</v>
      </c>
      <c r="M22" s="86"/>
      <c r="N22" s="87">
        <f t="shared" si="4"/>
        <v>0.33738592592485922</v>
      </c>
      <c r="O22" s="86">
        <f t="shared" si="5"/>
        <v>0.34011141587452753</v>
      </c>
    </row>
    <row r="25" spans="2:15" x14ac:dyDescent="0.25">
      <c r="B25" s="82" t="s">
        <v>155</v>
      </c>
      <c r="C25" s="84">
        <f>IFERROR(('Financials Statements'!C18-'Financials Statements'!C24)/SUM('Financials Statements'!C47:C49),0)</f>
        <v>0.31461767450126626</v>
      </c>
      <c r="D25" s="84">
        <f>IFERROR(('Financials Statements'!D18-'Financials Statements'!D24)/SUM('Financials Statements'!D47:D49),0)</f>
        <v>0.30816048249357225</v>
      </c>
      <c r="E25" s="84">
        <f>IFERROR(('Financials Statements'!E18-'Financials Statements'!E24)/SUM('Financials Statements'!E47:E49),0)</f>
        <v>0.29087468644158282</v>
      </c>
      <c r="F25" s="84">
        <f>IFERROR(('Financials Statements'!F18-'Financials Statements'!F24)/SUM('Financials Statements'!F47:F49),0)</f>
        <v>0.28976383969316855</v>
      </c>
      <c r="G25" s="84">
        <f>IFERROR(('Financials Statements'!G18-'Financials Statements'!G24)/SUM('Financials Statements'!G47:G49),0)</f>
        <v>0.26999905874398611</v>
      </c>
      <c r="H25" s="84">
        <f>IFERROR(('Financials Statements'!H18-'Financials Statements'!H24)/SUM('Financials Statements'!H47:H49),0)</f>
        <v>0.25436581143904541</v>
      </c>
      <c r="I25" s="84">
        <f>IFERROR(('Financials Statements'!I18-'Financials Statements'!I24)/SUM('Financials Statements'!I47:I49),0)</f>
        <v>0.30126364703553982</v>
      </c>
      <c r="J25" s="84">
        <f>IFERROR(('Financials Statements'!J18-'Financials Statements'!J24)/SUM('Financials Statements'!J47:J49),0)</f>
        <v>0.34400810235339674</v>
      </c>
      <c r="K25" s="84">
        <f>IFERROR(('Financials Statements'!K18-'Financials Statements'!K24)/SUM('Financials Statements'!K47:K49),0)</f>
        <v>0.31639278106007412</v>
      </c>
      <c r="L25" s="84">
        <f>IFERROR(('Financials Statements'!L18-'Financials Statements'!L24)/SUM('Financials Statements'!L47:L49),0)</f>
        <v>0.3440698438261533</v>
      </c>
      <c r="M25" s="82"/>
      <c r="N25" s="84">
        <f t="shared" ref="N25:N29" si="7">IFERROR(AVERAGE(C25:L25),0)</f>
        <v>0.30335159275877849</v>
      </c>
      <c r="O25" s="82">
        <f t="shared" ref="O25:O29" si="8">IFERROR(MEDIAN(C25:L25),0)</f>
        <v>0.30471206476455603</v>
      </c>
    </row>
    <row r="26" spans="2:15" x14ac:dyDescent="0.25">
      <c r="B26" t="s">
        <v>156</v>
      </c>
      <c r="C26" s="85">
        <f>IFERROR('Financials Statements'!C44,0)</f>
        <v>0.14687786473761333</v>
      </c>
      <c r="D26" s="85">
        <f>IFERROR('Financials Statements'!D44,0)</f>
        <v>0.33819420549170731</v>
      </c>
      <c r="E26" s="85">
        <f>IFERROR('Financials Statements'!E44,0)</f>
        <v>0.32072859556008038</v>
      </c>
      <c r="F26" s="85">
        <f>IFERROR('Financials Statements'!F44,0)</f>
        <v>0.34463983874236903</v>
      </c>
      <c r="G26" s="85">
        <f>IFERROR('Financials Statements'!G44,0)</f>
        <v>5.3044068290594826E-2</v>
      </c>
      <c r="H26" s="85">
        <f>IFERROR('Financials Statements'!H44,0)</f>
        <v>-0.22450913526184224</v>
      </c>
      <c r="I26" s="85">
        <f>IFERROR('Financials Statements'!I44,0)</f>
        <v>-4.2549294106483115E-2</v>
      </c>
      <c r="J26" s="85">
        <f>IFERROR('Financials Statements'!J44,0)</f>
        <v>-0.10842461165953599</v>
      </c>
      <c r="K26" s="85">
        <f>IFERROR('Financials Statements'!K44,0)</f>
        <v>1.460601082262647E-2</v>
      </c>
      <c r="L26" s="85">
        <f>IFERROR('Financials Statements'!L44,0)</f>
        <v>-4.0569372334507969E-2</v>
      </c>
      <c r="N26" s="85">
        <f t="shared" si="7"/>
        <v>8.0203817028262209E-2</v>
      </c>
      <c r="O26">
        <f t="shared" si="8"/>
        <v>3.3825039556610648E-2</v>
      </c>
    </row>
    <row r="27" spans="2:15" x14ac:dyDescent="0.25">
      <c r="B27" t="s">
        <v>157</v>
      </c>
      <c r="C27" s="85">
        <f>IFERROR('Financials Statements'!C33/SUM('Financials Statements'!C47:C48),0)</f>
        <v>0.1878594229738291</v>
      </c>
      <c r="D27" s="85">
        <f>IFERROR('Financials Statements'!D33/SUM('Financials Statements'!D47:D48),0)</f>
        <v>0.18784851548911047</v>
      </c>
      <c r="E27" s="85">
        <f>IFERROR('Financials Statements'!E33/SUM('Financials Statements'!E47:E48),0)</f>
        <v>0.17621120961277748</v>
      </c>
      <c r="F27" s="85">
        <f>IFERROR('Financials Statements'!F33/SUM('Financials Statements'!F47:F48),0)</f>
        <v>0.18186171424262107</v>
      </c>
      <c r="G27" s="85">
        <f>IFERROR('Financials Statements'!G33/SUM('Financials Statements'!G47:G48),0)</f>
        <v>0.2018508038360578</v>
      </c>
      <c r="H27" s="85">
        <f>IFERROR('Financials Statements'!H33/SUM('Financials Statements'!H47:H48),0)</f>
        <v>0.17906224201431251</v>
      </c>
      <c r="I27" s="85">
        <f>IFERROR('Financials Statements'!I33/SUM('Financials Statements'!I47:I48),0)</f>
        <v>0.21764928252195909</v>
      </c>
      <c r="J27" s="85">
        <f>IFERROR('Financials Statements'!J33/SUM('Financials Statements'!J47:J48),0)</f>
        <v>0.25130525140097792</v>
      </c>
      <c r="K27" s="85">
        <f>IFERROR('Financials Statements'!K33/SUM('Financials Statements'!K47:K48),0)</f>
        <v>0.23381574885581222</v>
      </c>
      <c r="L27" s="85">
        <f>IFERROR('Financials Statements'!L33/SUM('Financials Statements'!L47:L48),0)</f>
        <v>0.2464313533975771</v>
      </c>
      <c r="N27" s="85">
        <f t="shared" si="7"/>
        <v>0.20638955443450349</v>
      </c>
      <c r="O27">
        <f t="shared" si="8"/>
        <v>0.19485511340494344</v>
      </c>
    </row>
    <row r="28" spans="2:15" x14ac:dyDescent="0.25">
      <c r="B28" t="s">
        <v>160</v>
      </c>
      <c r="C28" s="85">
        <f>IFERROR(C26*C27,0)</f>
        <v>2.759239091723616E-2</v>
      </c>
      <c r="D28" s="85">
        <f t="shared" ref="D28:L28" si="9">IFERROR(D26*D27,0)</f>
        <v>6.3529279448636386E-2</v>
      </c>
      <c r="E28" s="85">
        <f t="shared" si="9"/>
        <v>5.6515973781049056E-2</v>
      </c>
      <c r="F28" s="85">
        <f t="shared" si="9"/>
        <v>6.2676791869987716E-2</v>
      </c>
      <c r="G28" s="85">
        <f t="shared" si="9"/>
        <v>1.070698782319131E-2</v>
      </c>
      <c r="H28" s="85">
        <f t="shared" si="9"/>
        <v>-4.0201109112680017E-2</v>
      </c>
      <c r="I28" s="85">
        <f t="shared" si="9"/>
        <v>-9.2608233340918718E-3</v>
      </c>
      <c r="J28" s="85">
        <f t="shared" si="9"/>
        <v>-2.7247674291153094E-2</v>
      </c>
      <c r="K28" s="85">
        <f t="shared" si="9"/>
        <v>3.4151153582885059E-3</v>
      </c>
      <c r="L28" s="85">
        <f t="shared" si="9"/>
        <v>-9.9975653308830206E-3</v>
      </c>
      <c r="N28" s="85">
        <f t="shared" si="7"/>
        <v>1.3772936712958112E-2</v>
      </c>
      <c r="O28">
        <f t="shared" si="8"/>
        <v>7.0610515907399071E-3</v>
      </c>
    </row>
    <row r="29" spans="2:15" x14ac:dyDescent="0.25">
      <c r="B29" s="86" t="s">
        <v>161</v>
      </c>
      <c r="C29" s="89">
        <f>IFERROR(('Financials Statements'!C18-'Financials Statements'!C24)/'Financials Statements'!C21,0)</f>
        <v>172.20133111480865</v>
      </c>
      <c r="D29" s="89">
        <f>IFERROR(('Financials Statements'!D18-'Financials Statements'!D24)/'Financials Statements'!D21,0)</f>
        <v>291.99918417295532</v>
      </c>
      <c r="E29" s="89">
        <f>IFERROR(('Financials Statements'!E18-'Financials Statements'!E24)/'Financials Statements'!E21,0)</f>
        <v>132.8954873489262</v>
      </c>
      <c r="F29" s="89">
        <f>IFERROR(('Financials Statements'!F18-'Financials Statements'!F24)/'Financials Statements'!F21,0)</f>
        <v>240.06694677871144</v>
      </c>
      <c r="G29" s="89">
        <f>IFERROR(('Financials Statements'!G18-'Financials Statements'!G24)/'Financials Statements'!G21,0)</f>
        <v>217.48132219218485</v>
      </c>
      <c r="H29" s="89">
        <f>IFERROR(('Financials Statements'!H18-'Financials Statements'!H24)/'Financials Statements'!H21,0)</f>
        <v>265.98568224943932</v>
      </c>
      <c r="I29" s="89">
        <f>IFERROR(('Financials Statements'!I18-'Financials Statements'!I24)/'Financials Statements'!I21,0)</f>
        <v>314.89814969161517</v>
      </c>
      <c r="J29" s="89">
        <f>IFERROR(('Financials Statements'!J18-'Financials Statements'!J24)/'Financials Statements'!J21,0)</f>
        <v>307.25536839398222</v>
      </c>
      <c r="K29" s="89">
        <f>IFERROR(('Financials Statements'!K18-'Financials Statements'!K24)/'Financials Statements'!K21,0)</f>
        <v>605.2027614420864</v>
      </c>
      <c r="L29" s="89">
        <f>IFERROR(('Financials Statements'!L18-'Financials Statements'!L24)/'Financials Statements'!L21,0)</f>
        <v>536.90923213493113</v>
      </c>
      <c r="M29" s="86"/>
      <c r="N29" s="89">
        <f t="shared" si="7"/>
        <v>308.48954655196405</v>
      </c>
      <c r="O29" s="89">
        <f t="shared" si="8"/>
        <v>278.99243321119729</v>
      </c>
    </row>
    <row r="32" spans="2:15" x14ac:dyDescent="0.25">
      <c r="B32" s="82" t="s">
        <v>165</v>
      </c>
      <c r="C32" s="90">
        <f>IFERROR('Financials Statements'!C6/'Financials Statements'!C59,0)</f>
        <v>20.442577118476095</v>
      </c>
      <c r="D32" s="90">
        <f>IFERROR('Financials Statements'!D6/'Financials Statements'!D59,0)</f>
        <v>17.28479685081377</v>
      </c>
      <c r="E32" s="90">
        <f>IFERROR('Financials Statements'!E6/'Financials Statements'!E59,0)</f>
        <v>16.198449832046499</v>
      </c>
      <c r="F32" s="90">
        <f>IFERROR('Financials Statements'!F6/'Financials Statements'!F59,0)</f>
        <v>11.97923811978351</v>
      </c>
      <c r="G32" s="90">
        <f>IFERROR('Financials Statements'!G6/'Financials Statements'!G59,0)</f>
        <v>19.273399207018201</v>
      </c>
      <c r="H32" s="90">
        <f>IFERROR('Financials Statements'!H6/'Financials Statements'!H59,0)</f>
        <v>19.689591078066915</v>
      </c>
      <c r="I32" s="90">
        <f>IFERROR('Financials Statements'!I6/'Financials Statements'!I59,0)</f>
        <v>24.633226369876922</v>
      </c>
      <c r="J32" s="90">
        <f>IFERROR('Financials Statements'!J6/'Financials Statements'!J59,0)</f>
        <v>23.990173095593285</v>
      </c>
      <c r="K32" s="90">
        <f>IFERROR('Financials Statements'!K6/'Financials Statements'!K59,0)</f>
        <v>16.874062923826699</v>
      </c>
      <c r="L32" s="90">
        <f>IFERROR('Financials Statements'!L6/'Financials Statements'!L59,0)</f>
        <v>15.959450554805738</v>
      </c>
      <c r="M32" s="82"/>
      <c r="N32" s="90">
        <f t="shared" ref="N32:N36" si="10">IFERROR(AVERAGE(C32:L32),0)</f>
        <v>18.632496515030763</v>
      </c>
      <c r="O32" s="90">
        <f t="shared" ref="O32:O36" si="11">IFERROR(MEDIAN(C32:L32),0)</f>
        <v>18.279098028915985</v>
      </c>
    </row>
    <row r="33" spans="2:15" x14ac:dyDescent="0.25">
      <c r="B33" t="s">
        <v>166</v>
      </c>
      <c r="C33" s="91" cm="1">
        <f t="array" ref="C33">IFERROR('Financials Statements'!C6/'Financials Statements'!C50,o)</f>
        <v>4.4095323603404122</v>
      </c>
      <c r="D33" s="91" cm="1">
        <f t="array" ref="D33">IFERROR('Financials Statements'!D6/'Financials Statements'!D50,o)</f>
        <v>4.5306244815761563</v>
      </c>
      <c r="E33" s="91" cm="1">
        <f t="array" ref="E33">IFERROR('Financials Statements'!E6/'Financials Statements'!E50,o)</f>
        <v>3.7152199472417347</v>
      </c>
      <c r="F33" s="91" cm="1">
        <f t="array" ref="F33">IFERROR('Financials Statements'!F6/'Financials Statements'!F50,o)</f>
        <v>3.8411296865328062</v>
      </c>
      <c r="G33" s="91" cm="1">
        <f t="array" ref="G33">IFERROR('Financials Statements'!G6/'Financials Statements'!G50,o)</f>
        <v>4.1996200693194918</v>
      </c>
      <c r="H33" s="91" cm="1">
        <f t="array" ref="H33">IFERROR('Financials Statements'!H6/'Financials Statements'!H50,o)</f>
        <v>3.7479256371841467</v>
      </c>
      <c r="I33" s="91" cm="1">
        <f t="array" ref="I33">IFERROR('Financials Statements'!I6/'Financials Statements'!I50,o)</f>
        <v>4.1849767545533405</v>
      </c>
      <c r="J33" s="91" cm="1">
        <f t="array" ref="J33">IFERROR('Financials Statements'!J6/'Financials Statements'!J50,o)</f>
        <v>4.3323459375454343</v>
      </c>
      <c r="K33" s="91" cm="1">
        <f t="array" ref="K33">IFERROR('Financials Statements'!K6/'Financials Statements'!K50,o)</f>
        <v>4.0093121036099895</v>
      </c>
      <c r="L33" s="91" cm="1">
        <f t="array" ref="L33">IFERROR('Financials Statements'!L6/'Financials Statements'!L50,o)</f>
        <v>4.2584165295218082</v>
      </c>
      <c r="N33" s="91">
        <f t="shared" si="10"/>
        <v>4.122910350742532</v>
      </c>
      <c r="O33" s="91">
        <f t="shared" si="11"/>
        <v>4.1922984119364166</v>
      </c>
    </row>
    <row r="34" spans="2:15" x14ac:dyDescent="0.25">
      <c r="B34" t="s">
        <v>167</v>
      </c>
      <c r="C34" s="91">
        <f>IFERROR('Financials Statements'!C6/'Financials Statements'!C60,0)</f>
        <v>4.3248364065724276</v>
      </c>
      <c r="D34" s="91">
        <f>IFERROR('Financials Statements'!D6/'Financials Statements'!D60,0)</f>
        <v>5.2694767191138601</v>
      </c>
      <c r="E34" s="91">
        <f>IFERROR('Financials Statements'!E6/'Financials Statements'!E60,0)</f>
        <v>5.7969870942176813</v>
      </c>
      <c r="F34" s="91">
        <f>IFERROR('Financials Statements'!F6/'Financials Statements'!F60,0)</f>
        <v>6.1504180895622653</v>
      </c>
      <c r="G34" s="91">
        <f>IFERROR('Financials Statements'!G6/'Financials Statements'!G60,0)</f>
        <v>5.5620975906965953</v>
      </c>
      <c r="H34" s="91">
        <f>IFERROR('Financials Statements'!H6/'Financials Statements'!H60,0)</f>
        <v>4.7375869949101483</v>
      </c>
      <c r="I34" s="91">
        <f>IFERROR('Financials Statements'!I6/'Financials Statements'!I60,0)</f>
        <v>5.5820786715941884</v>
      </c>
      <c r="J34" s="91">
        <f>IFERROR('Financials Statements'!J6/'Financials Statements'!J60,0)</f>
        <v>6.0248123379514</v>
      </c>
      <c r="K34" s="91">
        <f>IFERROR('Financials Statements'!K6/'Financials Statements'!K60,0)</f>
        <v>4.7998668822176125</v>
      </c>
      <c r="L34" s="91">
        <f>IFERROR('Financials Statements'!L6/'Financials Statements'!L60,0)</f>
        <v>4.8168218059594974</v>
      </c>
      <c r="N34" s="91">
        <f t="shared" si="10"/>
        <v>5.306498259279568</v>
      </c>
      <c r="O34" s="91">
        <f t="shared" si="11"/>
        <v>5.4157871549052281</v>
      </c>
    </row>
    <row r="35" spans="2:15" x14ac:dyDescent="0.25">
      <c r="B35" t="s">
        <v>168</v>
      </c>
      <c r="C35" s="91">
        <f>IFERROR('Financials Statements'!C6/'Financials Statements'!C53,0)</f>
        <v>2.594364196382648</v>
      </c>
      <c r="D35" s="91">
        <f>IFERROR('Financials Statements'!D6/'Financials Statements'!D53,0)</f>
        <v>2.6908895974953251</v>
      </c>
      <c r="E35" s="91">
        <f>IFERROR('Financials Statements'!E6/'Financials Statements'!E53,0)</f>
        <v>2.6294508096122238</v>
      </c>
      <c r="F35" s="91">
        <f>IFERROR('Financials Statements'!F6/'Financials Statements'!F53,0)</f>
        <v>2.4950503737188501</v>
      </c>
      <c r="G35" s="91">
        <f>IFERROR('Financials Statements'!G6/'Financials Statements'!G53,0)</f>
        <v>2.2745326145125531</v>
      </c>
      <c r="H35" s="91">
        <f>IFERROR('Financials Statements'!H6/'Financials Statements'!H53,0)</f>
        <v>2.1141915695787881</v>
      </c>
      <c r="I35" s="91">
        <f>IFERROR('Financials Statements'!I6/'Financials Statements'!I53,0)</f>
        <v>2.5027057654904197</v>
      </c>
      <c r="J35" s="91">
        <f>IFERROR('Financials Statements'!J6/'Financials Statements'!J53,0)</f>
        <v>2.7433480057266046</v>
      </c>
      <c r="K35" s="91">
        <f>IFERROR('Financials Statements'!K6/'Financials Statements'!K53,0)</f>
        <v>2.4418189360112894</v>
      </c>
      <c r="L35" s="91">
        <f>IFERROR('Financials Statements'!L6/'Financials Statements'!L53,0)</f>
        <v>3.4308291789741219</v>
      </c>
      <c r="N35" s="91">
        <f t="shared" si="10"/>
        <v>2.5917181047502824</v>
      </c>
      <c r="O35" s="91">
        <f t="shared" si="11"/>
        <v>2.5485349809365339</v>
      </c>
    </row>
    <row r="36" spans="2:15" x14ac:dyDescent="0.25">
      <c r="B36" s="86" t="s">
        <v>169</v>
      </c>
      <c r="C36" s="89">
        <f>IFERROR('Financials Statements'!C6/SUM('Financials Statements'!C47:C48),0)</f>
        <v>0.91828820942691003</v>
      </c>
      <c r="D36" s="89">
        <f>IFERROR('Financials Statements'!D6/SUM('Financials Statements'!D47:D48),0)</f>
        <v>0.92145874005368755</v>
      </c>
      <c r="E36" s="89">
        <f>IFERROR('Financials Statements'!E6/SUM('Financials Statements'!E47:E48),0)</f>
        <v>0.82743951593321752</v>
      </c>
      <c r="F36" s="89">
        <f>IFERROR('Financials Statements'!F6/SUM('Financials Statements'!F47:F48),0)</f>
        <v>0.81736335633885671</v>
      </c>
      <c r="G36" s="89">
        <f>IFERROR('Financials Statements'!G6/SUM('Financials Statements'!G47:G48),0)</f>
        <v>0.75662989714317919</v>
      </c>
      <c r="H36" s="89">
        <f>IFERROR('Financials Statements'!H6/SUM('Financials Statements'!H47:H48),0)</f>
        <v>0.81623233103563475</v>
      </c>
      <c r="I36" s="89">
        <f>IFERROR('Financials Statements'!I6/SUM('Financials Statements'!I47:I48),0)</f>
        <v>0.97100290654620558</v>
      </c>
      <c r="J36" s="89">
        <f>IFERROR('Financials Statements'!J6/SUM('Financials Statements'!J47:J48),0)</f>
        <v>1.0255044952473606</v>
      </c>
      <c r="K36" s="89">
        <f>IFERROR('Financials Statements'!K6/SUM('Financials Statements'!K47:K48),0)</f>
        <v>0.91175245278967076</v>
      </c>
      <c r="L36" s="89">
        <f>IFERROR('Financials Statements'!L6/SUM('Financials Statements'!L47:L48),0)</f>
        <v>1.075585980589761</v>
      </c>
      <c r="M36" s="86"/>
      <c r="N36" s="89">
        <f t="shared" si="10"/>
        <v>0.90412578851044834</v>
      </c>
      <c r="O36" s="89">
        <f t="shared" si="11"/>
        <v>0.9150203311082904</v>
      </c>
    </row>
    <row r="39" spans="2:15" x14ac:dyDescent="0.25">
      <c r="B39" s="82" t="s">
        <v>162</v>
      </c>
      <c r="C39" s="92">
        <f>IFERROR(365/C32,0)</f>
        <v>17.854891674597688</v>
      </c>
      <c r="D39" s="92">
        <f t="shared" ref="D39:L39" si="12">IFERROR(365/D32,0)</f>
        <v>21.116823249375695</v>
      </c>
      <c r="E39" s="92">
        <f t="shared" si="12"/>
        <v>22.533020368275956</v>
      </c>
      <c r="F39" s="92">
        <f t="shared" si="12"/>
        <v>30.469383474163408</v>
      </c>
      <c r="G39" s="92">
        <f t="shared" si="12"/>
        <v>18.9380189804344</v>
      </c>
      <c r="H39" s="92">
        <f t="shared" si="12"/>
        <v>18.537713584442557</v>
      </c>
      <c r="I39" s="92">
        <f t="shared" si="12"/>
        <v>14.817385044061677</v>
      </c>
      <c r="J39" s="92">
        <f t="shared" si="12"/>
        <v>15.214563002342249</v>
      </c>
      <c r="K39" s="92">
        <f t="shared" si="12"/>
        <v>21.630830799179297</v>
      </c>
      <c r="L39" s="92">
        <f t="shared" si="12"/>
        <v>22.870461532906003</v>
      </c>
      <c r="M39" s="82"/>
      <c r="N39" s="92">
        <f t="shared" ref="N39:N42" si="13">IFERROR(AVERAGE(C39:L39),0)</f>
        <v>20.398309170977896</v>
      </c>
      <c r="O39" s="92">
        <f t="shared" ref="O39:O42" si="14">IFERROR(MEDIAN(C39:L39),0)</f>
        <v>20.027421114905046</v>
      </c>
    </row>
    <row r="40" spans="2:15" x14ac:dyDescent="0.25">
      <c r="B40" t="s">
        <v>163</v>
      </c>
      <c r="C40" s="93">
        <f>IFERROR(365/C33,0)</f>
        <v>82.775217454538037</v>
      </c>
      <c r="D40" s="93">
        <f t="shared" ref="D40:L40" si="15">IFERROR(365/D33,0)</f>
        <v>80.562845471805772</v>
      </c>
      <c r="E40" s="93">
        <f t="shared" si="15"/>
        <v>98.244519889322959</v>
      </c>
      <c r="F40" s="93">
        <f t="shared" si="15"/>
        <v>95.024128260940614</v>
      </c>
      <c r="G40" s="93">
        <f t="shared" si="15"/>
        <v>86.912623993423466</v>
      </c>
      <c r="H40" s="93">
        <f t="shared" si="15"/>
        <v>97.387204372130526</v>
      </c>
      <c r="I40" s="93">
        <f t="shared" si="15"/>
        <v>87.216732949083294</v>
      </c>
      <c r="J40" s="93">
        <f t="shared" si="15"/>
        <v>84.249966475852816</v>
      </c>
      <c r="K40" s="93">
        <f t="shared" si="15"/>
        <v>91.038061035795536</v>
      </c>
      <c r="L40" s="93">
        <f t="shared" si="15"/>
        <v>85.712611124254465</v>
      </c>
      <c r="N40" s="93">
        <f t="shared" si="13"/>
        <v>88.912391102714764</v>
      </c>
      <c r="O40" s="93">
        <f t="shared" si="14"/>
        <v>87.064678471253387</v>
      </c>
    </row>
    <row r="41" spans="2:15" x14ac:dyDescent="0.25">
      <c r="B41" t="s">
        <v>164</v>
      </c>
      <c r="C41" s="93">
        <f>IFERROR(365/C34,0)</f>
        <v>84.39625587809789</v>
      </c>
      <c r="D41" s="93">
        <f t="shared" ref="D41:L41" si="16">IFERROR(365/D34,0)</f>
        <v>69.266839850728118</v>
      </c>
      <c r="E41" s="93">
        <f t="shared" si="16"/>
        <v>62.963742038355825</v>
      </c>
      <c r="F41" s="93">
        <f t="shared" si="16"/>
        <v>59.345559063607922</v>
      </c>
      <c r="G41" s="93">
        <f t="shared" si="16"/>
        <v>65.622724888990575</v>
      </c>
      <c r="H41" s="93">
        <f t="shared" si="16"/>
        <v>77.043440129361144</v>
      </c>
      <c r="I41" s="93">
        <f t="shared" si="16"/>
        <v>65.387827989131424</v>
      </c>
      <c r="J41" s="93">
        <f t="shared" si="16"/>
        <v>60.582799849349321</v>
      </c>
      <c r="K41" s="93">
        <f t="shared" si="16"/>
        <v>76.043775578910299</v>
      </c>
      <c r="L41" s="93">
        <f t="shared" si="16"/>
        <v>75.776106051590389</v>
      </c>
      <c r="N41" s="93">
        <f t="shared" si="13"/>
        <v>69.642907131812294</v>
      </c>
      <c r="O41" s="93">
        <f t="shared" si="14"/>
        <v>67.444782369859354</v>
      </c>
    </row>
    <row r="42" spans="2:15" x14ac:dyDescent="0.25">
      <c r="B42" s="86" t="s">
        <v>170</v>
      </c>
      <c r="C42" s="94">
        <f>SUM(C39,C41)-C40</f>
        <v>19.475930098157548</v>
      </c>
      <c r="D42" s="94">
        <f t="shared" ref="D42:L42" si="17">SUM(D39,D41)-D40</f>
        <v>9.8208176282980446</v>
      </c>
      <c r="E42" s="94">
        <f t="shared" si="17"/>
        <v>-12.747757482691185</v>
      </c>
      <c r="F42" s="94">
        <f t="shared" si="17"/>
        <v>-5.2091857231692842</v>
      </c>
      <c r="G42" s="94">
        <f t="shared" si="17"/>
        <v>-2.3518801239984839</v>
      </c>
      <c r="H42" s="94">
        <f t="shared" si="17"/>
        <v>-1.806050658326825</v>
      </c>
      <c r="I42" s="94">
        <f t="shared" si="17"/>
        <v>-7.0115199158901902</v>
      </c>
      <c r="J42" s="94">
        <f t="shared" si="17"/>
        <v>-8.4526036241612417</v>
      </c>
      <c r="K42" s="94">
        <f t="shared" si="17"/>
        <v>6.6365453422940561</v>
      </c>
      <c r="L42" s="94">
        <f t="shared" si="17"/>
        <v>12.93395646024193</v>
      </c>
      <c r="M42" s="86"/>
      <c r="N42" s="94">
        <f t="shared" si="13"/>
        <v>1.1288252000754369</v>
      </c>
      <c r="O42" s="94">
        <f t="shared" si="14"/>
        <v>-2.0789653911626544</v>
      </c>
    </row>
    <row r="45" spans="2:15" x14ac:dyDescent="0.25">
      <c r="B45" s="82" t="s">
        <v>171</v>
      </c>
      <c r="C45" s="84">
        <f>IFERROR('Financials Statements'!C77/'Financials Statements'!C6,0)</f>
        <v>0.25002487746254987</v>
      </c>
      <c r="D45" s="84">
        <f>IFERROR('Financials Statements'!D77/'Financials Statements'!D6,0)</f>
        <v>0.24848249609517487</v>
      </c>
      <c r="E45" s="84">
        <f>IFERROR('Financials Statements'!E77/'Financials Statements'!E6,0)</f>
        <v>0.30309139877750757</v>
      </c>
      <c r="F45" s="84">
        <f>IFERROR('Financials Statements'!F77/'Financials Statements'!F6,0)</f>
        <v>0.26030428894913854</v>
      </c>
      <c r="G45" s="84">
        <f>IFERROR('Financials Statements'!G77/'Financials Statements'!G6,0)</f>
        <v>0.29744248061764367</v>
      </c>
      <c r="H45" s="84">
        <f>IFERROR('Financials Statements'!H77/'Financials Statements'!H6,0)</f>
        <v>0.25431685968315454</v>
      </c>
      <c r="I45" s="84">
        <f>IFERROR('Financials Statements'!I77/'Financials Statements'!I6,0)</f>
        <v>0.26013883525211007</v>
      </c>
      <c r="J45" s="84">
        <f>IFERROR('Financials Statements'!J77/'Financials Statements'!J6,0)</f>
        <v>0.26619089403789081</v>
      </c>
      <c r="K45" s="84">
        <f>IFERROR('Financials Statements'!K77/'Financials Statements'!K6,0)</f>
        <v>0.25288546153694419</v>
      </c>
      <c r="L45" s="84">
        <f>IFERROR('Financials Statements'!L77/'Financials Statements'!L6,0)</f>
        <v>0.23401776925983367</v>
      </c>
      <c r="M45" s="82"/>
      <c r="N45" s="84">
        <f t="shared" ref="N45:N47" si="18">IFERROR(AVERAGE(C45:L45),0)</f>
        <v>0.26268953616719476</v>
      </c>
      <c r="O45" s="84">
        <f t="shared" ref="O45:O47" si="19">IFERROR(MEDIAN(C45:L45),0)</f>
        <v>0.25722784746763228</v>
      </c>
    </row>
    <row r="46" spans="2:15" x14ac:dyDescent="0.25">
      <c r="B46" t="s">
        <v>172</v>
      </c>
      <c r="C46" s="85">
        <f>IFERROR('Financials Statements'!C77/'Financials Statements'!C64,0)</f>
        <v>0.18971434235781687</v>
      </c>
      <c r="D46" s="85">
        <f>IFERROR('Financials Statements'!D77/'Financials Statements'!D64,0)</f>
        <v>0.19011304812022972</v>
      </c>
      <c r="E46" s="85">
        <f>IFERROR('Financials Statements'!E77/'Financials Statements'!E64,0)</f>
        <v>0.20499407853690671</v>
      </c>
      <c r="F46" s="85">
        <f>IFERROR('Financials Statements'!F77/'Financials Statements'!F64,0)</f>
        <v>0.17539961504921167</v>
      </c>
      <c r="G46" s="85">
        <f>IFERROR('Financials Statements'!G77/'Financials Statements'!G64,0)</f>
        <v>0.19001238508228158</v>
      </c>
      <c r="H46" s="85">
        <f>IFERROR('Financials Statements'!H77/'Financials Statements'!H64,0)</f>
        <v>0.16983284879385735</v>
      </c>
      <c r="I46" s="85">
        <f>IFERROR('Financials Statements'!I77/'Financials Statements'!I64,0)</f>
        <v>0.2043628674120764</v>
      </c>
      <c r="J46" s="85">
        <f>IFERROR('Financials Statements'!J77/'Financials Statements'!J64,0)</f>
        <v>0.21994394563453559</v>
      </c>
      <c r="K46" s="85">
        <f>IFERROR('Financials Statements'!K77/'Financials Statements'!K64,0)</f>
        <v>0.18722895586970242</v>
      </c>
      <c r="L46" s="85">
        <f>IFERROR('Financials Statements'!L77/'Financials Statements'!L64,0)</f>
        <v>0.200300672593</v>
      </c>
      <c r="N46" s="85">
        <f t="shared" si="18"/>
        <v>0.19319027594496183</v>
      </c>
      <c r="O46" s="85">
        <f t="shared" si="19"/>
        <v>0.19006271660125565</v>
      </c>
    </row>
    <row r="47" spans="2:15" x14ac:dyDescent="0.25">
      <c r="B47" s="86" t="s">
        <v>173</v>
      </c>
      <c r="C47" s="87">
        <f>IFERROR('Financials Statements'!C77/'Financials Statements'!C49,0)</f>
        <v>116.96108856529004</v>
      </c>
      <c r="D47" s="87">
        <f>IFERROR('Financials Statements'!D77/'Financials Statements'!D49,0)</f>
        <v>232.43657042869643</v>
      </c>
      <c r="E47" s="87">
        <f>IFERROR('Financials Statements'!E77/'Financials Statements'!E49,0)</f>
        <v>366.62026726057906</v>
      </c>
      <c r="F47" s="87">
        <f>IFERROR('Financials Statements'!F77/'Financials Statements'!F49,0)</f>
        <v>936.23511904761904</v>
      </c>
      <c r="G47" s="87">
        <f>IFERROR('Financials Statements'!G77/'Financials Statements'!G49,0)</f>
        <v>52.946476842674357</v>
      </c>
      <c r="H47" s="87">
        <f>IFERROR('Financials Statements'!H77/'Financials Statements'!H49,0)</f>
        <v>46.254107742864534</v>
      </c>
      <c r="I47" s="87">
        <f>IFERROR('Financials Statements'!I77/'Financials Statements'!I49,0)</f>
        <v>63.245670301475307</v>
      </c>
      <c r="J47" s="87">
        <f>IFERROR('Financials Statements'!J77/'Financials Statements'!J49,0)</f>
        <v>61.684747091883409</v>
      </c>
      <c r="K47" s="87">
        <f>IFERROR('Financials Statements'!K77/'Financials Statements'!K49,0)</f>
        <v>56.616023465049601</v>
      </c>
      <c r="L47" s="87">
        <f>IFERROR('Financials Statements'!L77/'Financials Statements'!L49,0)</f>
        <v>61.949110845575312</v>
      </c>
      <c r="M47" s="86"/>
      <c r="N47" s="87">
        <f t="shared" si="18"/>
        <v>199.49491815917071</v>
      </c>
      <c r="O47" s="87">
        <f t="shared" si="19"/>
        <v>62.59739057352531</v>
      </c>
    </row>
  </sheetData>
  <mergeCells count="1">
    <mergeCell ref="B2:O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5BCA66F8-E6BA-4BEF-A04C-9C381272BA61}">
          <x14:colorSeries rgb="FF376092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Ratios!C13:L13</xm:f>
              <xm:sqref>M13</xm:sqref>
            </x14:sparkline>
            <x14:sparkline>
              <xm:f>Ratios!C14:L14</xm:f>
              <xm:sqref>M14</xm:sqref>
            </x14:sparkline>
            <x14:sparkline>
              <xm:f>Ratios!C15:L15</xm:f>
              <xm:sqref>M15</xm:sqref>
            </x14:sparkline>
            <x14:sparkline>
              <xm:f>Ratios!C16:L16</xm:f>
              <xm:sqref>M16</xm:sqref>
            </x14:sparkline>
            <x14:sparkline>
              <xm:f>Ratios!C17:L17</xm:f>
              <xm:sqref>M17</xm:sqref>
            </x14:sparkline>
            <x14:sparkline>
              <xm:f>Ratios!C18:L18</xm:f>
              <xm:sqref>M18</xm:sqref>
            </x14:sparkline>
            <x14:sparkline>
              <xm:f>Ratios!C19:L19</xm:f>
              <xm:sqref>M19</xm:sqref>
            </x14:sparkline>
            <x14:sparkline>
              <xm:f>Ratios!C20:L20</xm:f>
              <xm:sqref>M20</xm:sqref>
            </x14:sparkline>
            <x14:sparkline>
              <xm:f>Ratios!C21:L21</xm:f>
              <xm:sqref>M21</xm:sqref>
            </x14:sparkline>
            <x14:sparkline>
              <xm:f>Ratios!C22:L22</xm:f>
              <xm:sqref>M22</xm:sqref>
            </x14:sparkline>
            <x14:sparkline>
              <xm:f>Ratios!C23:L23</xm:f>
              <xm:sqref>M23</xm:sqref>
            </x14:sparkline>
            <x14:sparkline>
              <xm:f>Ratios!C24:L24</xm:f>
              <xm:sqref>M24</xm:sqref>
            </x14:sparkline>
            <x14:sparkline>
              <xm:f>Ratios!C25:L25</xm:f>
              <xm:sqref>M25</xm:sqref>
            </x14:sparkline>
            <x14:sparkline>
              <xm:f>Ratios!C26:L26</xm:f>
              <xm:sqref>M26</xm:sqref>
            </x14:sparkline>
            <x14:sparkline>
              <xm:f>Ratios!C27:L27</xm:f>
              <xm:sqref>M27</xm:sqref>
            </x14:sparkline>
            <x14:sparkline>
              <xm:f>Ratios!C28:L28</xm:f>
              <xm:sqref>M28</xm:sqref>
            </x14:sparkline>
            <x14:sparkline>
              <xm:f>Ratios!C29:L29</xm:f>
              <xm:sqref>M29</xm:sqref>
            </x14:sparkline>
            <x14:sparkline>
              <xm:f>Ratios!C30:L30</xm:f>
              <xm:sqref>M30</xm:sqref>
            </x14:sparkline>
            <x14:sparkline>
              <xm:f>Ratios!C31:L31</xm:f>
              <xm:sqref>M31</xm:sqref>
            </x14:sparkline>
            <x14:sparkline>
              <xm:f>Ratios!C32:L32</xm:f>
              <xm:sqref>M32</xm:sqref>
            </x14:sparkline>
            <x14:sparkline>
              <xm:f>Ratios!C33:L33</xm:f>
              <xm:sqref>M33</xm:sqref>
            </x14:sparkline>
            <x14:sparkline>
              <xm:f>Ratios!C34:L34</xm:f>
              <xm:sqref>M34</xm:sqref>
            </x14:sparkline>
            <x14:sparkline>
              <xm:f>Ratios!C35:L35</xm:f>
              <xm:sqref>M35</xm:sqref>
            </x14:sparkline>
            <x14:sparkline>
              <xm:f>Ratios!C36:L36</xm:f>
              <xm:sqref>M36</xm:sqref>
            </x14:sparkline>
            <x14:sparkline>
              <xm:f>Ratios!C37:L37</xm:f>
              <xm:sqref>M37</xm:sqref>
            </x14:sparkline>
            <x14:sparkline>
              <xm:f>Ratios!C38:L38</xm:f>
              <xm:sqref>M38</xm:sqref>
            </x14:sparkline>
            <x14:sparkline>
              <xm:f>Ratios!C39:L39</xm:f>
              <xm:sqref>M39</xm:sqref>
            </x14:sparkline>
            <x14:sparkline>
              <xm:f>Ratios!C40:L40</xm:f>
              <xm:sqref>M40</xm:sqref>
            </x14:sparkline>
            <x14:sparkline>
              <xm:f>Ratios!C41:L41</xm:f>
              <xm:sqref>M41</xm:sqref>
            </x14:sparkline>
            <x14:sparkline>
              <xm:f>Ratios!C42:L42</xm:f>
              <xm:sqref>M42</xm:sqref>
            </x14:sparkline>
            <x14:sparkline>
              <xm:f>Ratios!C43:L43</xm:f>
              <xm:sqref>M43</xm:sqref>
            </x14:sparkline>
            <x14:sparkline>
              <xm:f>Ratios!C44:L44</xm:f>
              <xm:sqref>M44</xm:sqref>
            </x14:sparkline>
            <x14:sparkline>
              <xm:f>Ratios!C45:L45</xm:f>
              <xm:sqref>M45</xm:sqref>
            </x14:sparkline>
            <x14:sparkline>
              <xm:f>Ratios!C46:L46</xm:f>
              <xm:sqref>M46</xm:sqref>
            </x14:sparkline>
            <x14:sparkline>
              <xm:f>Ratios!C47:L47</xm:f>
              <xm:sqref>M47</xm:sqref>
            </x14:sparkline>
          </x14:sparklines>
        </x14:sparklineGroup>
        <x14:sparklineGroup displayEmptyCellsAs="gap" markers="1" xr2:uid="{9D57C0C2-7E9E-47AC-8111-995B55D7B338}">
          <x14:colorSeries rgb="FF376092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Ratios!D6:L6</xm:f>
              <xm:sqref>M6</xm:sqref>
            </x14:sparkline>
            <x14:sparkline>
              <xm:f>Ratios!D7:L7</xm:f>
              <xm:sqref>M7</xm:sqref>
            </x14:sparkline>
            <x14:sparkline>
              <xm:f>Ratios!D8:L8</xm:f>
              <xm:sqref>M8</xm:sqref>
            </x14:sparkline>
            <x14:sparkline>
              <xm:f>Ratios!D9:L9</xm:f>
              <xm:sqref>M9</xm:sqref>
            </x14:sparkline>
            <x14:sparkline>
              <xm:f>Ratios!D10:L10</xm:f>
              <xm:sqref>M10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C608-0F24-4E89-8B60-285B414CDB2C}">
  <dimension ref="B2:P75"/>
  <sheetViews>
    <sheetView showGridLines="0" zoomScaleNormal="100" workbookViewId="0">
      <selection activeCell="D20" sqref="D20"/>
    </sheetView>
  </sheetViews>
  <sheetFormatPr defaultRowHeight="15" outlineLevelRow="1" x14ac:dyDescent="0.25"/>
  <cols>
    <col min="1" max="1" width="1.85546875" customWidth="1"/>
    <col min="2" max="2" width="16.28515625" customWidth="1"/>
    <col min="3" max="3" width="9.5703125" customWidth="1"/>
    <col min="4" max="4" width="14.5703125" bestFit="1" customWidth="1"/>
    <col min="5" max="5" width="14" bestFit="1" customWidth="1"/>
    <col min="6" max="6" width="2.7109375" customWidth="1"/>
    <col min="7" max="7" width="11.5703125" bestFit="1" customWidth="1"/>
    <col min="8" max="8" width="18.7109375" bestFit="1" customWidth="1"/>
    <col min="9" max="9" width="12" bestFit="1" customWidth="1"/>
    <col min="10" max="10" width="14.5703125" bestFit="1" customWidth="1"/>
    <col min="11" max="11" width="2.7109375" customWidth="1"/>
    <col min="12" max="12" width="11.5703125" bestFit="1" customWidth="1"/>
    <col min="13" max="13" width="13.42578125" bestFit="1" customWidth="1"/>
    <col min="14" max="14" width="16.5703125" bestFit="1" customWidth="1"/>
    <col min="15" max="15" width="12.42578125" bestFit="1" customWidth="1"/>
    <col min="16" max="16" width="12.5703125" bestFit="1" customWidth="1"/>
  </cols>
  <sheetData>
    <row r="2" spans="2:15" x14ac:dyDescent="0.25">
      <c r="B2" s="287" t="s">
        <v>42</v>
      </c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7"/>
      <c r="N2" s="287"/>
      <c r="O2" s="287"/>
    </row>
    <row r="4" spans="2:15" x14ac:dyDescent="0.25">
      <c r="B4" s="287" t="str">
        <f>'Data Sheet'!$B$1&amp;" - " &amp;'Data Sheet'!$A$17  &amp; " FORECAST "</f>
        <v xml:space="preserve">ITC LTD - Sales FORECAST </v>
      </c>
      <c r="C4" s="287"/>
      <c r="D4" s="287"/>
      <c r="E4" s="287"/>
      <c r="G4" s="287" t="str">
        <f>'Data Sheet'!$B$1&amp;" - " &amp;'Financials Statements'!B18  &amp; " FORECAST "</f>
        <v xml:space="preserve">ITC LTD - EBITDA FORECAST </v>
      </c>
      <c r="H4" s="287"/>
      <c r="I4" s="287"/>
      <c r="J4" s="287"/>
      <c r="L4" s="287" t="str">
        <f>'Data Sheet'!$B$1&amp;" - " &amp;'Financials Statements'!B38&amp; " FORECAST "</f>
        <v xml:space="preserve">ITC LTD - Earning Per Share FORECAST </v>
      </c>
      <c r="M4" s="287"/>
      <c r="N4" s="287"/>
      <c r="O4" s="287"/>
    </row>
    <row r="5" spans="2:15" x14ac:dyDescent="0.25">
      <c r="B5" s="97" t="s">
        <v>178</v>
      </c>
      <c r="C5" s="98" t="s">
        <v>177</v>
      </c>
      <c r="D5" s="98" t="s">
        <v>52</v>
      </c>
      <c r="E5" s="98" t="s">
        <v>89</v>
      </c>
      <c r="G5" s="97" t="s">
        <v>178</v>
      </c>
      <c r="H5" s="98" t="s">
        <v>177</v>
      </c>
      <c r="I5" s="98" t="s">
        <v>5</v>
      </c>
      <c r="J5" s="98" t="s">
        <v>89</v>
      </c>
      <c r="L5" s="97" t="s">
        <v>178</v>
      </c>
      <c r="M5" s="98" t="s">
        <v>177</v>
      </c>
      <c r="N5" s="98" t="str">
        <f>'Financials Statements'!B38</f>
        <v>Earning Per Share</v>
      </c>
      <c r="O5" s="98" t="s">
        <v>89</v>
      </c>
    </row>
    <row r="6" spans="2:15" x14ac:dyDescent="0.25">
      <c r="B6" s="54">
        <v>1</v>
      </c>
      <c r="C6" s="100">
        <f>'Data Sheet'!$B$16</f>
        <v>42460</v>
      </c>
      <c r="D6" s="96">
        <f t="array" ref="D6:D15">TRANSPOSE('Data Sheet'!B17:K17)</f>
        <v>39192.1</v>
      </c>
      <c r="G6" s="54">
        <v>1</v>
      </c>
      <c r="H6" s="100">
        <f>'Data Sheet'!$B$16</f>
        <v>42460</v>
      </c>
      <c r="I6" s="96">
        <f t="array" ref="I6:I15">TRANSPOSE('Financials Statements'!C18:L18)</f>
        <v>14531.49</v>
      </c>
      <c r="L6" s="54">
        <v>1</v>
      </c>
      <c r="M6" s="100">
        <f>'Data Sheet'!$B$16</f>
        <v>42460</v>
      </c>
      <c r="N6" s="96">
        <f t="array" ref="N6:N15">TRANSPOSE('Financials Statements'!C38:L38)</f>
        <v>6.6422689465486959</v>
      </c>
    </row>
    <row r="7" spans="2:15" x14ac:dyDescent="0.25">
      <c r="B7" s="54">
        <f>B6+1</f>
        <v>2</v>
      </c>
      <c r="C7" s="100">
        <f>C6+365</f>
        <v>42825</v>
      </c>
      <c r="D7" s="96">
        <v>42767.6</v>
      </c>
      <c r="E7" s="25">
        <f>D7/D6-1</f>
        <v>9.1230120355888067E-2</v>
      </c>
      <c r="G7" s="54">
        <f>G6+1</f>
        <v>2</v>
      </c>
      <c r="H7" s="100">
        <f>H6+365</f>
        <v>42825</v>
      </c>
      <c r="I7" s="96">
        <v>15469.51</v>
      </c>
      <c r="J7" s="25">
        <f>I7/I6-1</f>
        <v>6.4550847848362514E-2</v>
      </c>
      <c r="L7" s="54">
        <f>L6+1</f>
        <v>2</v>
      </c>
      <c r="M7" s="100">
        <f>M6+365</f>
        <v>42825</v>
      </c>
      <c r="N7" s="96">
        <v>7.1773383604722003</v>
      </c>
      <c r="O7" s="25">
        <f>N7/N6-1</f>
        <v>8.0555216632943516E-2</v>
      </c>
    </row>
    <row r="8" spans="2:15" x14ac:dyDescent="0.25">
      <c r="B8" s="54">
        <f t="shared" ref="B8:B16" si="0">B7+1</f>
        <v>3</v>
      </c>
      <c r="C8" s="100">
        <f t="shared" ref="C8:C20" si="1">C7+365</f>
        <v>43190</v>
      </c>
      <c r="D8" s="96">
        <v>43448.94</v>
      </c>
      <c r="E8" s="25">
        <f t="shared" ref="E8:E20" si="2">D8/D7-1</f>
        <v>1.5931218960147486E-2</v>
      </c>
      <c r="G8" s="54">
        <f t="shared" ref="G8:G16" si="3">G7+1</f>
        <v>3</v>
      </c>
      <c r="H8" s="100">
        <f t="shared" ref="H8:H20" si="4">H7+365</f>
        <v>43190</v>
      </c>
      <c r="I8" s="96">
        <v>16520.590000000004</v>
      </c>
      <c r="J8" s="25">
        <f t="shared" ref="J8:J20" si="5">I8/I7-1</f>
        <v>6.7945267820377131E-2</v>
      </c>
      <c r="L8" s="54">
        <f t="shared" ref="L8:L16" si="6">L7+1</f>
        <v>3</v>
      </c>
      <c r="M8" s="100">
        <f t="shared" ref="M8:M20" si="7">M7+365</f>
        <v>43190</v>
      </c>
      <c r="N8" s="96">
        <v>7.5816474521275303</v>
      </c>
      <c r="O8" s="25">
        <f t="shared" ref="O8:O20" si="8">N8/N7-1</f>
        <v>5.633134058190481E-2</v>
      </c>
    </row>
    <row r="9" spans="2:15" x14ac:dyDescent="0.25">
      <c r="B9" s="54">
        <f t="shared" si="0"/>
        <v>4</v>
      </c>
      <c r="C9" s="100">
        <f t="shared" si="1"/>
        <v>43555</v>
      </c>
      <c r="D9" s="96">
        <v>48339.58</v>
      </c>
      <c r="E9" s="25">
        <f t="shared" si="2"/>
        <v>0.11256062863673999</v>
      </c>
      <c r="G9" s="54">
        <f t="shared" si="3"/>
        <v>4</v>
      </c>
      <c r="H9" s="100">
        <f t="shared" si="4"/>
        <v>43555</v>
      </c>
      <c r="I9" s="96">
        <v>18537.39</v>
      </c>
      <c r="J9" s="25">
        <f t="shared" si="5"/>
        <v>0.12207796452790087</v>
      </c>
      <c r="L9" s="54">
        <f t="shared" si="6"/>
        <v>4</v>
      </c>
      <c r="M9" s="100">
        <f t="shared" si="7"/>
        <v>43555</v>
      </c>
      <c r="N9" s="96">
        <v>8.7738077757655866</v>
      </c>
      <c r="O9" s="25">
        <f t="shared" si="8"/>
        <v>0.15724291206702268</v>
      </c>
    </row>
    <row r="10" spans="2:15" x14ac:dyDescent="0.25">
      <c r="B10" s="54">
        <f t="shared" si="0"/>
        <v>5</v>
      </c>
      <c r="C10" s="100">
        <f t="shared" si="1"/>
        <v>43920</v>
      </c>
      <c r="D10" s="96">
        <v>49387.7</v>
      </c>
      <c r="E10" s="25">
        <f t="shared" si="2"/>
        <v>2.1682439110972673E-2</v>
      </c>
      <c r="G10" s="54">
        <f t="shared" si="3"/>
        <v>5</v>
      </c>
      <c r="H10" s="100">
        <f t="shared" si="4"/>
        <v>43920</v>
      </c>
      <c r="I10" s="96">
        <v>19343.54</v>
      </c>
      <c r="J10" s="25">
        <f t="shared" si="5"/>
        <v>4.34877833395102E-2</v>
      </c>
      <c r="L10" s="54">
        <f t="shared" si="6"/>
        <v>5</v>
      </c>
      <c r="M10" s="100">
        <f t="shared" si="7"/>
        <v>43920</v>
      </c>
      <c r="N10" s="96">
        <v>10.718553228876848</v>
      </c>
      <c r="O10" s="25">
        <f t="shared" si="8"/>
        <v>0.22165352864042731</v>
      </c>
    </row>
    <row r="11" spans="2:15" x14ac:dyDescent="0.25">
      <c r="B11" s="54">
        <f t="shared" si="0"/>
        <v>6</v>
      </c>
      <c r="C11" s="100">
        <f t="shared" si="1"/>
        <v>44285</v>
      </c>
      <c r="D11" s="96">
        <v>49257.45</v>
      </c>
      <c r="E11" s="25">
        <f t="shared" si="2"/>
        <v>-2.6372963308678443E-3</v>
      </c>
      <c r="G11" s="54">
        <f t="shared" si="3"/>
        <v>6</v>
      </c>
      <c r="H11" s="100">
        <f t="shared" si="4"/>
        <v>44285</v>
      </c>
      <c r="I11" s="96">
        <v>17064.78</v>
      </c>
      <c r="J11" s="25">
        <f t="shared" si="5"/>
        <v>-0.11780470379258412</v>
      </c>
      <c r="L11" s="54">
        <f t="shared" si="6"/>
        <v>6</v>
      </c>
      <c r="M11" s="100">
        <f t="shared" si="7"/>
        <v>44285</v>
      </c>
      <c r="N11" s="96">
        <v>8.7790280124788769</v>
      </c>
      <c r="O11" s="25">
        <f t="shared" si="8"/>
        <v>-0.18095028078721465</v>
      </c>
    </row>
    <row r="12" spans="2:15" x14ac:dyDescent="0.25">
      <c r="B12" s="54">
        <f t="shared" si="0"/>
        <v>7</v>
      </c>
      <c r="C12" s="100">
        <f t="shared" si="1"/>
        <v>44650</v>
      </c>
      <c r="D12" s="96">
        <v>60644.54</v>
      </c>
      <c r="E12" s="25">
        <f t="shared" si="2"/>
        <v>0.23117497962237188</v>
      </c>
      <c r="G12" s="54">
        <f t="shared" si="3"/>
        <v>7</v>
      </c>
      <c r="H12" s="100">
        <f t="shared" si="4"/>
        <v>44650</v>
      </c>
      <c r="I12" s="96">
        <v>20623.149999999994</v>
      </c>
      <c r="J12" s="25">
        <f t="shared" si="5"/>
        <v>0.20852129356487437</v>
      </c>
      <c r="L12" s="54">
        <f t="shared" si="6"/>
        <v>7</v>
      </c>
      <c r="M12" s="100">
        <f t="shared" si="7"/>
        <v>44650</v>
      </c>
      <c r="N12" s="96">
        <v>11.030657372619341</v>
      </c>
      <c r="O12" s="25">
        <f t="shared" si="8"/>
        <v>0.25647820657821163</v>
      </c>
    </row>
    <row r="13" spans="2:15" x14ac:dyDescent="0.25">
      <c r="B13" s="54">
        <f t="shared" si="0"/>
        <v>8</v>
      </c>
      <c r="C13" s="100">
        <f t="shared" si="1"/>
        <v>45015</v>
      </c>
      <c r="D13" s="96">
        <v>70919.03</v>
      </c>
      <c r="E13" s="25">
        <f t="shared" si="2"/>
        <v>0.1694215175842706</v>
      </c>
      <c r="G13" s="54">
        <f t="shared" si="3"/>
        <v>8</v>
      </c>
      <c r="H13" s="100">
        <f t="shared" si="4"/>
        <v>45015</v>
      </c>
      <c r="I13" s="96">
        <v>25704.259999999995</v>
      </c>
      <c r="J13" s="25">
        <f t="shared" si="5"/>
        <v>0.24637894792987503</v>
      </c>
      <c r="L13" s="54">
        <f t="shared" si="6"/>
        <v>8</v>
      </c>
      <c r="M13" s="100">
        <f t="shared" si="7"/>
        <v>45015</v>
      </c>
      <c r="N13" s="96">
        <v>13.983810749919533</v>
      </c>
      <c r="O13" s="25">
        <f t="shared" si="8"/>
        <v>0.26772233762156428</v>
      </c>
    </row>
    <row r="14" spans="2:15" x14ac:dyDescent="0.25">
      <c r="B14" s="54">
        <f t="shared" si="0"/>
        <v>9</v>
      </c>
      <c r="C14" s="100">
        <f t="shared" si="1"/>
        <v>45380</v>
      </c>
      <c r="D14" s="96">
        <v>67931.94</v>
      </c>
      <c r="E14" s="25">
        <f t="shared" si="2"/>
        <v>-4.2119724423754779E-2</v>
      </c>
      <c r="G14" s="54">
        <f t="shared" si="3"/>
        <v>9</v>
      </c>
      <c r="H14" s="100">
        <f t="shared" si="4"/>
        <v>45380</v>
      </c>
      <c r="I14" s="96">
        <v>25187.53</v>
      </c>
      <c r="J14" s="25">
        <f t="shared" si="5"/>
        <v>-2.0102893450346215E-2</v>
      </c>
      <c r="L14" s="54">
        <f t="shared" si="6"/>
        <v>9</v>
      </c>
      <c r="M14" s="100">
        <f t="shared" si="7"/>
        <v>45380</v>
      </c>
      <c r="N14" s="96">
        <v>13.953807460331445</v>
      </c>
      <c r="O14" s="25">
        <f t="shared" si="8"/>
        <v>-2.1455732006571138E-3</v>
      </c>
    </row>
    <row r="15" spans="2:15" x14ac:dyDescent="0.25">
      <c r="B15" s="54">
        <f t="shared" si="0"/>
        <v>10</v>
      </c>
      <c r="C15" s="100">
        <f t="shared" si="1"/>
        <v>45745</v>
      </c>
      <c r="D15" s="96">
        <v>75323.34</v>
      </c>
      <c r="E15" s="25">
        <f t="shared" si="2"/>
        <v>0.10880596078957838</v>
      </c>
      <c r="G15" s="54">
        <f t="shared" si="3"/>
        <v>10</v>
      </c>
      <c r="H15" s="100">
        <f t="shared" si="4"/>
        <v>45745</v>
      </c>
      <c r="I15" s="96">
        <v>25839.449999999997</v>
      </c>
      <c r="J15" s="25">
        <f t="shared" si="5"/>
        <v>2.5882649072775266E-2</v>
      </c>
      <c r="L15" s="54">
        <f t="shared" si="6"/>
        <v>10</v>
      </c>
      <c r="M15" s="100">
        <f t="shared" si="7"/>
        <v>45745</v>
      </c>
      <c r="N15" s="96">
        <v>13.790524288602452</v>
      </c>
      <c r="O15" s="25">
        <f t="shared" si="8"/>
        <v>-1.1701693046373363E-2</v>
      </c>
    </row>
    <row r="16" spans="2:15" x14ac:dyDescent="0.25">
      <c r="B16" s="102">
        <f t="shared" si="0"/>
        <v>11</v>
      </c>
      <c r="C16" s="103">
        <f t="shared" si="1"/>
        <v>46110</v>
      </c>
      <c r="D16" s="104">
        <f>FORECAST(B16,$D$6:$D$15,$B$6:$B$15)</f>
        <v>77236.775999999998</v>
      </c>
      <c r="E16" s="105">
        <f t="shared" si="2"/>
        <v>2.5402962747005153E-2</v>
      </c>
      <c r="G16" s="102">
        <f t="shared" si="3"/>
        <v>11</v>
      </c>
      <c r="H16" s="103">
        <f t="shared" si="4"/>
        <v>46110</v>
      </c>
      <c r="I16" s="104">
        <f>FORECAST(G16,I6:I15,G6:G15)</f>
        <v>27205.324000000001</v>
      </c>
      <c r="J16" s="105">
        <f t="shared" si="5"/>
        <v>5.2860026045446151E-2</v>
      </c>
      <c r="L16" s="102">
        <f t="shared" si="6"/>
        <v>11</v>
      </c>
      <c r="M16" s="103">
        <f t="shared" si="7"/>
        <v>46110</v>
      </c>
      <c r="N16" s="104">
        <f>FORECAST(L16,N6:N15,L6:L15)</f>
        <v>15.196858426128312</v>
      </c>
      <c r="O16" s="105">
        <f t="shared" si="8"/>
        <v>0.10197829379758705</v>
      </c>
    </row>
    <row r="17" spans="2:15" x14ac:dyDescent="0.25">
      <c r="B17" s="102">
        <f>B16+1</f>
        <v>12</v>
      </c>
      <c r="C17" s="103">
        <f t="shared" si="1"/>
        <v>46475</v>
      </c>
      <c r="D17" s="104">
        <f>FORECAST(B17,$D$6:$D$15,$B$6:$B$15)</f>
        <v>81330.51309090908</v>
      </c>
      <c r="E17" s="105">
        <f t="shared" si="2"/>
        <v>5.3002433593410059E-2</v>
      </c>
      <c r="G17" s="102">
        <f>G16+1</f>
        <v>12</v>
      </c>
      <c r="H17" s="103">
        <f t="shared" si="4"/>
        <v>46475</v>
      </c>
      <c r="I17" s="104">
        <f t="shared" ref="I17:I20" si="9">FORECAST(G17,I7:I16,G7:G16)</f>
        <v>28707.73826666666</v>
      </c>
      <c r="J17" s="105">
        <f t="shared" si="5"/>
        <v>5.5225009144043158E-2</v>
      </c>
      <c r="L17" s="102">
        <f>L16+1</f>
        <v>12</v>
      </c>
      <c r="M17" s="103">
        <f t="shared" si="7"/>
        <v>46475</v>
      </c>
      <c r="N17" s="104">
        <f t="shared" ref="N17:N20" si="10">FORECAST(L17,N7:N16,L7:L16)</f>
        <v>16.218110605809787</v>
      </c>
      <c r="O17" s="105">
        <f t="shared" si="8"/>
        <v>6.7201532780328588E-2</v>
      </c>
    </row>
    <row r="18" spans="2:15" x14ac:dyDescent="0.25">
      <c r="B18" s="102">
        <f t="shared" ref="B18:B20" si="11">B17+1</f>
        <v>13</v>
      </c>
      <c r="C18" s="103">
        <f t="shared" si="1"/>
        <v>46840</v>
      </c>
      <c r="D18" s="104">
        <f>FORECAST(B18,$D$6:$D$15,$B$6:$B$15)</f>
        <v>85424.250181818177</v>
      </c>
      <c r="E18" s="105">
        <f t="shared" si="2"/>
        <v>5.0334578442081446E-2</v>
      </c>
      <c r="G18" s="102">
        <f t="shared" ref="G18:G20" si="12">G17+1</f>
        <v>13</v>
      </c>
      <c r="H18" s="103">
        <f t="shared" si="4"/>
        <v>46840</v>
      </c>
      <c r="I18" s="104">
        <f t="shared" si="9"/>
        <v>30216.334639999994</v>
      </c>
      <c r="J18" s="105">
        <f t="shared" si="5"/>
        <v>5.255016467406648E-2</v>
      </c>
      <c r="L18" s="102">
        <f t="shared" ref="L18:L20" si="13">L17+1</f>
        <v>13</v>
      </c>
      <c r="M18" s="103">
        <f t="shared" si="7"/>
        <v>46840</v>
      </c>
      <c r="N18" s="104">
        <f t="shared" si="10"/>
        <v>17.220242869104812</v>
      </c>
      <c r="O18" s="105">
        <f t="shared" si="8"/>
        <v>6.1790937776440735E-2</v>
      </c>
    </row>
    <row r="19" spans="2:15" x14ac:dyDescent="0.25">
      <c r="B19" s="102">
        <f t="shared" si="11"/>
        <v>14</v>
      </c>
      <c r="C19" s="103">
        <f t="shared" si="1"/>
        <v>47205</v>
      </c>
      <c r="D19" s="104">
        <f>FORECAST(B19,$D$6:$D$15,$B$6:$B$15)</f>
        <v>89517.987272727274</v>
      </c>
      <c r="E19" s="105">
        <f t="shared" si="2"/>
        <v>4.7922423459332952E-2</v>
      </c>
      <c r="G19" s="102">
        <f t="shared" si="12"/>
        <v>14</v>
      </c>
      <c r="H19" s="103">
        <f t="shared" si="4"/>
        <v>47205</v>
      </c>
      <c r="I19" s="104">
        <f t="shared" si="9"/>
        <v>31726.109011555545</v>
      </c>
      <c r="J19" s="105">
        <f t="shared" si="5"/>
        <v>4.9965503412082724E-2</v>
      </c>
      <c r="L19" s="102">
        <f t="shared" si="13"/>
        <v>14</v>
      </c>
      <c r="M19" s="103">
        <f t="shared" si="7"/>
        <v>47205</v>
      </c>
      <c r="N19" s="104">
        <f t="shared" si="10"/>
        <v>18.128325645803432</v>
      </c>
      <c r="O19" s="105">
        <f t="shared" si="8"/>
        <v>5.2733447698802838E-2</v>
      </c>
    </row>
    <row r="20" spans="2:15" x14ac:dyDescent="0.25">
      <c r="B20" s="102">
        <f t="shared" si="11"/>
        <v>15</v>
      </c>
      <c r="C20" s="103">
        <f t="shared" si="1"/>
        <v>47570</v>
      </c>
      <c r="D20" s="104">
        <f>FORECAST(B20,$D$6:$D$15,$B$6:$B$15)</f>
        <v>93611.724363636371</v>
      </c>
      <c r="E20" s="105">
        <f t="shared" si="2"/>
        <v>4.5730888457501173E-2</v>
      </c>
      <c r="G20" s="102">
        <f t="shared" si="12"/>
        <v>15</v>
      </c>
      <c r="H20" s="103">
        <f t="shared" si="4"/>
        <v>47570</v>
      </c>
      <c r="I20" s="104">
        <f t="shared" si="9"/>
        <v>33464.556822399987</v>
      </c>
      <c r="J20" s="105">
        <f t="shared" si="5"/>
        <v>5.4795493837938025E-2</v>
      </c>
      <c r="L20" s="102">
        <f t="shared" si="13"/>
        <v>15</v>
      </c>
      <c r="M20" s="103">
        <f t="shared" si="7"/>
        <v>47570</v>
      </c>
      <c r="N20" s="104">
        <f t="shared" si="10"/>
        <v>19.07497792501983</v>
      </c>
      <c r="O20" s="105">
        <f t="shared" si="8"/>
        <v>5.2219509827458266E-2</v>
      </c>
    </row>
    <row r="21" spans="2:15" x14ac:dyDescent="0.25">
      <c r="B21" s="54"/>
      <c r="C21" s="99"/>
      <c r="D21" s="96"/>
      <c r="E21" s="25"/>
    </row>
    <row r="22" spans="2:15" x14ac:dyDescent="0.25">
      <c r="B22" s="54"/>
      <c r="C22" s="99"/>
      <c r="D22" s="96"/>
      <c r="E22" s="25"/>
    </row>
    <row r="23" spans="2:15" x14ac:dyDescent="0.25">
      <c r="B23" s="54"/>
      <c r="C23" s="99"/>
      <c r="D23" s="96"/>
      <c r="E23" s="25"/>
    </row>
    <row r="26" spans="2:15" x14ac:dyDescent="0.25">
      <c r="B26" s="54"/>
      <c r="C26" s="99"/>
      <c r="D26" s="96"/>
      <c r="E26" s="25"/>
    </row>
    <row r="27" spans="2:15" x14ac:dyDescent="0.25">
      <c r="B27" s="54"/>
      <c r="C27" s="99"/>
      <c r="D27" s="96"/>
      <c r="E27" s="25"/>
    </row>
    <row r="28" spans="2:15" x14ac:dyDescent="0.25">
      <c r="B28" s="54"/>
      <c r="C28" s="99"/>
      <c r="D28" s="96"/>
      <c r="E28" s="25"/>
    </row>
    <row r="29" spans="2:15" x14ac:dyDescent="0.25">
      <c r="B29" s="54"/>
      <c r="C29" s="99"/>
      <c r="D29" s="96"/>
      <c r="E29" s="25"/>
    </row>
    <row r="30" spans="2:15" x14ac:dyDescent="0.25">
      <c r="B30" s="54"/>
      <c r="C30" s="99"/>
      <c r="D30" s="96"/>
      <c r="E30" s="25"/>
    </row>
    <row r="33" spans="2:16" x14ac:dyDescent="0.25"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</row>
    <row r="34" spans="2:16" x14ac:dyDescent="0.25"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</row>
    <row r="35" spans="2:16" outlineLevel="1" x14ac:dyDescent="0.25"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</row>
    <row r="36" spans="2:16" outlineLevel="1" x14ac:dyDescent="0.25"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</row>
    <row r="37" spans="2:16" outlineLevel="1" x14ac:dyDescent="0.25">
      <c r="B37" s="106"/>
      <c r="C37" s="106"/>
    </row>
    <row r="38" spans="2:16" outlineLevel="1" x14ac:dyDescent="0.25"/>
    <row r="39" spans="2:16" outlineLevel="1" x14ac:dyDescent="0.25"/>
    <row r="40" spans="2:16" outlineLevel="1" x14ac:dyDescent="0.25"/>
    <row r="41" spans="2:16" outlineLevel="1" x14ac:dyDescent="0.25"/>
    <row r="42" spans="2:16" outlineLevel="1" x14ac:dyDescent="0.25"/>
    <row r="43" spans="2:16" outlineLevel="1" x14ac:dyDescent="0.25"/>
    <row r="44" spans="2:16" outlineLevel="1" x14ac:dyDescent="0.25"/>
    <row r="45" spans="2:16" outlineLevel="1" x14ac:dyDescent="0.25">
      <c r="B45" s="107"/>
      <c r="C45" s="107"/>
      <c r="D45" s="107"/>
      <c r="E45" s="107"/>
      <c r="F45" s="107"/>
      <c r="G45" s="107"/>
    </row>
    <row r="46" spans="2:16" outlineLevel="1" x14ac:dyDescent="0.25"/>
    <row r="47" spans="2:16" outlineLevel="1" x14ac:dyDescent="0.25"/>
    <row r="48" spans="2:16" outlineLevel="1" x14ac:dyDescent="0.25"/>
    <row r="49" spans="2:10" outlineLevel="1" x14ac:dyDescent="0.25"/>
    <row r="50" spans="2:10" outlineLevel="1" x14ac:dyDescent="0.25">
      <c r="B50" s="107"/>
      <c r="C50" s="107"/>
      <c r="D50" s="107"/>
      <c r="E50" s="107"/>
      <c r="F50" s="107"/>
      <c r="G50" s="107"/>
      <c r="H50" s="107"/>
      <c r="I50" s="107"/>
      <c r="J50" s="107"/>
    </row>
    <row r="51" spans="2:10" outlineLevel="1" x14ac:dyDescent="0.25"/>
    <row r="52" spans="2:10" outlineLevel="1" x14ac:dyDescent="0.25"/>
    <row r="74" spans="2:3" x14ac:dyDescent="0.25">
      <c r="B74" s="54"/>
      <c r="C74" s="101"/>
    </row>
    <row r="75" spans="2:3" x14ac:dyDescent="0.25">
      <c r="B75" s="54"/>
      <c r="C75" s="101"/>
    </row>
  </sheetData>
  <mergeCells count="4">
    <mergeCell ref="L4:O4"/>
    <mergeCell ref="G4:J4"/>
    <mergeCell ref="B4:E4"/>
    <mergeCell ref="B2:O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2AF5-2F1F-471A-B5D5-2E0DF711E1E6}">
  <sheetPr>
    <tabColor rgb="FFFF0000"/>
  </sheetPr>
  <dimension ref="B4:Q117"/>
  <sheetViews>
    <sheetView showGridLines="0" topLeftCell="A13" workbookViewId="0">
      <selection activeCell="K40" sqref="K40"/>
    </sheetView>
  </sheetViews>
  <sheetFormatPr defaultRowHeight="15" x14ac:dyDescent="0.25"/>
  <cols>
    <col min="1" max="1" width="1.85546875" customWidth="1"/>
    <col min="2" max="2" width="10.7109375" style="165" bestFit="1" customWidth="1"/>
    <col min="3" max="3" width="12.28515625" style="2" bestFit="1" customWidth="1"/>
    <col min="4" max="4" width="14.28515625" style="2" bestFit="1" customWidth="1"/>
    <col min="6" max="6" width="12.28515625" bestFit="1" customWidth="1"/>
    <col min="9" max="9" width="18" bestFit="1" customWidth="1"/>
    <col min="10" max="10" width="20.42578125" bestFit="1" customWidth="1"/>
    <col min="12" max="13" width="18.85546875" bestFit="1" customWidth="1"/>
    <col min="14" max="14" width="13.42578125" bestFit="1" customWidth="1"/>
  </cols>
  <sheetData>
    <row r="4" spans="2:13" x14ac:dyDescent="0.25">
      <c r="B4" s="165" t="s">
        <v>227</v>
      </c>
    </row>
    <row r="7" spans="2:13" x14ac:dyDescent="0.25">
      <c r="B7" s="297" t="s">
        <v>228</v>
      </c>
      <c r="C7" s="297"/>
      <c r="D7" s="297"/>
      <c r="F7" s="297" t="s">
        <v>230</v>
      </c>
      <c r="G7" s="297"/>
      <c r="H7" s="169"/>
    </row>
    <row r="9" spans="2:13" x14ac:dyDescent="0.25">
      <c r="B9" s="166" t="s">
        <v>225</v>
      </c>
      <c r="C9" s="167" t="s">
        <v>226</v>
      </c>
      <c r="D9" s="167" t="s">
        <v>229</v>
      </c>
      <c r="F9" s="167" t="s">
        <v>226</v>
      </c>
      <c r="G9" s="167" t="s">
        <v>229</v>
      </c>
      <c r="I9" s="158" t="s">
        <v>231</v>
      </c>
      <c r="J9" s="195">
        <f>SLOPE(D11:D117,G11:G117)</f>
        <v>0.47916817169417303</v>
      </c>
      <c r="L9" s="193" t="s">
        <v>258</v>
      </c>
      <c r="M9" s="194"/>
    </row>
    <row r="10" spans="2:13" x14ac:dyDescent="0.25">
      <c r="B10" s="165">
        <v>45144</v>
      </c>
      <c r="C10" s="168">
        <v>424.52</v>
      </c>
      <c r="F10" s="96">
        <v>19428.3</v>
      </c>
      <c r="I10" s="158" t="s">
        <v>232</v>
      </c>
      <c r="J10" s="195">
        <f>_xlfn.COVARIANCE.S(D11:D117,G11:G117)/_xlfn.VAR.S(G11:G117)</f>
        <v>0.47916817169417303</v>
      </c>
      <c r="L10" s="118" t="s">
        <v>259</v>
      </c>
      <c r="M10" s="188">
        <f>J11</f>
        <v>0.47916817169417314</v>
      </c>
    </row>
    <row r="11" spans="2:13" x14ac:dyDescent="0.25">
      <c r="B11" s="165">
        <v>45151</v>
      </c>
      <c r="C11" s="168">
        <v>417.81</v>
      </c>
      <c r="D11" s="6">
        <f t="shared" ref="D11:D42" si="0">C11/C10-1</f>
        <v>-1.5806086874587733E-2</v>
      </c>
      <c r="F11" s="96">
        <v>19310.150000000001</v>
      </c>
      <c r="G11" s="6">
        <f>F11/F10-1</f>
        <v>-6.0813349598265454E-3</v>
      </c>
      <c r="I11" s="158" t="s">
        <v>233</v>
      </c>
      <c r="J11" s="129">
        <f>J37</f>
        <v>0.47916817169417314</v>
      </c>
      <c r="L11" s="118" t="s">
        <v>260</v>
      </c>
      <c r="M11" s="160">
        <v>0.75</v>
      </c>
    </row>
    <row r="12" spans="2:13" x14ac:dyDescent="0.25">
      <c r="B12" s="165">
        <v>45158</v>
      </c>
      <c r="C12" s="168">
        <v>419.42</v>
      </c>
      <c r="D12" s="6">
        <f t="shared" si="0"/>
        <v>3.8534261985112561E-3</v>
      </c>
      <c r="F12" s="96">
        <v>19265.8</v>
      </c>
      <c r="G12" s="6">
        <f t="shared" ref="G12:G75" si="1">F12/F11-1</f>
        <v>-2.2967196008317758E-3</v>
      </c>
      <c r="J12" s="23"/>
      <c r="L12" s="118" t="s">
        <v>262</v>
      </c>
      <c r="M12" s="196">
        <v>1</v>
      </c>
    </row>
    <row r="13" spans="2:13" x14ac:dyDescent="0.25">
      <c r="B13" s="165">
        <v>45165</v>
      </c>
      <c r="C13" s="168">
        <v>417.24</v>
      </c>
      <c r="D13" s="6">
        <f t="shared" si="0"/>
        <v>-5.1976539030089697E-3</v>
      </c>
      <c r="F13" s="96">
        <v>19435.3</v>
      </c>
      <c r="G13" s="6">
        <f t="shared" si="1"/>
        <v>8.7979736112697715E-3</v>
      </c>
      <c r="J13" s="23"/>
      <c r="L13" s="118" t="s">
        <v>261</v>
      </c>
      <c r="M13" s="160">
        <v>0.25</v>
      </c>
    </row>
    <row r="14" spans="2:13" x14ac:dyDescent="0.25">
      <c r="B14" s="165">
        <v>45172</v>
      </c>
      <c r="C14" s="168">
        <v>418.75</v>
      </c>
      <c r="D14" s="6">
        <f t="shared" si="0"/>
        <v>3.6190202281660699E-3</v>
      </c>
      <c r="F14" s="96">
        <v>19819.95</v>
      </c>
      <c r="G14" s="6">
        <f t="shared" si="1"/>
        <v>1.9791307569216876E-2</v>
      </c>
      <c r="L14" s="123" t="s">
        <v>263</v>
      </c>
      <c r="M14" s="145">
        <f>(M10*M11)+(M12*M13)</f>
        <v>0.60937612877062985</v>
      </c>
    </row>
    <row r="15" spans="2:13" x14ac:dyDescent="0.25">
      <c r="B15" s="165">
        <v>45179</v>
      </c>
      <c r="C15" s="168">
        <v>424.14</v>
      </c>
      <c r="D15" s="6">
        <f t="shared" si="0"/>
        <v>1.287164179104483E-2</v>
      </c>
      <c r="F15" s="96">
        <v>20192.349999999999</v>
      </c>
      <c r="G15" s="6">
        <f t="shared" si="1"/>
        <v>1.8789149316723597E-2</v>
      </c>
    </row>
    <row r="16" spans="2:13" x14ac:dyDescent="0.25">
      <c r="B16" s="165">
        <v>45186</v>
      </c>
      <c r="C16" s="168">
        <v>419.18</v>
      </c>
      <c r="D16" s="6">
        <f t="shared" si="0"/>
        <v>-1.1694251897958141E-2</v>
      </c>
      <c r="F16" s="96">
        <v>19674.25</v>
      </c>
      <c r="G16" s="6">
        <f t="shared" si="1"/>
        <v>-2.5658231954180599E-2</v>
      </c>
    </row>
    <row r="17" spans="2:14" x14ac:dyDescent="0.25">
      <c r="B17" s="165">
        <v>45193</v>
      </c>
      <c r="C17" s="168">
        <v>420.41</v>
      </c>
      <c r="D17" s="6">
        <f t="shared" si="0"/>
        <v>2.934300300586834E-3</v>
      </c>
      <c r="F17" s="96">
        <v>19638.3</v>
      </c>
      <c r="G17" s="6">
        <f t="shared" si="1"/>
        <v>-1.8272615220402688E-3</v>
      </c>
    </row>
    <row r="18" spans="2:14" x14ac:dyDescent="0.25">
      <c r="B18" s="165">
        <v>45200</v>
      </c>
      <c r="C18" s="168">
        <v>418.28</v>
      </c>
      <c r="D18" s="6">
        <f t="shared" si="0"/>
        <v>-5.0664827192503648E-3</v>
      </c>
      <c r="F18" s="96">
        <v>19653.5</v>
      </c>
      <c r="G18" s="6">
        <f t="shared" si="1"/>
        <v>7.7399774929598486E-4</v>
      </c>
    </row>
    <row r="19" spans="2:14" x14ac:dyDescent="0.25">
      <c r="B19" s="165">
        <v>45207</v>
      </c>
      <c r="C19" s="168">
        <v>424.14</v>
      </c>
      <c r="D19" s="6">
        <f t="shared" si="0"/>
        <v>1.4009754231615323E-2</v>
      </c>
      <c r="F19" s="96">
        <v>19751.05</v>
      </c>
      <c r="G19" s="6">
        <f t="shared" si="1"/>
        <v>4.9634925076957881E-3</v>
      </c>
    </row>
    <row r="20" spans="2:14" x14ac:dyDescent="0.25">
      <c r="B20" s="165">
        <v>45214</v>
      </c>
      <c r="C20" s="168">
        <v>414.64</v>
      </c>
      <c r="D20" s="6">
        <f t="shared" si="0"/>
        <v>-2.2398264723911931E-2</v>
      </c>
      <c r="F20" s="96">
        <v>19542.650000000001</v>
      </c>
      <c r="G20" s="6">
        <f t="shared" si="1"/>
        <v>-1.0551337776978809E-2</v>
      </c>
      <c r="I20" t="s">
        <v>234</v>
      </c>
    </row>
    <row r="21" spans="2:14" ht="15.75" thickBot="1" x14ac:dyDescent="0.3">
      <c r="B21" s="165">
        <v>45221</v>
      </c>
      <c r="C21" s="168">
        <v>410.33</v>
      </c>
      <c r="D21" s="6">
        <f t="shared" si="0"/>
        <v>-1.0394559135635695E-2</v>
      </c>
      <c r="F21" s="96">
        <v>19047.25</v>
      </c>
      <c r="G21" s="6">
        <f t="shared" si="1"/>
        <v>-2.5349683896503383E-2</v>
      </c>
    </row>
    <row r="22" spans="2:14" x14ac:dyDescent="0.25">
      <c r="B22" s="165">
        <v>45228</v>
      </c>
      <c r="C22" s="168">
        <v>409.86</v>
      </c>
      <c r="D22" s="6">
        <f t="shared" si="0"/>
        <v>-1.1454195403698408E-3</v>
      </c>
      <c r="F22" s="96">
        <v>19230.599999999999</v>
      </c>
      <c r="G22" s="6">
        <f t="shared" si="1"/>
        <v>9.6260615049414966E-3</v>
      </c>
      <c r="I22" s="172" t="s">
        <v>235</v>
      </c>
      <c r="J22" s="172"/>
    </row>
    <row r="23" spans="2:14" x14ac:dyDescent="0.25">
      <c r="B23" s="165">
        <v>45235</v>
      </c>
      <c r="C23" s="168">
        <v>412.98</v>
      </c>
      <c r="D23" s="6">
        <f t="shared" si="0"/>
        <v>7.6123554384424086E-3</v>
      </c>
      <c r="F23" s="96">
        <v>19425.349999999999</v>
      </c>
      <c r="G23" s="6">
        <f t="shared" si="1"/>
        <v>1.0127089118384225E-2</v>
      </c>
      <c r="I23" t="s">
        <v>236</v>
      </c>
      <c r="J23">
        <v>0.39515298298322316</v>
      </c>
    </row>
    <row r="24" spans="2:14" x14ac:dyDescent="0.25">
      <c r="B24" s="165">
        <v>45242</v>
      </c>
      <c r="C24" s="168">
        <v>415.54</v>
      </c>
      <c r="D24" s="6">
        <f t="shared" si="0"/>
        <v>6.1988474018113138E-3</v>
      </c>
      <c r="F24" s="96">
        <v>19731.8</v>
      </c>
      <c r="G24" s="6">
        <f t="shared" si="1"/>
        <v>1.5775777527818002E-2</v>
      </c>
      <c r="I24" t="s">
        <v>237</v>
      </c>
      <c r="J24">
        <v>0.15614587996053944</v>
      </c>
    </row>
    <row r="25" spans="2:14" x14ac:dyDescent="0.25">
      <c r="B25" s="165">
        <v>45249</v>
      </c>
      <c r="C25" s="168">
        <v>414.16</v>
      </c>
      <c r="D25" s="6">
        <f t="shared" si="0"/>
        <v>-3.3209799297300169E-3</v>
      </c>
      <c r="F25" s="96">
        <v>19794.7</v>
      </c>
      <c r="G25" s="6">
        <f t="shared" si="1"/>
        <v>3.1877476966115648E-3</v>
      </c>
      <c r="I25" t="s">
        <v>238</v>
      </c>
      <c r="J25">
        <v>0.14810917405540172</v>
      </c>
    </row>
    <row r="26" spans="2:14" x14ac:dyDescent="0.25">
      <c r="B26" s="165">
        <v>45256</v>
      </c>
      <c r="C26" s="168">
        <v>425.52</v>
      </c>
      <c r="D26" s="6">
        <f t="shared" si="0"/>
        <v>2.7429012941858177E-2</v>
      </c>
      <c r="F26" s="96">
        <v>20267.900000000001</v>
      </c>
      <c r="G26" s="6">
        <f t="shared" si="1"/>
        <v>2.3905388816198414E-2</v>
      </c>
      <c r="I26" t="s">
        <v>239</v>
      </c>
      <c r="J26">
        <v>1.9067960376147226E-2</v>
      </c>
    </row>
    <row r="27" spans="2:14" ht="15.75" thickBot="1" x14ac:dyDescent="0.3">
      <c r="B27" s="165">
        <v>45263</v>
      </c>
      <c r="C27" s="168">
        <v>424.9</v>
      </c>
      <c r="D27" s="6">
        <f t="shared" si="0"/>
        <v>-1.4570407971423727E-3</v>
      </c>
      <c r="F27" s="96">
        <v>20969.400000000001</v>
      </c>
      <c r="G27" s="6">
        <f t="shared" si="1"/>
        <v>3.4611380557433069E-2</v>
      </c>
      <c r="I27" s="170" t="s">
        <v>240</v>
      </c>
      <c r="J27" s="170">
        <v>107</v>
      </c>
    </row>
    <row r="28" spans="2:14" x14ac:dyDescent="0.25">
      <c r="B28" s="165">
        <v>45270</v>
      </c>
      <c r="C28" s="168">
        <v>433.46</v>
      </c>
      <c r="D28" s="6">
        <f t="shared" si="0"/>
        <v>2.0145916686279186E-2</v>
      </c>
      <c r="F28" s="96">
        <v>21456.65</v>
      </c>
      <c r="G28" s="6">
        <f t="shared" si="1"/>
        <v>2.3236239472755438E-2</v>
      </c>
    </row>
    <row r="29" spans="2:14" ht="15.75" thickBot="1" x14ac:dyDescent="0.3">
      <c r="B29" s="165">
        <v>45277</v>
      </c>
      <c r="C29" s="168">
        <v>430.63</v>
      </c>
      <c r="D29" s="6">
        <f t="shared" si="0"/>
        <v>-6.5288607945369614E-3</v>
      </c>
      <c r="F29" s="96">
        <v>21349.4</v>
      </c>
      <c r="G29" s="6">
        <f t="shared" si="1"/>
        <v>-4.9984503638732525E-3</v>
      </c>
      <c r="I29" t="s">
        <v>241</v>
      </c>
    </row>
    <row r="30" spans="2:14" x14ac:dyDescent="0.25">
      <c r="B30" s="165">
        <v>45284</v>
      </c>
      <c r="C30" s="168">
        <v>437.15</v>
      </c>
      <c r="D30" s="6">
        <f t="shared" si="0"/>
        <v>1.5140607946496853E-2</v>
      </c>
      <c r="F30" s="96">
        <v>21731.4</v>
      </c>
      <c r="G30" s="6">
        <f t="shared" si="1"/>
        <v>1.7892774504201459E-2</v>
      </c>
      <c r="I30" s="171"/>
      <c r="J30" s="171" t="s">
        <v>245</v>
      </c>
      <c r="K30" s="171" t="s">
        <v>246</v>
      </c>
      <c r="L30" s="171" t="s">
        <v>247</v>
      </c>
      <c r="M30" s="171" t="s">
        <v>248</v>
      </c>
      <c r="N30" s="171" t="s">
        <v>249</v>
      </c>
    </row>
    <row r="31" spans="2:14" x14ac:dyDescent="0.25">
      <c r="B31" s="165">
        <v>45291</v>
      </c>
      <c r="C31" s="168">
        <v>448.36</v>
      </c>
      <c r="D31" s="6">
        <f t="shared" si="0"/>
        <v>2.5643371840329499E-2</v>
      </c>
      <c r="F31" s="96">
        <v>21710.799999999999</v>
      </c>
      <c r="G31" s="6">
        <f t="shared" si="1"/>
        <v>-9.479370864280412E-4</v>
      </c>
      <c r="I31" t="s">
        <v>242</v>
      </c>
      <c r="J31">
        <v>1</v>
      </c>
      <c r="K31">
        <v>7.064166632099321E-3</v>
      </c>
      <c r="L31">
        <v>7.064166632099321E-3</v>
      </c>
      <c r="M31">
        <v>19.429089704616196</v>
      </c>
      <c r="N31">
        <v>2.5285167933594279E-5</v>
      </c>
    </row>
    <row r="32" spans="2:14" x14ac:dyDescent="0.25">
      <c r="B32" s="165">
        <v>45298</v>
      </c>
      <c r="C32" s="168">
        <v>441.5</v>
      </c>
      <c r="D32" s="6">
        <f t="shared" si="0"/>
        <v>-1.5300205192256278E-2</v>
      </c>
      <c r="F32" s="96">
        <v>21894.55</v>
      </c>
      <c r="G32" s="6">
        <f t="shared" si="1"/>
        <v>8.4635296718684749E-3</v>
      </c>
      <c r="I32" t="s">
        <v>243</v>
      </c>
      <c r="J32">
        <v>105</v>
      </c>
      <c r="K32">
        <v>3.8176646855163671E-2</v>
      </c>
      <c r="L32">
        <v>3.6358711290632065E-4</v>
      </c>
    </row>
    <row r="33" spans="2:17" ht="15.75" thickBot="1" x14ac:dyDescent="0.3">
      <c r="B33" s="165">
        <v>45305</v>
      </c>
      <c r="C33" s="168">
        <v>446.05</v>
      </c>
      <c r="D33" s="6">
        <f t="shared" si="0"/>
        <v>1.0305775764439362E-2</v>
      </c>
      <c r="F33" s="96">
        <v>21622.400000000001</v>
      </c>
      <c r="G33" s="6">
        <f t="shared" si="1"/>
        <v>-1.2430033958222397E-2</v>
      </c>
      <c r="I33" s="170" t="s">
        <v>73</v>
      </c>
      <c r="J33" s="170">
        <v>106</v>
      </c>
      <c r="K33" s="170">
        <v>4.5240813487262992E-2</v>
      </c>
      <c r="L33" s="170"/>
      <c r="M33" s="170"/>
      <c r="N33" s="170"/>
    </row>
    <row r="34" spans="2:17" ht="15.75" thickBot="1" x14ac:dyDescent="0.3">
      <c r="B34" s="165">
        <v>45312</v>
      </c>
      <c r="C34" s="168">
        <v>431.05</v>
      </c>
      <c r="D34" s="6">
        <f t="shared" si="0"/>
        <v>-3.3628516982401102E-2</v>
      </c>
      <c r="F34" s="96">
        <v>21352.6</v>
      </c>
      <c r="G34" s="6">
        <f t="shared" si="1"/>
        <v>-1.2477800799171379E-2</v>
      </c>
    </row>
    <row r="35" spans="2:17" x14ac:dyDescent="0.25">
      <c r="B35" s="165">
        <v>45319</v>
      </c>
      <c r="C35" s="168">
        <v>416.34</v>
      </c>
      <c r="D35" s="6">
        <f t="shared" si="0"/>
        <v>-3.4125971465027383E-2</v>
      </c>
      <c r="F35" s="96">
        <v>21853.8</v>
      </c>
      <c r="G35" s="6">
        <f t="shared" si="1"/>
        <v>2.3472551352060167E-2</v>
      </c>
      <c r="I35" s="171"/>
      <c r="J35" s="171" t="s">
        <v>250</v>
      </c>
      <c r="K35" s="171" t="s">
        <v>239</v>
      </c>
      <c r="L35" s="171" t="s">
        <v>251</v>
      </c>
      <c r="M35" s="171" t="s">
        <v>252</v>
      </c>
      <c r="N35" s="171" t="s">
        <v>253</v>
      </c>
      <c r="O35" s="171" t="s">
        <v>254</v>
      </c>
      <c r="P35" s="171" t="s">
        <v>255</v>
      </c>
      <c r="Q35" s="171" t="s">
        <v>256</v>
      </c>
    </row>
    <row r="36" spans="2:17" x14ac:dyDescent="0.25">
      <c r="B36" s="165">
        <v>45326</v>
      </c>
      <c r="C36" s="168">
        <v>393.07</v>
      </c>
      <c r="D36" s="6">
        <f t="shared" si="0"/>
        <v>-5.5891819186241976E-2</v>
      </c>
      <c r="F36" s="96">
        <v>21782.5</v>
      </c>
      <c r="G36" s="6">
        <f t="shared" si="1"/>
        <v>-3.2625904876955047E-3</v>
      </c>
      <c r="I36" t="s">
        <v>244</v>
      </c>
      <c r="J36">
        <v>-1.4137143178166579E-3</v>
      </c>
      <c r="K36">
        <v>1.8616585971991796E-3</v>
      </c>
      <c r="L36">
        <v>-0.75938430383721101</v>
      </c>
      <c r="M36">
        <v>0.44932419915320487</v>
      </c>
      <c r="N36">
        <v>-5.1050394189350512E-3</v>
      </c>
      <c r="O36">
        <v>2.2776107833017353E-3</v>
      </c>
      <c r="P36">
        <v>-5.1050394189350512E-3</v>
      </c>
      <c r="Q36">
        <v>2.2776107833017353E-3</v>
      </c>
    </row>
    <row r="37" spans="2:17" ht="15.75" thickBot="1" x14ac:dyDescent="0.3">
      <c r="B37" s="165">
        <v>45333</v>
      </c>
      <c r="C37" s="168">
        <v>382.76</v>
      </c>
      <c r="D37" s="6">
        <f t="shared" si="0"/>
        <v>-2.622942478438961E-2</v>
      </c>
      <c r="F37" s="96">
        <v>22040.7</v>
      </c>
      <c r="G37" s="6">
        <f t="shared" si="1"/>
        <v>1.1853552163433978E-2</v>
      </c>
      <c r="I37" s="170" t="s">
        <v>257</v>
      </c>
      <c r="J37" s="170">
        <v>0.47916817169417314</v>
      </c>
      <c r="K37" s="170">
        <v>0.10870805764801636</v>
      </c>
      <c r="L37" s="170">
        <v>4.4078441107434942</v>
      </c>
      <c r="M37" s="170">
        <v>2.5285167933595082E-5</v>
      </c>
      <c r="N37" s="170">
        <v>0.2636201746050939</v>
      </c>
      <c r="O37" s="170">
        <v>0.69471616878325237</v>
      </c>
      <c r="P37" s="170">
        <v>0.2636201746050939</v>
      </c>
      <c r="Q37" s="170">
        <v>0.69471616878325237</v>
      </c>
    </row>
    <row r="38" spans="2:17" x14ac:dyDescent="0.25">
      <c r="B38" s="165">
        <v>45340</v>
      </c>
      <c r="C38" s="168">
        <v>389.19</v>
      </c>
      <c r="D38" s="6">
        <f t="shared" si="0"/>
        <v>1.6799038562023139E-2</v>
      </c>
      <c r="F38" s="96">
        <v>22212.7</v>
      </c>
      <c r="G38" s="6">
        <f t="shared" si="1"/>
        <v>7.8037448901351336E-3</v>
      </c>
    </row>
    <row r="39" spans="2:17" x14ac:dyDescent="0.25">
      <c r="B39" s="165">
        <v>45347</v>
      </c>
      <c r="C39" s="168">
        <v>387.39</v>
      </c>
      <c r="D39" s="6">
        <f t="shared" si="0"/>
        <v>-4.6249903646033985E-3</v>
      </c>
      <c r="F39" s="96">
        <v>22338.75</v>
      </c>
      <c r="G39" s="6">
        <f t="shared" si="1"/>
        <v>5.6746816010659895E-3</v>
      </c>
    </row>
    <row r="40" spans="2:17" x14ac:dyDescent="0.25">
      <c r="B40" s="165">
        <v>45354</v>
      </c>
      <c r="C40" s="168">
        <v>391.22</v>
      </c>
      <c r="D40" s="6">
        <f t="shared" si="0"/>
        <v>9.886677508454067E-3</v>
      </c>
      <c r="F40" s="96">
        <v>22493.55</v>
      </c>
      <c r="G40" s="6">
        <f t="shared" si="1"/>
        <v>6.929662581836471E-3</v>
      </c>
    </row>
    <row r="41" spans="2:17" x14ac:dyDescent="0.25">
      <c r="B41" s="165">
        <v>45361</v>
      </c>
      <c r="C41" s="168">
        <v>396.47</v>
      </c>
      <c r="D41" s="6">
        <f t="shared" si="0"/>
        <v>1.3419559327232822E-2</v>
      </c>
      <c r="F41" s="96">
        <v>22023.35</v>
      </c>
      <c r="G41" s="6">
        <f t="shared" si="1"/>
        <v>-2.0903770191899484E-2</v>
      </c>
    </row>
    <row r="42" spans="2:17" x14ac:dyDescent="0.25">
      <c r="B42" s="165">
        <v>45368</v>
      </c>
      <c r="C42" s="168">
        <v>405.46</v>
      </c>
      <c r="D42" s="6">
        <f t="shared" si="0"/>
        <v>2.2675107826569452E-2</v>
      </c>
      <c r="F42" s="96">
        <v>22096.75</v>
      </c>
      <c r="G42" s="6">
        <f t="shared" si="1"/>
        <v>3.3328262957270649E-3</v>
      </c>
    </row>
    <row r="43" spans="2:17" x14ac:dyDescent="0.25">
      <c r="B43" s="165">
        <v>45375</v>
      </c>
      <c r="C43" s="168">
        <v>405.23</v>
      </c>
      <c r="D43" s="6">
        <f t="shared" ref="D43:D74" si="2">C43/C42-1</f>
        <v>-5.6725694273163096E-4</v>
      </c>
      <c r="F43" s="96">
        <v>22326.9</v>
      </c>
      <c r="G43" s="6">
        <f t="shared" si="1"/>
        <v>1.0415558849152129E-2</v>
      </c>
    </row>
    <row r="44" spans="2:17" x14ac:dyDescent="0.25">
      <c r="B44" s="165">
        <v>45382</v>
      </c>
      <c r="C44" s="168">
        <v>404.47</v>
      </c>
      <c r="D44" s="6">
        <f t="shared" si="2"/>
        <v>-1.875478123534724E-3</v>
      </c>
      <c r="F44" s="96">
        <v>22513.7</v>
      </c>
      <c r="G44" s="6">
        <f t="shared" si="1"/>
        <v>8.3665891816597782E-3</v>
      </c>
    </row>
    <row r="45" spans="2:17" x14ac:dyDescent="0.25">
      <c r="B45" s="165">
        <v>45389</v>
      </c>
      <c r="C45" s="168">
        <v>406.88</v>
      </c>
      <c r="D45" s="6">
        <f t="shared" si="2"/>
        <v>5.9584147155535838E-3</v>
      </c>
      <c r="F45" s="96">
        <v>22519.4</v>
      </c>
      <c r="G45" s="6">
        <f t="shared" si="1"/>
        <v>2.5317917534661838E-4</v>
      </c>
    </row>
    <row r="46" spans="2:17" x14ac:dyDescent="0.25">
      <c r="B46" s="165">
        <v>45396</v>
      </c>
      <c r="C46" s="168">
        <v>401.82</v>
      </c>
      <c r="D46" s="6">
        <f t="shared" si="2"/>
        <v>-1.243609909555643E-2</v>
      </c>
      <c r="F46" s="96">
        <v>22147</v>
      </c>
      <c r="G46" s="6">
        <f t="shared" si="1"/>
        <v>-1.6536852669254087E-2</v>
      </c>
    </row>
    <row r="47" spans="2:17" x14ac:dyDescent="0.25">
      <c r="B47" s="165">
        <v>45403</v>
      </c>
      <c r="C47" s="168">
        <v>416.25</v>
      </c>
      <c r="D47" s="6">
        <f t="shared" si="2"/>
        <v>3.5911602209944826E-2</v>
      </c>
      <c r="F47" s="96">
        <v>22419.95</v>
      </c>
      <c r="G47" s="6">
        <f t="shared" si="1"/>
        <v>1.2324468325281002E-2</v>
      </c>
    </row>
    <row r="48" spans="2:17" x14ac:dyDescent="0.25">
      <c r="B48" s="165">
        <v>45410</v>
      </c>
      <c r="C48" s="168">
        <v>412.89</v>
      </c>
      <c r="D48" s="6">
        <f t="shared" si="2"/>
        <v>-8.0720720720720562E-3</v>
      </c>
      <c r="F48" s="96">
        <v>22475.85</v>
      </c>
      <c r="G48" s="6">
        <f t="shared" si="1"/>
        <v>2.4933151055197555E-3</v>
      </c>
    </row>
    <row r="49" spans="2:7" x14ac:dyDescent="0.25">
      <c r="B49" s="165">
        <v>45417</v>
      </c>
      <c r="C49" s="168">
        <v>409.95</v>
      </c>
      <c r="D49" s="6">
        <f t="shared" si="2"/>
        <v>-7.1205405798154819E-3</v>
      </c>
      <c r="F49" s="96">
        <v>22055.200000000001</v>
      </c>
      <c r="G49" s="6">
        <f t="shared" si="1"/>
        <v>-1.8715643679771743E-2</v>
      </c>
    </row>
    <row r="50" spans="2:7" x14ac:dyDescent="0.25">
      <c r="B50" s="165">
        <v>45424</v>
      </c>
      <c r="C50" s="168">
        <v>412.74</v>
      </c>
      <c r="D50" s="6">
        <f t="shared" si="2"/>
        <v>6.8057080131724845E-3</v>
      </c>
      <c r="F50" s="96">
        <v>22466.1</v>
      </c>
      <c r="G50" s="6">
        <f t="shared" si="1"/>
        <v>1.8630527041241907E-2</v>
      </c>
    </row>
    <row r="51" spans="2:7" x14ac:dyDescent="0.25">
      <c r="B51" s="165">
        <v>45431</v>
      </c>
      <c r="C51" s="168">
        <v>412.65</v>
      </c>
      <c r="D51" s="6">
        <f t="shared" si="2"/>
        <v>-2.1805494984739049E-4</v>
      </c>
      <c r="F51" s="96">
        <v>22957.1</v>
      </c>
      <c r="G51" s="6">
        <f t="shared" si="1"/>
        <v>2.1855150649200406E-2</v>
      </c>
    </row>
    <row r="52" spans="2:7" x14ac:dyDescent="0.25">
      <c r="B52" s="165">
        <v>45438</v>
      </c>
      <c r="C52" s="168">
        <v>403.43</v>
      </c>
      <c r="D52" s="6">
        <f t="shared" si="2"/>
        <v>-2.2343390282321463E-2</v>
      </c>
      <c r="F52" s="96">
        <v>22530.7</v>
      </c>
      <c r="G52" s="6">
        <f t="shared" si="1"/>
        <v>-1.8573774562117951E-2</v>
      </c>
    </row>
    <row r="53" spans="2:7" x14ac:dyDescent="0.25">
      <c r="B53" s="165">
        <v>45445</v>
      </c>
      <c r="C53" s="168">
        <v>415.44</v>
      </c>
      <c r="D53" s="6">
        <f t="shared" si="2"/>
        <v>2.9769724611456772E-2</v>
      </c>
      <c r="F53" s="96">
        <v>23290.15</v>
      </c>
      <c r="G53" s="6">
        <f t="shared" si="1"/>
        <v>3.3707341538434354E-2</v>
      </c>
    </row>
    <row r="54" spans="2:7" x14ac:dyDescent="0.25">
      <c r="B54" s="165">
        <v>45452</v>
      </c>
      <c r="C54" s="168">
        <v>407.87</v>
      </c>
      <c r="D54" s="6">
        <f t="shared" si="2"/>
        <v>-1.8221644521471236E-2</v>
      </c>
      <c r="F54" s="96">
        <v>23465.599999999999</v>
      </c>
      <c r="G54" s="6">
        <f t="shared" si="1"/>
        <v>7.5332275661599279E-3</v>
      </c>
    </row>
    <row r="55" spans="2:7" x14ac:dyDescent="0.25">
      <c r="B55" s="165">
        <v>45459</v>
      </c>
      <c r="C55" s="168">
        <v>396.95</v>
      </c>
      <c r="D55" s="6">
        <f t="shared" si="2"/>
        <v>-2.6773236570475922E-2</v>
      </c>
      <c r="F55" s="96">
        <v>23501.1</v>
      </c>
      <c r="G55" s="6">
        <f t="shared" si="1"/>
        <v>1.5128528569481325E-3</v>
      </c>
    </row>
    <row r="56" spans="2:7" x14ac:dyDescent="0.25">
      <c r="B56" s="165">
        <v>45466</v>
      </c>
      <c r="C56" s="168">
        <v>401.96</v>
      </c>
      <c r="D56" s="6">
        <f t="shared" si="2"/>
        <v>1.2621236931603441E-2</v>
      </c>
      <c r="F56" s="96">
        <v>24010.6</v>
      </c>
      <c r="G56" s="6">
        <f t="shared" si="1"/>
        <v>2.1679836262983532E-2</v>
      </c>
    </row>
    <row r="57" spans="2:7" x14ac:dyDescent="0.25">
      <c r="B57" s="165">
        <v>45473</v>
      </c>
      <c r="C57" s="168">
        <v>410.24</v>
      </c>
      <c r="D57" s="6">
        <f t="shared" si="2"/>
        <v>2.0599064583540772E-2</v>
      </c>
      <c r="F57" s="96">
        <v>24323.85</v>
      </c>
      <c r="G57" s="6">
        <f t="shared" si="1"/>
        <v>1.3046321208133094E-2</v>
      </c>
    </row>
    <row r="58" spans="2:7" x14ac:dyDescent="0.25">
      <c r="B58" s="165">
        <v>45480</v>
      </c>
      <c r="C58" s="168">
        <v>434.27</v>
      </c>
      <c r="D58" s="6">
        <f t="shared" si="2"/>
        <v>5.8575468018720711E-2</v>
      </c>
      <c r="F58" s="96">
        <v>24502.15</v>
      </c>
      <c r="G58" s="6">
        <f t="shared" si="1"/>
        <v>7.3302540510651326E-3</v>
      </c>
    </row>
    <row r="59" spans="2:7" x14ac:dyDescent="0.25">
      <c r="B59" s="165">
        <v>45487</v>
      </c>
      <c r="C59" s="168">
        <v>448.93</v>
      </c>
      <c r="D59" s="6">
        <f t="shared" si="2"/>
        <v>3.3757800446726716E-2</v>
      </c>
      <c r="F59" s="96">
        <v>24530.9</v>
      </c>
      <c r="G59" s="6">
        <f t="shared" si="1"/>
        <v>1.1733664188653403E-3</v>
      </c>
    </row>
    <row r="60" spans="2:7" x14ac:dyDescent="0.25">
      <c r="B60" s="165">
        <v>45494</v>
      </c>
      <c r="C60" s="168">
        <v>475.09</v>
      </c>
      <c r="D60" s="6">
        <f t="shared" si="2"/>
        <v>5.8271890940681192E-2</v>
      </c>
      <c r="F60" s="96">
        <v>24834.85</v>
      </c>
      <c r="G60" s="6">
        <f t="shared" si="1"/>
        <v>1.2390495252925682E-2</v>
      </c>
    </row>
    <row r="61" spans="2:7" x14ac:dyDescent="0.25">
      <c r="B61" s="165">
        <v>45501</v>
      </c>
      <c r="C61" s="168">
        <v>462.7</v>
      </c>
      <c r="D61" s="6">
        <f t="shared" si="2"/>
        <v>-2.6079269191100596E-2</v>
      </c>
      <c r="F61" s="96">
        <v>24717.7</v>
      </c>
      <c r="G61" s="6">
        <f t="shared" si="1"/>
        <v>-4.7171615693268887E-3</v>
      </c>
    </row>
    <row r="62" spans="2:7" x14ac:dyDescent="0.25">
      <c r="B62" s="165">
        <v>45508</v>
      </c>
      <c r="C62" s="168">
        <v>469.13</v>
      </c>
      <c r="D62" s="6">
        <f t="shared" si="2"/>
        <v>1.3896693321806763E-2</v>
      </c>
      <c r="F62" s="96">
        <v>24367.5</v>
      </c>
      <c r="G62" s="6">
        <f t="shared" si="1"/>
        <v>-1.4167984885325113E-2</v>
      </c>
    </row>
    <row r="63" spans="2:7" x14ac:dyDescent="0.25">
      <c r="B63" s="165">
        <v>45515</v>
      </c>
      <c r="C63" s="168">
        <v>475.51</v>
      </c>
      <c r="D63" s="6">
        <f t="shared" si="2"/>
        <v>1.359964189030749E-2</v>
      </c>
      <c r="F63" s="96">
        <v>24541.15</v>
      </c>
      <c r="G63" s="6">
        <f t="shared" si="1"/>
        <v>7.1262952703396998E-3</v>
      </c>
    </row>
    <row r="64" spans="2:7" x14ac:dyDescent="0.25">
      <c r="B64" s="165">
        <v>45522</v>
      </c>
      <c r="C64" s="168">
        <v>478.49</v>
      </c>
      <c r="D64" s="6">
        <f t="shared" si="2"/>
        <v>6.2669554793801652E-3</v>
      </c>
      <c r="F64" s="96">
        <v>24823.15</v>
      </c>
      <c r="G64" s="6">
        <f t="shared" si="1"/>
        <v>1.1490904052988471E-2</v>
      </c>
    </row>
    <row r="65" spans="2:7" x14ac:dyDescent="0.25">
      <c r="B65" s="165">
        <v>45529</v>
      </c>
      <c r="C65" s="168">
        <v>474.8</v>
      </c>
      <c r="D65" s="6">
        <f t="shared" si="2"/>
        <v>-7.7117599113879498E-3</v>
      </c>
      <c r="F65" s="96">
        <v>25235.9</v>
      </c>
      <c r="G65" s="6">
        <f t="shared" si="1"/>
        <v>1.6627623810837822E-2</v>
      </c>
    </row>
    <row r="66" spans="2:7" x14ac:dyDescent="0.25">
      <c r="B66" s="165">
        <v>45536</v>
      </c>
      <c r="C66" s="168">
        <v>474.61</v>
      </c>
      <c r="D66" s="6">
        <f t="shared" si="2"/>
        <v>-4.0016849199664417E-4</v>
      </c>
      <c r="F66" s="96">
        <v>24852.15</v>
      </c>
      <c r="G66" s="6">
        <f t="shared" si="1"/>
        <v>-1.5206511358818231E-2</v>
      </c>
    </row>
    <row r="67" spans="2:7" x14ac:dyDescent="0.25">
      <c r="B67" s="165">
        <v>45543</v>
      </c>
      <c r="C67" s="168">
        <v>486.11</v>
      </c>
      <c r="D67" s="6">
        <f t="shared" si="2"/>
        <v>2.4230420766524041E-2</v>
      </c>
      <c r="F67" s="96">
        <v>25356.5</v>
      </c>
      <c r="G67" s="6">
        <f t="shared" si="1"/>
        <v>2.0294018827344829E-2</v>
      </c>
    </row>
    <row r="68" spans="2:7" x14ac:dyDescent="0.25">
      <c r="B68" s="165">
        <v>45550</v>
      </c>
      <c r="C68" s="168">
        <v>486.63</v>
      </c>
      <c r="D68" s="6">
        <f t="shared" si="2"/>
        <v>1.0697167307811561E-3</v>
      </c>
      <c r="F68" s="96">
        <v>25790.95</v>
      </c>
      <c r="G68" s="6">
        <f t="shared" si="1"/>
        <v>1.7133673811448702E-2</v>
      </c>
    </row>
    <row r="69" spans="2:7" x14ac:dyDescent="0.25">
      <c r="B69" s="165">
        <v>45557</v>
      </c>
      <c r="C69" s="168">
        <v>494.48</v>
      </c>
      <c r="D69" s="6">
        <f t="shared" si="2"/>
        <v>1.6131352362164231E-2</v>
      </c>
      <c r="F69" s="96">
        <v>26178.95</v>
      </c>
      <c r="G69" s="6">
        <f t="shared" si="1"/>
        <v>1.5044036764834123E-2</v>
      </c>
    </row>
    <row r="70" spans="2:7" x14ac:dyDescent="0.25">
      <c r="B70" s="165">
        <v>45564</v>
      </c>
      <c r="C70" s="168">
        <v>476.36</v>
      </c>
      <c r="D70" s="6">
        <f t="shared" si="2"/>
        <v>-3.6644555897104025E-2</v>
      </c>
      <c r="F70" s="96">
        <v>25014.6</v>
      </c>
      <c r="G70" s="6">
        <f t="shared" si="1"/>
        <v>-4.4476573735768743E-2</v>
      </c>
    </row>
    <row r="71" spans="2:7" x14ac:dyDescent="0.25">
      <c r="B71" s="165">
        <v>45571</v>
      </c>
      <c r="C71" s="168">
        <v>461.84</v>
      </c>
      <c r="D71" s="6">
        <f t="shared" si="2"/>
        <v>-3.0481148711058892E-2</v>
      </c>
      <c r="F71" s="96">
        <v>24964.25</v>
      </c>
      <c r="G71" s="6">
        <f t="shared" si="1"/>
        <v>-2.0128245104857889E-3</v>
      </c>
    </row>
    <row r="72" spans="2:7" x14ac:dyDescent="0.25">
      <c r="B72" s="165">
        <v>45578</v>
      </c>
      <c r="C72" s="168">
        <v>460.42</v>
      </c>
      <c r="D72" s="6">
        <f t="shared" si="2"/>
        <v>-3.0746578901783561E-3</v>
      </c>
      <c r="F72" s="96">
        <v>24854.05</v>
      </c>
      <c r="G72" s="6">
        <f t="shared" si="1"/>
        <v>-4.4143124668275524E-3</v>
      </c>
    </row>
    <row r="73" spans="2:7" x14ac:dyDescent="0.25">
      <c r="B73" s="165">
        <v>45585</v>
      </c>
      <c r="C73" s="168">
        <v>456.26</v>
      </c>
      <c r="D73" s="6">
        <f t="shared" si="2"/>
        <v>-9.0352287042266832E-3</v>
      </c>
      <c r="F73" s="96">
        <v>24180.799999999999</v>
      </c>
      <c r="G73" s="6">
        <f t="shared" si="1"/>
        <v>-2.7088140564616281E-2</v>
      </c>
    </row>
    <row r="74" spans="2:7" x14ac:dyDescent="0.25">
      <c r="B74" s="165">
        <v>45592</v>
      </c>
      <c r="C74" s="168">
        <v>463.83</v>
      </c>
      <c r="D74" s="6">
        <f t="shared" si="2"/>
        <v>1.6591417174418144E-2</v>
      </c>
      <c r="F74" s="96">
        <v>24304.35</v>
      </c>
      <c r="G74" s="6">
        <f t="shared" si="1"/>
        <v>5.1094256600276999E-3</v>
      </c>
    </row>
    <row r="75" spans="2:7" x14ac:dyDescent="0.25">
      <c r="B75" s="165">
        <v>45599</v>
      </c>
      <c r="C75" s="168">
        <v>452.24</v>
      </c>
      <c r="D75" s="6">
        <f t="shared" ref="D75:D106" si="3">C75/C74-1</f>
        <v>-2.4987603216695686E-2</v>
      </c>
      <c r="F75" s="96">
        <v>24148.2</v>
      </c>
      <c r="G75" s="6">
        <f t="shared" si="1"/>
        <v>-6.4247758117372822E-3</v>
      </c>
    </row>
    <row r="76" spans="2:7" x14ac:dyDescent="0.25">
      <c r="B76" s="165">
        <v>45606</v>
      </c>
      <c r="C76" s="168">
        <v>440.8</v>
      </c>
      <c r="D76" s="6">
        <f t="shared" si="3"/>
        <v>-2.5296302848045293E-2</v>
      </c>
      <c r="F76" s="96">
        <v>23532.7</v>
      </c>
      <c r="G76" s="6">
        <f t="shared" ref="G76:G117" si="4">F76/F75-1</f>
        <v>-2.5488442202731498E-2</v>
      </c>
    </row>
    <row r="77" spans="2:7" x14ac:dyDescent="0.25">
      <c r="B77" s="165">
        <v>45613</v>
      </c>
      <c r="C77" s="168">
        <v>449.02</v>
      </c>
      <c r="D77" s="6">
        <f t="shared" si="3"/>
        <v>1.8647912885662254E-2</v>
      </c>
      <c r="F77" s="96">
        <v>23907.25</v>
      </c>
      <c r="G77" s="6">
        <f t="shared" si="4"/>
        <v>1.5916150717937061E-2</v>
      </c>
    </row>
    <row r="78" spans="2:7" x14ac:dyDescent="0.25">
      <c r="B78" s="165">
        <v>45620</v>
      </c>
      <c r="C78" s="168">
        <v>451.01</v>
      </c>
      <c r="D78" s="6">
        <f t="shared" si="3"/>
        <v>4.4318738586255346E-3</v>
      </c>
      <c r="F78" s="96">
        <v>24131.1</v>
      </c>
      <c r="G78" s="6">
        <f t="shared" si="4"/>
        <v>9.3632684645870157E-3</v>
      </c>
    </row>
    <row r="79" spans="2:7" x14ac:dyDescent="0.25">
      <c r="B79" s="165">
        <v>45627</v>
      </c>
      <c r="C79" s="168">
        <v>445.71</v>
      </c>
      <c r="D79" s="6">
        <f t="shared" si="3"/>
        <v>-1.1751402407928935E-2</v>
      </c>
      <c r="F79" s="96">
        <v>24677.8</v>
      </c>
      <c r="G79" s="6">
        <f t="shared" si="4"/>
        <v>2.2655411481449228E-2</v>
      </c>
    </row>
    <row r="80" spans="2:7" x14ac:dyDescent="0.25">
      <c r="B80" s="165">
        <v>45634</v>
      </c>
      <c r="C80" s="168">
        <v>444.63</v>
      </c>
      <c r="D80" s="6">
        <f t="shared" si="3"/>
        <v>-2.4231002221174469E-3</v>
      </c>
      <c r="F80" s="96">
        <v>24768.3</v>
      </c>
      <c r="G80" s="6">
        <f t="shared" si="4"/>
        <v>3.6672636944945491E-3</v>
      </c>
    </row>
    <row r="81" spans="2:7" x14ac:dyDescent="0.25">
      <c r="B81" s="165">
        <v>45641</v>
      </c>
      <c r="C81" s="168">
        <v>439.57</v>
      </c>
      <c r="D81" s="6">
        <f t="shared" si="3"/>
        <v>-1.1380248746148514E-2</v>
      </c>
      <c r="F81" s="96">
        <v>23587.5</v>
      </c>
      <c r="G81" s="6">
        <f t="shared" si="4"/>
        <v>-4.7673841159869612E-2</v>
      </c>
    </row>
    <row r="82" spans="2:7" x14ac:dyDescent="0.25">
      <c r="B82" s="165">
        <v>45648</v>
      </c>
      <c r="C82" s="168">
        <v>452.76</v>
      </c>
      <c r="D82" s="6">
        <f t="shared" si="3"/>
        <v>3.0006597356507569E-2</v>
      </c>
      <c r="F82" s="96">
        <v>23813.4</v>
      </c>
      <c r="G82" s="6">
        <f t="shared" si="4"/>
        <v>9.5771065182830295E-3</v>
      </c>
    </row>
    <row r="83" spans="2:7" x14ac:dyDescent="0.25">
      <c r="B83" s="165">
        <v>45655</v>
      </c>
      <c r="C83" s="168">
        <v>455.6</v>
      </c>
      <c r="D83" s="6">
        <f t="shared" si="3"/>
        <v>6.2726389257001802E-3</v>
      </c>
      <c r="F83" s="96">
        <v>24004.75</v>
      </c>
      <c r="G83" s="6">
        <f t="shared" si="4"/>
        <v>8.035391838208783E-3</v>
      </c>
    </row>
    <row r="84" spans="2:7" x14ac:dyDescent="0.25">
      <c r="B84" s="165">
        <v>45662</v>
      </c>
      <c r="C84" s="168">
        <v>444.9</v>
      </c>
      <c r="D84" s="6">
        <f t="shared" si="3"/>
        <v>-2.3485513608428543E-2</v>
      </c>
      <c r="F84" s="96">
        <v>23431.5</v>
      </c>
      <c r="G84" s="6">
        <f t="shared" si="4"/>
        <v>-2.3880690280048689E-2</v>
      </c>
    </row>
    <row r="85" spans="2:7" x14ac:dyDescent="0.25">
      <c r="B85" s="165">
        <v>45669</v>
      </c>
      <c r="C85" s="168">
        <v>440.2</v>
      </c>
      <c r="D85" s="6">
        <f t="shared" si="3"/>
        <v>-1.056417172398294E-2</v>
      </c>
      <c r="F85" s="96">
        <v>23203.200000000001</v>
      </c>
      <c r="G85" s="6">
        <f t="shared" si="4"/>
        <v>-9.7432942833365344E-3</v>
      </c>
    </row>
    <row r="86" spans="2:7" x14ac:dyDescent="0.25">
      <c r="B86" s="165">
        <v>45676</v>
      </c>
      <c r="C86" s="168">
        <v>441.6</v>
      </c>
      <c r="D86" s="6">
        <f t="shared" si="3"/>
        <v>3.180372557928246E-3</v>
      </c>
      <c r="F86" s="96">
        <v>23092.2</v>
      </c>
      <c r="G86" s="6">
        <f t="shared" si="4"/>
        <v>-4.7838229209764549E-3</v>
      </c>
    </row>
    <row r="87" spans="2:7" x14ac:dyDescent="0.25">
      <c r="B87" s="165">
        <v>45683</v>
      </c>
      <c r="C87" s="168">
        <v>447.5</v>
      </c>
      <c r="D87" s="6">
        <f t="shared" si="3"/>
        <v>1.3360507246376718E-2</v>
      </c>
      <c r="F87" s="96">
        <v>23508.400000000001</v>
      </c>
      <c r="G87" s="6">
        <f t="shared" si="4"/>
        <v>1.8023401841314346E-2</v>
      </c>
    </row>
    <row r="88" spans="2:7" x14ac:dyDescent="0.25">
      <c r="B88" s="165">
        <v>45690</v>
      </c>
      <c r="C88" s="168">
        <v>430.85</v>
      </c>
      <c r="D88" s="6">
        <f t="shared" si="3"/>
        <v>-3.7206703910614425E-2</v>
      </c>
      <c r="F88" s="96">
        <v>23559.95</v>
      </c>
      <c r="G88" s="6">
        <f t="shared" si="4"/>
        <v>2.1928332000475947E-3</v>
      </c>
    </row>
    <row r="89" spans="2:7" x14ac:dyDescent="0.25">
      <c r="B89" s="165">
        <v>45697</v>
      </c>
      <c r="C89" s="168">
        <v>410.25</v>
      </c>
      <c r="D89" s="6">
        <f t="shared" si="3"/>
        <v>-4.781246373447845E-2</v>
      </c>
      <c r="F89" s="96">
        <v>22929.25</v>
      </c>
      <c r="G89" s="6">
        <f t="shared" si="4"/>
        <v>-2.6770005878620329E-2</v>
      </c>
    </row>
    <row r="90" spans="2:7" x14ac:dyDescent="0.25">
      <c r="B90" s="165">
        <v>45704</v>
      </c>
      <c r="C90" s="168">
        <v>400.9</v>
      </c>
      <c r="D90" s="6">
        <f t="shared" si="3"/>
        <v>-2.2790981109079844E-2</v>
      </c>
      <c r="F90" s="96">
        <v>22795.9</v>
      </c>
      <c r="G90" s="6">
        <f t="shared" si="4"/>
        <v>-5.8157157342695331E-3</v>
      </c>
    </row>
    <row r="91" spans="2:7" x14ac:dyDescent="0.25">
      <c r="B91" s="165">
        <v>45711</v>
      </c>
      <c r="C91" s="168">
        <v>395</v>
      </c>
      <c r="D91" s="6">
        <f t="shared" si="3"/>
        <v>-1.4716887004240453E-2</v>
      </c>
      <c r="F91" s="96">
        <v>22124.7</v>
      </c>
      <c r="G91" s="6">
        <f t="shared" si="4"/>
        <v>-2.9443891226053842E-2</v>
      </c>
    </row>
    <row r="92" spans="2:7" x14ac:dyDescent="0.25">
      <c r="B92" s="165">
        <v>45718</v>
      </c>
      <c r="C92" s="168">
        <v>403.9</v>
      </c>
      <c r="D92" s="6">
        <f t="shared" si="3"/>
        <v>2.2531645569620284E-2</v>
      </c>
      <c r="F92" s="96">
        <v>22552.5</v>
      </c>
      <c r="G92" s="6">
        <f t="shared" si="4"/>
        <v>1.9335855401429125E-2</v>
      </c>
    </row>
    <row r="93" spans="2:7" x14ac:dyDescent="0.25">
      <c r="B93" s="165">
        <v>45725</v>
      </c>
      <c r="C93" s="168">
        <v>412.05</v>
      </c>
      <c r="D93" s="6">
        <f t="shared" si="3"/>
        <v>2.0178261946026232E-2</v>
      </c>
      <c r="F93" s="96">
        <v>22397.200000000001</v>
      </c>
      <c r="G93" s="6">
        <f t="shared" si="4"/>
        <v>-6.8861545283227521E-3</v>
      </c>
    </row>
    <row r="94" spans="2:7" x14ac:dyDescent="0.25">
      <c r="B94" s="165">
        <v>45732</v>
      </c>
      <c r="C94" s="168">
        <v>405.55</v>
      </c>
      <c r="D94" s="6">
        <f t="shared" si="3"/>
        <v>-1.5774784613517778E-2</v>
      </c>
      <c r="F94" s="96">
        <v>23350.400000000001</v>
      </c>
      <c r="G94" s="6">
        <f t="shared" si="4"/>
        <v>4.2558891289982803E-2</v>
      </c>
    </row>
    <row r="95" spans="2:7" x14ac:dyDescent="0.25">
      <c r="B95" s="165">
        <v>45739</v>
      </c>
      <c r="C95" s="168">
        <v>409.75</v>
      </c>
      <c r="D95" s="6">
        <f t="shared" si="3"/>
        <v>1.0356306250770553E-2</v>
      </c>
      <c r="F95" s="96">
        <v>23519.35</v>
      </c>
      <c r="G95" s="6">
        <f t="shared" si="4"/>
        <v>7.2354220912702605E-3</v>
      </c>
    </row>
    <row r="96" spans="2:7" x14ac:dyDescent="0.25">
      <c r="B96" s="165">
        <v>45746</v>
      </c>
      <c r="C96" s="168">
        <v>409.7</v>
      </c>
      <c r="D96" s="6">
        <f t="shared" si="3"/>
        <v>-1.2202562538132788E-4</v>
      </c>
      <c r="F96" s="96">
        <v>22904.45</v>
      </c>
      <c r="G96" s="6">
        <f t="shared" si="4"/>
        <v>-2.6144430011883713E-2</v>
      </c>
    </row>
    <row r="97" spans="2:7" x14ac:dyDescent="0.25">
      <c r="B97" s="165">
        <v>45753</v>
      </c>
      <c r="C97" s="168">
        <v>421.55</v>
      </c>
      <c r="D97" s="6">
        <f t="shared" si="3"/>
        <v>2.8923602636075296E-2</v>
      </c>
      <c r="F97" s="96">
        <v>22828.55</v>
      </c>
      <c r="G97" s="6">
        <f t="shared" si="4"/>
        <v>-3.3137665388167648E-3</v>
      </c>
    </row>
    <row r="98" spans="2:7" x14ac:dyDescent="0.25">
      <c r="B98" s="165">
        <v>45760</v>
      </c>
      <c r="C98" s="168">
        <v>427.25</v>
      </c>
      <c r="D98" s="6">
        <f t="shared" si="3"/>
        <v>1.3521527695409707E-2</v>
      </c>
      <c r="F98" s="96">
        <v>23851.65</v>
      </c>
      <c r="G98" s="6">
        <f t="shared" si="4"/>
        <v>4.4816687875489425E-2</v>
      </c>
    </row>
    <row r="99" spans="2:7" x14ac:dyDescent="0.25">
      <c r="B99" s="165">
        <v>45767</v>
      </c>
      <c r="C99" s="168">
        <v>427.8</v>
      </c>
      <c r="D99" s="6">
        <f t="shared" si="3"/>
        <v>1.2873025160913265E-3</v>
      </c>
      <c r="F99" s="96">
        <v>24039.35</v>
      </c>
      <c r="G99" s="6">
        <f t="shared" si="4"/>
        <v>7.86947653516612E-3</v>
      </c>
    </row>
    <row r="100" spans="2:7" x14ac:dyDescent="0.25">
      <c r="B100" s="165">
        <v>45774</v>
      </c>
      <c r="C100" s="168">
        <v>430.25</v>
      </c>
      <c r="D100" s="6">
        <f t="shared" si="3"/>
        <v>5.7269752220663328E-3</v>
      </c>
      <c r="F100" s="96">
        <v>24346.7</v>
      </c>
      <c r="G100" s="6">
        <f t="shared" si="4"/>
        <v>1.2785287455775673E-2</v>
      </c>
    </row>
    <row r="101" spans="2:7" x14ac:dyDescent="0.25">
      <c r="B101" s="165">
        <v>45781</v>
      </c>
      <c r="C101" s="168">
        <v>423.55</v>
      </c>
      <c r="D101" s="6">
        <f t="shared" si="3"/>
        <v>-1.5572341661824529E-2</v>
      </c>
      <c r="F101" s="96">
        <v>24008</v>
      </c>
      <c r="G101" s="6">
        <f t="shared" si="4"/>
        <v>-1.391153626569519E-2</v>
      </c>
    </row>
    <row r="102" spans="2:7" x14ac:dyDescent="0.25">
      <c r="B102" s="165">
        <v>45788</v>
      </c>
      <c r="C102" s="168">
        <v>435.7</v>
      </c>
      <c r="D102" s="6">
        <f t="shared" si="3"/>
        <v>2.8686105536536388E-2</v>
      </c>
      <c r="F102" s="96">
        <v>25019.8</v>
      </c>
      <c r="G102" s="6">
        <f t="shared" si="4"/>
        <v>4.2144285238253865E-2</v>
      </c>
    </row>
    <row r="103" spans="2:7" x14ac:dyDescent="0.25">
      <c r="B103" s="165">
        <v>45795</v>
      </c>
      <c r="C103" s="168">
        <v>436.3</v>
      </c>
      <c r="D103" s="6">
        <f t="shared" si="3"/>
        <v>1.3770943309616701E-3</v>
      </c>
      <c r="F103" s="96">
        <v>24853.15</v>
      </c>
      <c r="G103" s="6">
        <f t="shared" si="4"/>
        <v>-6.660724706032739E-3</v>
      </c>
    </row>
    <row r="104" spans="2:7" x14ac:dyDescent="0.25">
      <c r="B104" s="165">
        <v>45802</v>
      </c>
      <c r="C104" s="168">
        <v>418.05</v>
      </c>
      <c r="D104" s="6">
        <f t="shared" si="3"/>
        <v>-4.1829016731606661E-2</v>
      </c>
      <c r="F104" s="96">
        <v>24750.7</v>
      </c>
      <c r="G104" s="6">
        <f t="shared" si="4"/>
        <v>-4.1222138843567402E-3</v>
      </c>
    </row>
    <row r="105" spans="2:7" x14ac:dyDescent="0.25">
      <c r="B105" s="165">
        <v>45809</v>
      </c>
      <c r="C105" s="168">
        <v>421.05</v>
      </c>
      <c r="D105" s="6">
        <f t="shared" si="3"/>
        <v>7.1761750986722994E-3</v>
      </c>
      <c r="F105" s="96">
        <v>25003.05</v>
      </c>
      <c r="G105" s="6">
        <f t="shared" si="4"/>
        <v>1.0195671233540704E-2</v>
      </c>
    </row>
    <row r="106" spans="2:7" x14ac:dyDescent="0.25">
      <c r="B106" s="165">
        <v>45816</v>
      </c>
      <c r="C106" s="168">
        <v>413.9</v>
      </c>
      <c r="D106" s="6">
        <f t="shared" si="3"/>
        <v>-1.6981356133475956E-2</v>
      </c>
      <c r="F106" s="96">
        <v>24718.6</v>
      </c>
      <c r="G106" s="6">
        <f t="shared" si="4"/>
        <v>-1.1376612053329516E-2</v>
      </c>
    </row>
    <row r="107" spans="2:7" x14ac:dyDescent="0.25">
      <c r="B107" s="165">
        <v>45823</v>
      </c>
      <c r="C107" s="168">
        <v>418.55</v>
      </c>
      <c r="D107" s="6">
        <f t="shared" ref="D107:D117" si="5">C107/C106-1</f>
        <v>1.1234597728920104E-2</v>
      </c>
      <c r="F107" s="96">
        <v>25112.400000000001</v>
      </c>
      <c r="G107" s="6">
        <f t="shared" si="4"/>
        <v>1.5931322971365791E-2</v>
      </c>
    </row>
    <row r="108" spans="2:7" x14ac:dyDescent="0.25">
      <c r="B108" s="165">
        <v>45830</v>
      </c>
      <c r="C108" s="168">
        <v>418.65</v>
      </c>
      <c r="D108" s="6">
        <f t="shared" si="5"/>
        <v>2.3892008123271857E-4</v>
      </c>
      <c r="F108" s="96">
        <v>25637.8</v>
      </c>
      <c r="G108" s="6">
        <f t="shared" si="4"/>
        <v>2.092193498032846E-2</v>
      </c>
    </row>
    <row r="109" spans="2:7" x14ac:dyDescent="0.25">
      <c r="B109" s="165">
        <v>45837</v>
      </c>
      <c r="C109" s="168">
        <v>412.55</v>
      </c>
      <c r="D109" s="6">
        <f t="shared" si="5"/>
        <v>-1.4570643735817401E-2</v>
      </c>
      <c r="F109" s="96">
        <v>25461</v>
      </c>
      <c r="G109" s="6">
        <f t="shared" si="4"/>
        <v>-6.8960675252947023E-3</v>
      </c>
    </row>
    <row r="110" spans="2:7" x14ac:dyDescent="0.25">
      <c r="B110" s="165">
        <v>45844</v>
      </c>
      <c r="C110" s="168">
        <v>416.8</v>
      </c>
      <c r="D110" s="6">
        <f t="shared" si="5"/>
        <v>1.0301781602229942E-2</v>
      </c>
      <c r="F110" s="96">
        <v>25149.85</v>
      </c>
      <c r="G110" s="6">
        <f t="shared" si="4"/>
        <v>-1.2220651192019205E-2</v>
      </c>
    </row>
    <row r="111" spans="2:7" x14ac:dyDescent="0.25">
      <c r="B111" s="165">
        <v>45851</v>
      </c>
      <c r="C111" s="168">
        <v>422.75</v>
      </c>
      <c r="D111" s="6">
        <f t="shared" si="5"/>
        <v>1.4275431861804133E-2</v>
      </c>
      <c r="F111" s="96">
        <v>24968.400000000001</v>
      </c>
      <c r="G111" s="6">
        <f t="shared" si="4"/>
        <v>-7.214754759968578E-3</v>
      </c>
    </row>
    <row r="112" spans="2:7" x14ac:dyDescent="0.25">
      <c r="B112" s="165">
        <v>45858</v>
      </c>
      <c r="C112" s="168">
        <v>409.4</v>
      </c>
      <c r="D112" s="6">
        <f t="shared" si="5"/>
        <v>-3.1578947368421151E-2</v>
      </c>
      <c r="F112" s="96">
        <v>24837</v>
      </c>
      <c r="G112" s="6">
        <f t="shared" si="4"/>
        <v>-5.2626519921180615E-3</v>
      </c>
    </row>
    <row r="113" spans="2:7" x14ac:dyDescent="0.25">
      <c r="B113" s="165">
        <v>45865</v>
      </c>
      <c r="C113" s="168">
        <v>416.45</v>
      </c>
      <c r="D113" s="6">
        <f t="shared" si="5"/>
        <v>1.7220322423058265E-2</v>
      </c>
      <c r="F113" s="96">
        <v>24565.35</v>
      </c>
      <c r="G113" s="6">
        <f t="shared" si="4"/>
        <v>-1.0937311269477057E-2</v>
      </c>
    </row>
    <row r="114" spans="2:7" x14ac:dyDescent="0.25">
      <c r="B114" s="165">
        <v>45872</v>
      </c>
      <c r="C114" s="168">
        <v>414.5</v>
      </c>
      <c r="D114" s="6">
        <f t="shared" si="5"/>
        <v>-4.6824348661304027E-3</v>
      </c>
      <c r="F114" s="96">
        <v>24363.3</v>
      </c>
      <c r="G114" s="6">
        <f t="shared" si="4"/>
        <v>-8.2249998473459263E-3</v>
      </c>
    </row>
    <row r="115" spans="2:7" x14ac:dyDescent="0.25">
      <c r="B115" s="165">
        <v>45879</v>
      </c>
      <c r="C115" s="168">
        <v>411.45</v>
      </c>
      <c r="D115" s="6">
        <f t="shared" si="5"/>
        <v>-7.3582629674306954E-3</v>
      </c>
      <c r="F115" s="96">
        <v>24631.3</v>
      </c>
      <c r="G115" s="6">
        <f t="shared" si="4"/>
        <v>1.100015186776826E-2</v>
      </c>
    </row>
    <row r="116" spans="2:7" x14ac:dyDescent="0.25">
      <c r="B116" s="165">
        <v>45886</v>
      </c>
      <c r="C116" s="168">
        <v>398.3</v>
      </c>
      <c r="D116" s="6">
        <f t="shared" si="5"/>
        <v>-3.1960140964880202E-2</v>
      </c>
      <c r="F116" s="96">
        <v>24870.1</v>
      </c>
      <c r="G116" s="6">
        <f t="shared" si="4"/>
        <v>9.6949815884666002E-3</v>
      </c>
    </row>
    <row r="117" spans="2:7" x14ac:dyDescent="0.25">
      <c r="B117" s="165">
        <v>45893</v>
      </c>
      <c r="C117" s="168">
        <v>403.35</v>
      </c>
      <c r="D117" s="6">
        <f t="shared" si="5"/>
        <v>1.2678885262365158E-2</v>
      </c>
      <c r="F117" s="96">
        <v>24712.05</v>
      </c>
      <c r="G117" s="6">
        <f t="shared" si="4"/>
        <v>-6.3550206874921633E-3</v>
      </c>
    </row>
  </sheetData>
  <mergeCells count="2">
    <mergeCell ref="B7:D7"/>
    <mergeCell ref="F7:G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3BB0-1D2B-4FC0-B7B7-2691B54FB17A}">
  <sheetPr>
    <tabColor rgb="FFFF0000"/>
  </sheetPr>
  <dimension ref="B2:M38"/>
  <sheetViews>
    <sheetView showGridLines="0" workbookViewId="0">
      <selection activeCell="B9" sqref="B9"/>
    </sheetView>
  </sheetViews>
  <sheetFormatPr defaultRowHeight="15" x14ac:dyDescent="0.25"/>
  <cols>
    <col min="1" max="1" width="1.85546875" customWidth="1"/>
    <col min="2" max="2" width="5.7109375" bestFit="1" customWidth="1"/>
    <col min="3" max="3" width="15.85546875" bestFit="1" customWidth="1"/>
    <col min="4" max="4" width="13.85546875" customWidth="1"/>
    <col min="5" max="5" width="16" customWidth="1"/>
    <col min="6" max="6" width="12.140625" customWidth="1"/>
    <col min="7" max="7" width="17.85546875" bestFit="1" customWidth="1"/>
    <col min="10" max="10" width="13.85546875" bestFit="1" customWidth="1"/>
    <col min="12" max="12" width="19" bestFit="1" customWidth="1"/>
  </cols>
  <sheetData>
    <row r="2" spans="2:13" x14ac:dyDescent="0.25">
      <c r="B2" s="287" t="s">
        <v>284</v>
      </c>
      <c r="C2" s="287"/>
      <c r="D2" s="287"/>
      <c r="E2" s="287"/>
      <c r="F2" s="287"/>
      <c r="G2" s="287"/>
    </row>
    <row r="4" spans="2:13" x14ac:dyDescent="0.25">
      <c r="B4" s="158" t="s">
        <v>270</v>
      </c>
      <c r="C4" s="211" t="s">
        <v>271</v>
      </c>
      <c r="D4" s="211" t="s">
        <v>274</v>
      </c>
      <c r="E4" s="211" t="s">
        <v>272</v>
      </c>
      <c r="F4" s="211" t="s">
        <v>273</v>
      </c>
      <c r="G4" s="211" t="s">
        <v>275</v>
      </c>
    </row>
    <row r="5" spans="2:13" x14ac:dyDescent="0.25">
      <c r="B5" s="118">
        <v>1</v>
      </c>
      <c r="C5" s="205" t="s">
        <v>264</v>
      </c>
      <c r="D5" s="209">
        <v>1648</v>
      </c>
      <c r="E5" s="209">
        <v>632650.93999999994</v>
      </c>
      <c r="F5" s="209">
        <v>0.03</v>
      </c>
      <c r="G5" s="209">
        <v>429</v>
      </c>
      <c r="K5" s="17"/>
      <c r="L5" s="17"/>
      <c r="M5" s="17"/>
    </row>
    <row r="6" spans="2:13" x14ac:dyDescent="0.25">
      <c r="B6" s="118">
        <v>2</v>
      </c>
      <c r="C6" s="205" t="s">
        <v>21</v>
      </c>
      <c r="D6" s="209">
        <v>284.54000000000002</v>
      </c>
      <c r="E6" s="209">
        <v>505210.92</v>
      </c>
      <c r="F6" s="209">
        <v>0</v>
      </c>
      <c r="G6" s="209">
        <v>51.93</v>
      </c>
      <c r="K6" s="17"/>
      <c r="L6" s="17"/>
      <c r="M6" s="17"/>
    </row>
    <row r="7" spans="2:13" x14ac:dyDescent="0.25">
      <c r="B7" s="118">
        <v>3</v>
      </c>
      <c r="C7" s="205" t="s">
        <v>265</v>
      </c>
      <c r="D7" s="209">
        <v>895.95</v>
      </c>
      <c r="E7" s="209">
        <v>6328.95</v>
      </c>
      <c r="F7" s="209">
        <v>1.01</v>
      </c>
      <c r="G7" s="209">
        <v>80.75</v>
      </c>
      <c r="K7" s="17"/>
      <c r="L7" s="17"/>
      <c r="M7" s="17"/>
    </row>
    <row r="8" spans="2:13" x14ac:dyDescent="0.25">
      <c r="B8" s="118">
        <v>4</v>
      </c>
      <c r="C8" s="205" t="s">
        <v>266</v>
      </c>
      <c r="D8" s="209">
        <v>489.77</v>
      </c>
      <c r="E8" s="209">
        <v>1321.62</v>
      </c>
      <c r="F8" s="209">
        <v>0.63</v>
      </c>
      <c r="G8" s="209">
        <v>67.510000000000005</v>
      </c>
      <c r="K8" s="17"/>
    </row>
    <row r="9" spans="2:13" x14ac:dyDescent="0.25">
      <c r="B9" s="123">
        <v>5</v>
      </c>
      <c r="C9" s="207" t="s">
        <v>267</v>
      </c>
      <c r="D9" s="210">
        <v>281.94</v>
      </c>
      <c r="E9" s="210">
        <v>473.36</v>
      </c>
      <c r="F9" s="210">
        <v>0.82</v>
      </c>
      <c r="G9" s="210">
        <v>29.67</v>
      </c>
      <c r="K9" s="17"/>
    </row>
    <row r="10" spans="2:13" x14ac:dyDescent="0.25">
      <c r="K10" s="17"/>
    </row>
    <row r="11" spans="2:13" x14ac:dyDescent="0.25">
      <c r="K11" s="17"/>
    </row>
    <row r="12" spans="2:13" x14ac:dyDescent="0.25">
      <c r="B12" s="287" t="s">
        <v>283</v>
      </c>
      <c r="C12" s="287"/>
      <c r="D12" s="287"/>
      <c r="E12" s="287"/>
      <c r="F12" s="287"/>
      <c r="K12" s="17"/>
    </row>
    <row r="13" spans="2:13" x14ac:dyDescent="0.25">
      <c r="K13" s="17"/>
      <c r="L13" s="17"/>
      <c r="M13" s="17"/>
    </row>
    <row r="14" spans="2:13" x14ac:dyDescent="0.25">
      <c r="B14" s="128" t="s">
        <v>277</v>
      </c>
      <c r="C14" s="134" t="s">
        <v>278</v>
      </c>
      <c r="E14" s="198" t="s">
        <v>279</v>
      </c>
      <c r="F14" s="190">
        <f>AVERAGE(C15:C38)</f>
        <v>0.16584166666666669</v>
      </c>
      <c r="K14" s="17"/>
      <c r="L14" s="17"/>
      <c r="M14" s="17"/>
    </row>
    <row r="15" spans="2:13" ht="17.25" x14ac:dyDescent="0.25">
      <c r="B15" s="203">
        <v>2001</v>
      </c>
      <c r="C15" s="204">
        <v>-0.1618</v>
      </c>
      <c r="E15" s="199" t="s">
        <v>280</v>
      </c>
      <c r="F15" s="200" t="s">
        <v>282</v>
      </c>
      <c r="K15" s="17"/>
      <c r="L15" s="17"/>
      <c r="M15" s="17"/>
    </row>
    <row r="16" spans="2:13" x14ac:dyDescent="0.25">
      <c r="B16" s="205">
        <v>2002</v>
      </c>
      <c r="C16" s="206">
        <v>3.2500000000000001E-2</v>
      </c>
      <c r="E16" s="201" t="s">
        <v>281</v>
      </c>
      <c r="F16" s="202">
        <f>SUM(F14:F15)</f>
        <v>0.16584166666666669</v>
      </c>
      <c r="K16" s="17"/>
      <c r="L16" s="17"/>
      <c r="M16" s="17"/>
    </row>
    <row r="17" spans="2:13" x14ac:dyDescent="0.25">
      <c r="B17" s="205">
        <v>2003</v>
      </c>
      <c r="C17" s="206">
        <v>0.71899999999999997</v>
      </c>
      <c r="K17" s="17"/>
      <c r="L17" s="17"/>
      <c r="M17" s="17"/>
    </row>
    <row r="18" spans="2:13" x14ac:dyDescent="0.25">
      <c r="B18" s="205">
        <v>2004</v>
      </c>
      <c r="C18" s="206">
        <v>0.10680000000000001</v>
      </c>
      <c r="K18" s="17"/>
      <c r="L18" s="17"/>
      <c r="M18" s="17"/>
    </row>
    <row r="19" spans="2:13" x14ac:dyDescent="0.25">
      <c r="B19" s="205">
        <v>2005</v>
      </c>
      <c r="C19" s="206">
        <v>0.3634</v>
      </c>
      <c r="K19" s="17"/>
      <c r="L19" s="17"/>
      <c r="M19" s="17"/>
    </row>
    <row r="20" spans="2:13" x14ac:dyDescent="0.25">
      <c r="B20" s="205">
        <v>2006</v>
      </c>
      <c r="C20" s="206">
        <v>0.39829999999999999</v>
      </c>
      <c r="K20" s="17"/>
      <c r="L20" s="17"/>
      <c r="M20" s="17"/>
    </row>
    <row r="21" spans="2:13" x14ac:dyDescent="0.25">
      <c r="B21" s="205">
        <v>2007</v>
      </c>
      <c r="C21" s="206">
        <v>0.54769999999999996</v>
      </c>
      <c r="K21" s="17"/>
      <c r="L21" s="17"/>
      <c r="M21" s="17"/>
    </row>
    <row r="22" spans="2:13" x14ac:dyDescent="0.25">
      <c r="B22" s="205">
        <v>2008</v>
      </c>
      <c r="C22" s="206">
        <v>-0.51790000000000003</v>
      </c>
      <c r="K22" s="17"/>
      <c r="L22" s="17"/>
      <c r="M22" s="17"/>
    </row>
    <row r="23" spans="2:13" x14ac:dyDescent="0.25">
      <c r="B23" s="205">
        <v>2009</v>
      </c>
      <c r="C23" s="206">
        <v>0.75760000000000005</v>
      </c>
      <c r="K23" s="17"/>
      <c r="L23" s="17"/>
      <c r="M23" s="17"/>
    </row>
    <row r="24" spans="2:13" x14ac:dyDescent="0.25">
      <c r="B24" s="205">
        <v>2010</v>
      </c>
      <c r="C24" s="206">
        <v>0.17949999999999999</v>
      </c>
      <c r="K24" s="17"/>
      <c r="L24" s="17"/>
      <c r="M24" s="17"/>
    </row>
    <row r="25" spans="2:13" x14ac:dyDescent="0.25">
      <c r="B25" s="205">
        <v>2011</v>
      </c>
      <c r="C25" s="206">
        <v>-0.2462</v>
      </c>
      <c r="K25" s="17"/>
      <c r="L25" s="17"/>
      <c r="M25" s="17"/>
    </row>
    <row r="26" spans="2:13" x14ac:dyDescent="0.25">
      <c r="B26" s="205">
        <v>2012</v>
      </c>
      <c r="C26" s="206">
        <v>0.27700000000000002</v>
      </c>
      <c r="K26" s="17"/>
      <c r="L26" s="17"/>
      <c r="M26" s="17"/>
    </row>
    <row r="27" spans="2:13" x14ac:dyDescent="0.25">
      <c r="B27" s="205">
        <v>2013</v>
      </c>
      <c r="C27" s="206">
        <v>6.7599999999999993E-2</v>
      </c>
      <c r="K27" s="17"/>
      <c r="L27" s="17"/>
      <c r="M27" s="17"/>
    </row>
    <row r="28" spans="2:13" x14ac:dyDescent="0.25">
      <c r="B28" s="205">
        <v>2014</v>
      </c>
      <c r="C28" s="206">
        <v>0.31390000000000001</v>
      </c>
      <c r="K28" s="17"/>
      <c r="L28" s="17"/>
      <c r="M28" s="17"/>
    </row>
    <row r="29" spans="2:13" x14ac:dyDescent="0.25">
      <c r="B29" s="205">
        <v>2015</v>
      </c>
      <c r="C29" s="206">
        <v>-4.0599999999999997E-2</v>
      </c>
      <c r="K29" s="17"/>
      <c r="L29" s="17"/>
      <c r="M29" s="17"/>
    </row>
    <row r="30" spans="2:13" x14ac:dyDescent="0.25">
      <c r="B30" s="205">
        <v>2016</v>
      </c>
      <c r="C30" s="206">
        <v>3.0099999999999998E-2</v>
      </c>
      <c r="K30" s="17"/>
      <c r="L30" s="17"/>
      <c r="M30" s="17"/>
    </row>
    <row r="31" spans="2:13" x14ac:dyDescent="0.25">
      <c r="B31" s="205">
        <v>2017</v>
      </c>
      <c r="C31" s="206">
        <v>0.28649999999999998</v>
      </c>
    </row>
    <row r="32" spans="2:13" x14ac:dyDescent="0.25">
      <c r="B32" s="205">
        <v>2018</v>
      </c>
      <c r="C32" s="206">
        <v>3.15E-2</v>
      </c>
    </row>
    <row r="33" spans="2:3" x14ac:dyDescent="0.25">
      <c r="B33" s="205">
        <v>2019</v>
      </c>
      <c r="C33" s="206">
        <v>0.1202</v>
      </c>
    </row>
    <row r="34" spans="2:3" x14ac:dyDescent="0.25">
      <c r="B34" s="205">
        <v>2020</v>
      </c>
      <c r="C34" s="206">
        <v>0.14899999999999999</v>
      </c>
    </row>
    <row r="35" spans="2:3" x14ac:dyDescent="0.25">
      <c r="B35" s="205">
        <v>2021</v>
      </c>
      <c r="C35" s="206">
        <v>0.2412</v>
      </c>
    </row>
    <row r="36" spans="2:3" x14ac:dyDescent="0.25">
      <c r="B36" s="205">
        <v>2022</v>
      </c>
      <c r="C36" s="206">
        <v>4.3200000000000002E-2</v>
      </c>
    </row>
    <row r="37" spans="2:3" x14ac:dyDescent="0.25">
      <c r="B37" s="205">
        <v>2023</v>
      </c>
      <c r="C37" s="206">
        <v>0.19420000000000001</v>
      </c>
    </row>
    <row r="38" spans="2:3" x14ac:dyDescent="0.25">
      <c r="B38" s="207">
        <v>2024</v>
      </c>
      <c r="C38" s="208">
        <v>8.7499999999999994E-2</v>
      </c>
    </row>
  </sheetData>
  <mergeCells count="2">
    <mergeCell ref="B12:F12"/>
    <mergeCell ref="B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C528-42F1-45BD-92CE-D05AB28B9EB1}">
  <dimension ref="B2:Q53"/>
  <sheetViews>
    <sheetView showGridLines="0" topLeftCell="A32" zoomScaleNormal="100" workbookViewId="0">
      <selection activeCell="B60" sqref="B60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5" x14ac:dyDescent="0.25"/>
  <cols>
    <col min="1" max="1" width="1.85546875" customWidth="1"/>
    <col min="2" max="2" width="24.85546875" customWidth="1"/>
    <col min="3" max="3" width="10.5703125" bestFit="1" customWidth="1"/>
    <col min="4" max="4" width="12" bestFit="1" customWidth="1"/>
    <col min="5" max="5" width="10.5703125" bestFit="1" customWidth="1"/>
    <col min="6" max="6" width="1.85546875" customWidth="1"/>
    <col min="7" max="7" width="31.42578125" bestFit="1" customWidth="1"/>
    <col min="8" max="8" width="9.5703125" bestFit="1" customWidth="1"/>
    <col min="9" max="9" width="11.7109375" bestFit="1" customWidth="1"/>
    <col min="10" max="10" width="10.140625" bestFit="1" customWidth="1"/>
    <col min="11" max="11" width="13.28515625" bestFit="1" customWidth="1"/>
    <col min="12" max="12" width="9.5703125" bestFit="1" customWidth="1"/>
    <col min="13" max="13" width="7.140625" bestFit="1" customWidth="1"/>
    <col min="15" max="15" width="9.42578125" bestFit="1" customWidth="1"/>
    <col min="16" max="16" width="11.7109375" bestFit="1" customWidth="1"/>
    <col min="17" max="17" width="11.42578125" bestFit="1" customWidth="1"/>
  </cols>
  <sheetData>
    <row r="2" spans="2:17" x14ac:dyDescent="0.25">
      <c r="B2" t="s">
        <v>18</v>
      </c>
    </row>
    <row r="3" spans="2:17" ht="18.75" x14ac:dyDescent="0.3">
      <c r="B3" s="293" t="s">
        <v>179</v>
      </c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3"/>
    </row>
    <row r="5" spans="2:17" x14ac:dyDescent="0.25">
      <c r="B5" s="108" t="s">
        <v>276</v>
      </c>
      <c r="C5" s="108"/>
    </row>
    <row r="7" spans="2:17" ht="23.25" customHeight="1" x14ac:dyDescent="0.35">
      <c r="B7" s="290" t="s">
        <v>214</v>
      </c>
      <c r="C7" s="291"/>
      <c r="D7" s="291"/>
      <c r="E7" s="292"/>
      <c r="G7" s="288" t="s">
        <v>268</v>
      </c>
      <c r="H7" s="289"/>
      <c r="I7" s="289"/>
      <c r="J7" s="289"/>
      <c r="K7" s="289"/>
      <c r="L7" s="289"/>
      <c r="M7" s="289"/>
      <c r="N7" s="289"/>
      <c r="O7" s="289"/>
      <c r="P7" s="289"/>
      <c r="Q7" s="186"/>
    </row>
    <row r="8" spans="2:17" x14ac:dyDescent="0.25">
      <c r="B8" s="143"/>
      <c r="C8" s="109"/>
      <c r="D8" s="109"/>
      <c r="E8" s="144"/>
      <c r="G8" s="143"/>
      <c r="H8" s="109"/>
      <c r="I8" s="109"/>
      <c r="J8" s="109"/>
      <c r="K8" s="109"/>
      <c r="L8" s="109"/>
      <c r="M8" s="109" t="s">
        <v>187</v>
      </c>
      <c r="N8" s="109" t="s">
        <v>187</v>
      </c>
      <c r="O8" s="109" t="s">
        <v>190</v>
      </c>
      <c r="P8" s="109" t="s">
        <v>191</v>
      </c>
      <c r="Q8" s="119"/>
    </row>
    <row r="9" spans="2:17" ht="15" customHeight="1" x14ac:dyDescent="0.25">
      <c r="B9" s="118" t="s">
        <v>182</v>
      </c>
      <c r="E9" s="174">
        <f>'Data Sheet'!K59</f>
        <v>284.54000000000002</v>
      </c>
      <c r="G9" s="123" t="s">
        <v>180</v>
      </c>
      <c r="H9" s="110"/>
      <c r="I9" s="110" t="s">
        <v>181</v>
      </c>
      <c r="J9" s="116" t="s">
        <v>182</v>
      </c>
      <c r="K9" s="110" t="s">
        <v>183</v>
      </c>
      <c r="L9" s="110" t="s">
        <v>185</v>
      </c>
      <c r="M9" s="110" t="s">
        <v>188</v>
      </c>
      <c r="N9" s="110" t="s">
        <v>189</v>
      </c>
      <c r="O9" s="110" t="s">
        <v>192</v>
      </c>
      <c r="P9" s="110" t="s">
        <v>193</v>
      </c>
      <c r="Q9" s="145" t="s">
        <v>7</v>
      </c>
    </row>
    <row r="10" spans="2:17" x14ac:dyDescent="0.25">
      <c r="B10" s="118" t="s">
        <v>183</v>
      </c>
      <c r="E10" s="174">
        <f>'Data Sheet'!B9</f>
        <v>498885.61</v>
      </c>
      <c r="G10" s="148" t="s">
        <v>264</v>
      </c>
      <c r="H10" s="149"/>
      <c r="I10" s="149" t="s">
        <v>194</v>
      </c>
      <c r="J10" s="177">
        <f>'WACC data Sheet'!D5</f>
        <v>1648</v>
      </c>
      <c r="K10" s="177">
        <f>'WACC data Sheet'!E5</f>
        <v>632650.93999999994</v>
      </c>
      <c r="L10" s="150">
        <v>0.3</v>
      </c>
      <c r="M10" s="178">
        <f>J10/K10</f>
        <v>2.6049119598241647E-3</v>
      </c>
      <c r="N10" s="178">
        <f>J10/(J10+K10)</f>
        <v>2.5981440233843055E-3</v>
      </c>
      <c r="O10" s="179">
        <v>0.499</v>
      </c>
      <c r="P10" s="187">
        <f>(O10*0.75)+(1*0.25)</f>
        <v>0.62424999999999997</v>
      </c>
      <c r="Q10" s="119">
        <f>'WACC data Sheet'!G5</f>
        <v>429</v>
      </c>
    </row>
    <row r="11" spans="2:17" ht="17.25" x14ac:dyDescent="0.25">
      <c r="B11" s="118" t="s">
        <v>185</v>
      </c>
      <c r="E11" s="121">
        <f>'Data Sheet'!K48/'Data Sheet'!K47</f>
        <v>0.25036440745734079</v>
      </c>
      <c r="G11" s="146" t="s">
        <v>21</v>
      </c>
      <c r="H11" s="21"/>
      <c r="I11" s="21" t="s">
        <v>194</v>
      </c>
      <c r="J11" s="152">
        <f>'WACC data Sheet'!D6</f>
        <v>284.54000000000002</v>
      </c>
      <c r="K11" s="152">
        <f>'WACC data Sheet'!E6</f>
        <v>505210.92</v>
      </c>
      <c r="L11" s="147">
        <v>0.3</v>
      </c>
      <c r="M11" s="180">
        <f t="shared" ref="M11:M14" si="0">J11/K11</f>
        <v>5.6321031223949009E-4</v>
      </c>
      <c r="N11" s="180">
        <f t="shared" ref="N11:N14" si="1">J11/(J11+K11)</f>
        <v>5.6289328493672338E-4</v>
      </c>
      <c r="O11" s="185">
        <f>'Beta Calculation'!M14</f>
        <v>0.60937612877062985</v>
      </c>
      <c r="P11" s="183">
        <f t="shared" ref="P11:P14" si="2">(O11*0.75)+(1*0.25)</f>
        <v>0.70703209657797239</v>
      </c>
      <c r="Q11" s="119">
        <f>'WACC data Sheet'!G6</f>
        <v>51.93</v>
      </c>
    </row>
    <row r="12" spans="2:17" x14ac:dyDescent="0.25">
      <c r="B12" s="118" t="s">
        <v>210</v>
      </c>
      <c r="E12" s="121">
        <f>E9/E10</f>
        <v>5.7035118731927346E-4</v>
      </c>
      <c r="G12" s="146" t="s">
        <v>265</v>
      </c>
      <c r="H12" s="21"/>
      <c r="I12" s="21" t="s">
        <v>194</v>
      </c>
      <c r="J12" s="152">
        <f>'WACC data Sheet'!D7</f>
        <v>895.95</v>
      </c>
      <c r="K12" s="152">
        <f>'WACC data Sheet'!E7</f>
        <v>6328.95</v>
      </c>
      <c r="L12" s="147">
        <v>0.3</v>
      </c>
      <c r="M12" s="180">
        <f t="shared" si="0"/>
        <v>0.14156376650155239</v>
      </c>
      <c r="N12" s="180">
        <f t="shared" si="1"/>
        <v>0.12400863679774116</v>
      </c>
      <c r="O12" s="181">
        <v>0.97</v>
      </c>
      <c r="P12" s="183">
        <f t="shared" si="2"/>
        <v>0.97750000000000004</v>
      </c>
      <c r="Q12" s="119">
        <f>'WACC data Sheet'!G7</f>
        <v>80.75</v>
      </c>
    </row>
    <row r="13" spans="2:17" x14ac:dyDescent="0.25">
      <c r="B13" s="118" t="s">
        <v>215</v>
      </c>
      <c r="E13" s="121">
        <f>E9/SUM(E9:E10)</f>
        <v>5.7002607227215013E-4</v>
      </c>
      <c r="G13" s="146" t="s">
        <v>266</v>
      </c>
      <c r="H13" s="21"/>
      <c r="I13" s="21" t="s">
        <v>194</v>
      </c>
      <c r="J13" s="152">
        <f>'WACC data Sheet'!D8</f>
        <v>489.77</v>
      </c>
      <c r="K13" s="152">
        <f>'WACC data Sheet'!E8</f>
        <v>1321.62</v>
      </c>
      <c r="L13" s="147">
        <v>0.3</v>
      </c>
      <c r="M13" s="180">
        <f t="shared" si="0"/>
        <v>0.37058307229006826</v>
      </c>
      <c r="N13" s="180">
        <f t="shared" si="1"/>
        <v>0.27038351763010726</v>
      </c>
      <c r="O13" s="182">
        <v>1.39</v>
      </c>
      <c r="P13" s="183">
        <f t="shared" si="2"/>
        <v>1.2925</v>
      </c>
      <c r="Q13" s="119">
        <f>'WACC data Sheet'!G8</f>
        <v>67.510000000000005</v>
      </c>
    </row>
    <row r="14" spans="2:17" ht="17.25" x14ac:dyDescent="0.25">
      <c r="B14" s="118" t="s">
        <v>216</v>
      </c>
      <c r="E14" s="175">
        <f>'Beta Calculation'!M10</f>
        <v>0.47916817169417314</v>
      </c>
      <c r="G14" s="146" t="s">
        <v>267</v>
      </c>
      <c r="H14" s="21"/>
      <c r="I14" s="21" t="s">
        <v>194</v>
      </c>
      <c r="J14" s="152">
        <f>'WACC data Sheet'!D9</f>
        <v>281.94</v>
      </c>
      <c r="K14" s="152">
        <f>'WACC data Sheet'!E9</f>
        <v>473.36</v>
      </c>
      <c r="L14" s="147">
        <v>0.3</v>
      </c>
      <c r="M14" s="180">
        <f t="shared" si="0"/>
        <v>0.59561433158695287</v>
      </c>
      <c r="N14" s="180">
        <f t="shared" si="1"/>
        <v>0.3732821395471998</v>
      </c>
      <c r="O14" s="182">
        <v>0.86799999999999999</v>
      </c>
      <c r="P14" s="183">
        <f t="shared" si="2"/>
        <v>0.90100000000000002</v>
      </c>
      <c r="Q14" s="119">
        <f>'WACC data Sheet'!G9</f>
        <v>29.67</v>
      </c>
    </row>
    <row r="15" spans="2:17" ht="17.25" x14ac:dyDescent="0.25">
      <c r="B15" s="118" t="s">
        <v>217</v>
      </c>
      <c r="E15" s="176">
        <f>'Beta Calculation'!M14</f>
        <v>0.60937612877062985</v>
      </c>
      <c r="G15" s="161"/>
      <c r="H15" s="86"/>
      <c r="I15" s="86"/>
      <c r="J15" s="86"/>
      <c r="K15" s="86"/>
      <c r="L15" s="86"/>
      <c r="M15" s="86"/>
      <c r="N15" s="86"/>
      <c r="O15" s="86"/>
      <c r="P15" s="86"/>
      <c r="Q15" s="119"/>
    </row>
    <row r="16" spans="2:17" x14ac:dyDescent="0.25">
      <c r="B16" s="123" t="s">
        <v>220</v>
      </c>
      <c r="C16" s="110"/>
      <c r="D16" s="110"/>
      <c r="E16" s="164">
        <f>'Data Sheet'!K27/'WACC Calculation'!E9</f>
        <v>0.15836086314753636</v>
      </c>
      <c r="G16" s="135" t="s">
        <v>195</v>
      </c>
      <c r="J16" s="23">
        <f t="shared" ref="J16:K16" si="3">AVERAGE(J10:J14)</f>
        <v>720.04</v>
      </c>
      <c r="K16" s="23">
        <f t="shared" si="3"/>
        <v>229197.158</v>
      </c>
      <c r="L16" s="17">
        <f>AVERAGE(L10:L14)</f>
        <v>0.3</v>
      </c>
      <c r="M16" s="17">
        <f t="shared" ref="M16:P16" si="4">AVERAGE(M10:M14)</f>
        <v>0.22218585853012743</v>
      </c>
      <c r="N16" s="17">
        <f t="shared" si="4"/>
        <v>0.15416706625667384</v>
      </c>
      <c r="O16" s="23">
        <f>AVERAGE(O10:O14)</f>
        <v>0.86727522575412608</v>
      </c>
      <c r="P16" s="23">
        <f t="shared" si="4"/>
        <v>0.9004564193155945</v>
      </c>
      <c r="Q16" s="189">
        <f t="shared" ref="Q16" si="5">AVERAGE(Q10:Q14)</f>
        <v>131.77199999999999</v>
      </c>
    </row>
    <row r="17" spans="2:17" x14ac:dyDescent="0.25">
      <c r="G17" s="151" t="s">
        <v>175</v>
      </c>
      <c r="H17" s="110"/>
      <c r="I17" s="110"/>
      <c r="J17" s="110">
        <f>MEDIAN(J10:J14)</f>
        <v>489.77</v>
      </c>
      <c r="K17" s="110">
        <f>MEDIAN(K10:K14)</f>
        <v>6328.95</v>
      </c>
      <c r="L17" s="112">
        <f>MEDIAN(L10:L14)</f>
        <v>0.3</v>
      </c>
      <c r="M17" s="112">
        <f t="shared" ref="M17:P17" si="6">MEDIAN(M10:M14)</f>
        <v>0.14156376650155239</v>
      </c>
      <c r="N17" s="112">
        <f t="shared" si="6"/>
        <v>0.12400863679774116</v>
      </c>
      <c r="O17" s="113">
        <f>MEDIAN(O10:O14)</f>
        <v>0.86799999999999999</v>
      </c>
      <c r="P17" s="113">
        <f t="shared" si="6"/>
        <v>0.90100000000000002</v>
      </c>
      <c r="Q17" s="127">
        <f t="shared" ref="Q17" si="7">MEDIAN(Q10:Q14)</f>
        <v>67.510000000000005</v>
      </c>
    </row>
    <row r="21" spans="2:17" x14ac:dyDescent="0.25">
      <c r="B21" s="128" t="s">
        <v>204</v>
      </c>
      <c r="C21" s="133"/>
      <c r="D21" s="133"/>
      <c r="E21" s="134"/>
      <c r="G21" s="128" t="s">
        <v>204</v>
      </c>
      <c r="H21" s="133"/>
      <c r="I21" s="133"/>
      <c r="J21" s="134"/>
    </row>
    <row r="22" spans="2:17" x14ac:dyDescent="0.25">
      <c r="B22" s="118"/>
      <c r="E22" s="119"/>
      <c r="G22" s="118"/>
      <c r="J22" s="119"/>
    </row>
    <row r="23" spans="2:17" x14ac:dyDescent="0.25">
      <c r="B23" s="118"/>
      <c r="D23" s="120" t="s">
        <v>205</v>
      </c>
      <c r="E23" s="154" t="s">
        <v>206</v>
      </c>
      <c r="G23" s="123"/>
      <c r="H23" s="110"/>
      <c r="I23" s="138" t="s">
        <v>205</v>
      </c>
      <c r="J23" s="139" t="s">
        <v>206</v>
      </c>
    </row>
    <row r="24" spans="2:17" x14ac:dyDescent="0.25">
      <c r="B24" s="157" t="s">
        <v>182</v>
      </c>
      <c r="C24" s="117">
        <f>E9</f>
        <v>284.54000000000002</v>
      </c>
      <c r="D24" s="84">
        <f>C24/C25</f>
        <v>5.7035118731927346E-4</v>
      </c>
      <c r="E24" s="155">
        <v>5.0000000000000001E-4</v>
      </c>
      <c r="G24" s="118" t="s">
        <v>182</v>
      </c>
      <c r="H24" s="183">
        <f>J16</f>
        <v>720.04</v>
      </c>
      <c r="I24" s="85">
        <f>H24/$H$26</f>
        <v>3.1317361478979053E-3</v>
      </c>
      <c r="J24" s="184">
        <f>M16</f>
        <v>0.22218585853012743</v>
      </c>
      <c r="N24" s="1"/>
      <c r="O24" s="1"/>
    </row>
    <row r="25" spans="2:17" x14ac:dyDescent="0.25">
      <c r="B25" s="118" t="s">
        <v>50</v>
      </c>
      <c r="C25" s="153">
        <f>E10</f>
        <v>498885.61</v>
      </c>
      <c r="D25" s="87">
        <f>C25/C26</f>
        <v>0.99942997392772792</v>
      </c>
      <c r="E25" s="156">
        <f>E26-E24</f>
        <v>0.99950032511504716</v>
      </c>
      <c r="G25" s="118" t="s">
        <v>50</v>
      </c>
      <c r="H25" s="183">
        <f>K16</f>
        <v>229197.158</v>
      </c>
      <c r="I25" s="85">
        <f>H25/$H$26</f>
        <v>0.99686826385210203</v>
      </c>
      <c r="J25" s="121">
        <f>J26-J24</f>
        <v>0.77781414146987249</v>
      </c>
    </row>
    <row r="26" spans="2:17" x14ac:dyDescent="0.25">
      <c r="B26" s="157" t="s">
        <v>207</v>
      </c>
      <c r="C26" s="82">
        <f>SUM(C24:C25)</f>
        <v>499170.14999999997</v>
      </c>
      <c r="D26" s="114">
        <f>SUM(D24:D25)</f>
        <v>1.0000003251150471</v>
      </c>
      <c r="E26" s="122">
        <f>D26</f>
        <v>1.0000003251150471</v>
      </c>
      <c r="G26" s="157" t="s">
        <v>207</v>
      </c>
      <c r="H26" s="115">
        <f>SUM(J16:K16)</f>
        <v>229917.198</v>
      </c>
      <c r="I26" s="191">
        <f>SUM(I24:I25)</f>
        <v>0.99999999999999989</v>
      </c>
      <c r="J26" s="192">
        <f>I26</f>
        <v>0.99999999999999989</v>
      </c>
    </row>
    <row r="27" spans="2:17" x14ac:dyDescent="0.25">
      <c r="B27" s="118"/>
      <c r="E27" s="119"/>
      <c r="G27" s="118"/>
      <c r="J27" s="119"/>
    </row>
    <row r="28" spans="2:17" x14ac:dyDescent="0.25">
      <c r="B28" s="136" t="s">
        <v>269</v>
      </c>
      <c r="C28" s="131"/>
      <c r="D28" s="132">
        <f>D24/D25</f>
        <v>5.7067648779614993E-4</v>
      </c>
      <c r="E28" s="132">
        <f>E24/E25</f>
        <v>5.0024996234238105E-4</v>
      </c>
      <c r="G28" s="136" t="s">
        <v>210</v>
      </c>
      <c r="H28" s="131"/>
      <c r="I28" s="140">
        <f>I24/I25</f>
        <v>3.1415747310444401E-3</v>
      </c>
      <c r="J28" s="141">
        <f>J24/J25</f>
        <v>0.28565417711518104</v>
      </c>
    </row>
    <row r="30" spans="2:17" x14ac:dyDescent="0.25">
      <c r="B30" s="128" t="s">
        <v>201</v>
      </c>
      <c r="C30" s="134"/>
      <c r="E30" s="1"/>
      <c r="G30" s="128" t="s">
        <v>201</v>
      </c>
      <c r="H30" s="134"/>
      <c r="K30" s="1"/>
    </row>
    <row r="31" spans="2:17" x14ac:dyDescent="0.25">
      <c r="B31" s="118"/>
      <c r="C31" s="119"/>
      <c r="G31" s="118"/>
      <c r="H31" s="119"/>
    </row>
    <row r="32" spans="2:17" x14ac:dyDescent="0.25">
      <c r="B32" s="118" t="s">
        <v>223</v>
      </c>
      <c r="C32" s="124">
        <f>E15</f>
        <v>0.60937612877062985</v>
      </c>
      <c r="G32" s="118" t="s">
        <v>208</v>
      </c>
      <c r="H32" s="124">
        <f>P17</f>
        <v>0.90100000000000002</v>
      </c>
      <c r="I32" s="1"/>
      <c r="J32" s="1"/>
    </row>
    <row r="33" spans="2:10" x14ac:dyDescent="0.25">
      <c r="B33" s="118" t="s">
        <v>209</v>
      </c>
      <c r="C33" s="125">
        <f>E28</f>
        <v>5.0024996234238105E-4</v>
      </c>
      <c r="G33" s="118" t="s">
        <v>209</v>
      </c>
      <c r="H33" s="125">
        <f>J28</f>
        <v>0.28565417711518104</v>
      </c>
    </row>
    <row r="34" spans="2:10" x14ac:dyDescent="0.25">
      <c r="B34" s="118" t="s">
        <v>184</v>
      </c>
      <c r="C34" s="126">
        <f>E11</f>
        <v>0.25036440745734079</v>
      </c>
      <c r="G34" s="118" t="s">
        <v>184</v>
      </c>
      <c r="H34" s="126">
        <f>H39</f>
        <v>0.3</v>
      </c>
    </row>
    <row r="35" spans="2:10" x14ac:dyDescent="0.25">
      <c r="B35" s="136" t="s">
        <v>201</v>
      </c>
      <c r="C35" s="142">
        <f>C32*(1+(1-C34)*C33)</f>
        <v>0.60960464797362246</v>
      </c>
      <c r="G35" s="136" t="s">
        <v>201</v>
      </c>
      <c r="H35" s="142">
        <f>H32*(1+(1-H34)*H33)</f>
        <v>1.0811620895065446</v>
      </c>
    </row>
    <row r="37" spans="2:10" x14ac:dyDescent="0.25">
      <c r="B37" s="128" t="s">
        <v>203</v>
      </c>
      <c r="C37" s="129"/>
      <c r="G37" s="128" t="s">
        <v>203</v>
      </c>
      <c r="H37" s="134"/>
    </row>
    <row r="38" spans="2:10" x14ac:dyDescent="0.25">
      <c r="B38" s="118" t="s">
        <v>218</v>
      </c>
      <c r="C38" s="121">
        <f>E16</f>
        <v>0.15836086314753636</v>
      </c>
      <c r="G38" s="118" t="s">
        <v>196</v>
      </c>
      <c r="H38" s="190">
        <f>Q16/J16</f>
        <v>0.18300649963890894</v>
      </c>
    </row>
    <row r="39" spans="2:10" x14ac:dyDescent="0.25">
      <c r="B39" s="118" t="s">
        <v>219</v>
      </c>
      <c r="C39" s="125">
        <f>E11</f>
        <v>0.25036440745734079</v>
      </c>
      <c r="G39" s="118" t="s">
        <v>184</v>
      </c>
      <c r="H39" s="163">
        <f>L16</f>
        <v>0.3</v>
      </c>
    </row>
    <row r="40" spans="2:10" x14ac:dyDescent="0.25">
      <c r="B40" s="136" t="s">
        <v>197</v>
      </c>
      <c r="C40" s="159">
        <f>E16*(1-C39)</f>
        <v>0.11871293948117038</v>
      </c>
      <c r="G40" s="136" t="s">
        <v>197</v>
      </c>
      <c r="H40" s="159">
        <f>H38*(1-H39)</f>
        <v>0.12810454974723626</v>
      </c>
    </row>
    <row r="42" spans="2:10" x14ac:dyDescent="0.25">
      <c r="B42" s="128" t="s">
        <v>198</v>
      </c>
      <c r="C42" s="129"/>
      <c r="G42" s="128" t="s">
        <v>198</v>
      </c>
      <c r="H42" s="133"/>
      <c r="I42" s="133"/>
      <c r="J42" s="134"/>
    </row>
    <row r="43" spans="2:10" x14ac:dyDescent="0.25">
      <c r="B43" s="118" t="s">
        <v>199</v>
      </c>
      <c r="C43" s="160">
        <v>6.6199999999999995E-2</v>
      </c>
      <c r="G43" s="118" t="s">
        <v>199</v>
      </c>
      <c r="J43" s="160">
        <v>6.6199999999999995E-2</v>
      </c>
    </row>
    <row r="44" spans="2:10" x14ac:dyDescent="0.25">
      <c r="B44" s="118" t="s">
        <v>221</v>
      </c>
      <c r="C44" s="197">
        <f>'WACC data Sheet'!F16-'WACC Calculation'!C43</f>
        <v>9.9641666666666698E-2</v>
      </c>
      <c r="G44" s="118" t="s">
        <v>200</v>
      </c>
      <c r="J44" s="197">
        <f>C44</f>
        <v>9.9641666666666698E-2</v>
      </c>
    </row>
    <row r="45" spans="2:10" ht="17.25" x14ac:dyDescent="0.25">
      <c r="B45" s="161" t="s">
        <v>222</v>
      </c>
      <c r="C45" s="173">
        <f>C35</f>
        <v>0.60960464797362246</v>
      </c>
      <c r="G45" s="118" t="s">
        <v>202</v>
      </c>
      <c r="J45" s="124">
        <f>H35</f>
        <v>1.0811620895065446</v>
      </c>
    </row>
    <row r="46" spans="2:10" x14ac:dyDescent="0.25">
      <c r="B46" s="123" t="s">
        <v>198</v>
      </c>
      <c r="C46" s="163">
        <f>C43+(C45*C44)</f>
        <v>0.12694202313183839</v>
      </c>
      <c r="G46" s="136" t="s">
        <v>198</v>
      </c>
      <c r="H46" s="131"/>
      <c r="I46" s="131"/>
      <c r="J46" s="137">
        <f>J43+(J45*J44)</f>
        <v>0.17392879253524796</v>
      </c>
    </row>
    <row r="48" spans="2:10" x14ac:dyDescent="0.25">
      <c r="B48" s="128" t="s">
        <v>179</v>
      </c>
      <c r="C48" s="37"/>
      <c r="D48" s="129"/>
      <c r="G48" s="128" t="s">
        <v>179</v>
      </c>
      <c r="H48" s="37"/>
      <c r="I48" s="129"/>
    </row>
    <row r="49" spans="2:9" x14ac:dyDescent="0.25">
      <c r="B49" s="118"/>
      <c r="D49" s="119"/>
      <c r="G49" s="118"/>
      <c r="I49" s="119"/>
    </row>
    <row r="50" spans="2:9" x14ac:dyDescent="0.25">
      <c r="B50" s="123"/>
      <c r="C50" s="110" t="s">
        <v>211</v>
      </c>
      <c r="D50" s="145" t="s">
        <v>224</v>
      </c>
      <c r="G50" s="118"/>
      <c r="H50" t="s">
        <v>211</v>
      </c>
      <c r="I50" s="119" t="s">
        <v>212</v>
      </c>
    </row>
    <row r="51" spans="2:9" x14ac:dyDescent="0.25">
      <c r="B51" s="118" t="s">
        <v>186</v>
      </c>
      <c r="C51" s="17">
        <f>C40</f>
        <v>0.11871293948117038</v>
      </c>
      <c r="D51" s="125">
        <f>E24</f>
        <v>5.0000000000000001E-4</v>
      </c>
      <c r="G51" s="118" t="s">
        <v>186</v>
      </c>
      <c r="H51" s="17">
        <f>H40</f>
        <v>0.12810454974723626</v>
      </c>
      <c r="I51" s="125">
        <f>J24</f>
        <v>0.22218585853012743</v>
      </c>
    </row>
    <row r="52" spans="2:9" x14ac:dyDescent="0.25">
      <c r="B52" s="118" t="s">
        <v>188</v>
      </c>
      <c r="C52" s="17">
        <f>C46</f>
        <v>0.12694202313183839</v>
      </c>
      <c r="D52" s="125">
        <f>E25</f>
        <v>0.99950032511504716</v>
      </c>
      <c r="G52" s="118" t="s">
        <v>188</v>
      </c>
      <c r="H52" s="17">
        <f>J46</f>
        <v>0.17392879253524796</v>
      </c>
      <c r="I52" s="162">
        <f>J25</f>
        <v>0.77781414146987249</v>
      </c>
    </row>
    <row r="53" spans="2:9" x14ac:dyDescent="0.25">
      <c r="B53" s="130" t="s">
        <v>213</v>
      </c>
      <c r="C53" s="131"/>
      <c r="D53" s="132">
        <f>(C51*D51)+(C52*D52)</f>
        <v>0.12693794986077489</v>
      </c>
      <c r="G53" s="130" t="s">
        <v>213</v>
      </c>
      <c r="H53" s="131"/>
      <c r="I53" s="132">
        <f>(H51*I51)+(H52*I52)</f>
        <v>0.16374729380990055</v>
      </c>
    </row>
  </sheetData>
  <mergeCells count="3">
    <mergeCell ref="G7:P7"/>
    <mergeCell ref="B7:E7"/>
    <mergeCell ref="B3:Q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6E592-F2EE-4353-8A8B-16DC4C3F7BD4}">
  <dimension ref="B3:O42"/>
  <sheetViews>
    <sheetView showGridLines="0" topLeftCell="A13" workbookViewId="0">
      <selection activeCell="U11" sqref="U11"/>
    </sheetView>
  </sheetViews>
  <sheetFormatPr defaultRowHeight="15" x14ac:dyDescent="0.25"/>
  <cols>
    <col min="1" max="1" width="1.85546875" customWidth="1"/>
    <col min="2" max="2" width="34.42578125" bestFit="1" customWidth="1"/>
    <col min="7" max="7" width="13.28515625" bestFit="1" customWidth="1"/>
  </cols>
  <sheetData>
    <row r="3" spans="2:9" x14ac:dyDescent="0.25">
      <c r="B3" s="216" t="s">
        <v>341</v>
      </c>
      <c r="C3" s="216"/>
      <c r="D3" s="245">
        <f>'Intrinsic Growth'!O4</f>
        <v>45744</v>
      </c>
      <c r="E3" s="246">
        <f>D3+365</f>
        <v>46109</v>
      </c>
      <c r="F3" s="246">
        <f>E3+366</f>
        <v>46475</v>
      </c>
      <c r="G3" s="246">
        <f t="shared" ref="G3:I3" si="0">F3+365</f>
        <v>46840</v>
      </c>
      <c r="H3" s="246">
        <f t="shared" si="0"/>
        <v>47205</v>
      </c>
      <c r="I3" s="246">
        <f t="shared" si="0"/>
        <v>47570</v>
      </c>
    </row>
    <row r="5" spans="2:9" x14ac:dyDescent="0.25">
      <c r="B5" s="37" t="s">
        <v>328</v>
      </c>
      <c r="C5" s="37"/>
      <c r="D5" s="239">
        <f>'Financials Statements'!L27+'Financials Statements'!L21</f>
        <v>24193.129999999997</v>
      </c>
      <c r="E5" s="37">
        <f>D5*(1+$D$15)</f>
        <v>30383.942778485107</v>
      </c>
      <c r="F5" s="37">
        <f>E5*(1+$D$15)</f>
        <v>38158.931017452363</v>
      </c>
      <c r="G5" s="37">
        <f>F5*(1+$D$15)</f>
        <v>47923.471519494713</v>
      </c>
      <c r="H5" s="37">
        <f>G5*(1+$D$15)</f>
        <v>60186.673505854276</v>
      </c>
      <c r="I5" s="37">
        <f>H5*(1+$D$15)</f>
        <v>75587.922845421082</v>
      </c>
    </row>
    <row r="6" spans="2:9" x14ac:dyDescent="0.25">
      <c r="B6" s="37" t="s">
        <v>184</v>
      </c>
      <c r="C6" s="37"/>
      <c r="D6" s="240">
        <v>0.25</v>
      </c>
      <c r="E6" s="224">
        <f>D6</f>
        <v>0.25</v>
      </c>
      <c r="F6" s="224">
        <f t="shared" ref="F6:I6" si="1">E6</f>
        <v>0.25</v>
      </c>
      <c r="G6" s="224">
        <f t="shared" si="1"/>
        <v>0.25</v>
      </c>
      <c r="H6" s="224">
        <f t="shared" si="1"/>
        <v>0.25</v>
      </c>
      <c r="I6" s="224">
        <f t="shared" si="1"/>
        <v>0.25</v>
      </c>
    </row>
    <row r="7" spans="2:9" x14ac:dyDescent="0.25">
      <c r="B7" s="37" t="s">
        <v>342</v>
      </c>
      <c r="C7" s="37"/>
      <c r="D7" s="239">
        <f t="shared" ref="D7:I7" si="2">D5*(1-D6)</f>
        <v>18144.847499999996</v>
      </c>
      <c r="E7" s="37">
        <f t="shared" si="2"/>
        <v>22787.957083863832</v>
      </c>
      <c r="F7" s="37">
        <f t="shared" si="2"/>
        <v>28619.198263089274</v>
      </c>
      <c r="G7" s="37">
        <f t="shared" si="2"/>
        <v>35942.603639621033</v>
      </c>
      <c r="H7" s="37">
        <f t="shared" si="2"/>
        <v>45140.005129390709</v>
      </c>
      <c r="I7" s="37">
        <f t="shared" si="2"/>
        <v>56690.942134065815</v>
      </c>
    </row>
    <row r="8" spans="2:9" x14ac:dyDescent="0.25">
      <c r="B8" s="37" t="s">
        <v>343</v>
      </c>
      <c r="C8" s="37"/>
      <c r="D8" s="241">
        <f>'Intrinsic Growth'!O53</f>
        <v>0.24615771365532899</v>
      </c>
      <c r="E8" s="234">
        <f>D8+(($I$8-$D$8)/4)</f>
        <v>0.25586828524149674</v>
      </c>
      <c r="F8" s="234">
        <f t="shared" ref="F8:H8" si="3">E8+(($I$8-$D$8)/4)</f>
        <v>0.26557885682766447</v>
      </c>
      <c r="G8" s="234">
        <f t="shared" si="3"/>
        <v>0.27528942841383219</v>
      </c>
      <c r="H8" s="234">
        <f t="shared" si="3"/>
        <v>0.28499999999999992</v>
      </c>
      <c r="I8" s="235">
        <v>0.28499999999999998</v>
      </c>
    </row>
    <row r="9" spans="2:9" x14ac:dyDescent="0.25">
      <c r="B9" s="37" t="s">
        <v>344</v>
      </c>
      <c r="C9" s="37"/>
      <c r="D9" s="239">
        <f t="shared" ref="D9:I9" si="4">D7*(1-D8)</f>
        <v>13678.353324775384</v>
      </c>
      <c r="E9" s="37">
        <f t="shared" si="4"/>
        <v>16957.241580658774</v>
      </c>
      <c r="F9" s="37">
        <f t="shared" si="4"/>
        <v>21018.544305053743</v>
      </c>
      <c r="G9" s="37">
        <f t="shared" si="4"/>
        <v>26047.984827964836</v>
      </c>
      <c r="H9" s="37">
        <f t="shared" si="4"/>
        <v>32275.103667514362</v>
      </c>
      <c r="I9" s="37">
        <f t="shared" si="4"/>
        <v>40534.023625857066</v>
      </c>
    </row>
    <row r="10" spans="2:9" x14ac:dyDescent="0.25">
      <c r="B10" s="37" t="s">
        <v>345</v>
      </c>
      <c r="C10" s="37"/>
      <c r="D10" s="239"/>
      <c r="E10" s="236">
        <v>0.5</v>
      </c>
      <c r="F10" s="37">
        <f>E10+1</f>
        <v>1.5</v>
      </c>
      <c r="G10" s="37">
        <f t="shared" ref="G10:I10" si="5">F10+1</f>
        <v>2.5</v>
      </c>
      <c r="H10" s="37">
        <f t="shared" si="5"/>
        <v>3.5</v>
      </c>
      <c r="I10" s="37">
        <f t="shared" si="5"/>
        <v>4.5</v>
      </c>
    </row>
    <row r="11" spans="2:9" x14ac:dyDescent="0.25">
      <c r="B11" s="37" t="s">
        <v>346</v>
      </c>
      <c r="C11" s="37"/>
      <c r="D11" s="239"/>
      <c r="E11" s="242">
        <f>1/(1+$D$17)^E10</f>
        <v>0.94199803737727272</v>
      </c>
      <c r="F11" s="242">
        <f t="shared" ref="F11:I11" si="6">1/(1+$D$17)^F10</f>
        <v>0.8358916633286243</v>
      </c>
      <c r="G11" s="242">
        <f t="shared" si="6"/>
        <v>0.74173707916384646</v>
      </c>
      <c r="H11" s="242">
        <f t="shared" si="6"/>
        <v>0.65818803888491173</v>
      </c>
      <c r="I11" s="242">
        <f t="shared" si="6"/>
        <v>0.5840499372358755</v>
      </c>
    </row>
    <row r="12" spans="2:9" x14ac:dyDescent="0.25">
      <c r="D12" s="237"/>
    </row>
    <row r="13" spans="2:9" ht="15.75" thickBot="1" x14ac:dyDescent="0.3">
      <c r="B13" s="243" t="s">
        <v>347</v>
      </c>
      <c r="C13" s="243"/>
      <c r="D13" s="244"/>
      <c r="E13" s="243">
        <f>E9*E11</f>
        <v>15973.688288312847</v>
      </c>
      <c r="F13" s="243">
        <f t="shared" ref="F13:I13" si="7">F9*F11</f>
        <v>17569.225959897758</v>
      </c>
      <c r="G13" s="243">
        <f t="shared" si="7"/>
        <v>19320.756184398826</v>
      </c>
      <c r="H13" s="243">
        <f t="shared" si="7"/>
        <v>21243.087187728499</v>
      </c>
      <c r="I13" s="243">
        <f t="shared" si="7"/>
        <v>23673.893954599313</v>
      </c>
    </row>
    <row r="15" spans="2:9" x14ac:dyDescent="0.25">
      <c r="B15" s="237" t="s">
        <v>348</v>
      </c>
      <c r="C15" s="237"/>
      <c r="D15" s="238">
        <f>'Intrinsic Growth'!O65</f>
        <v>0.25589135339185598</v>
      </c>
    </row>
    <row r="16" spans="2:9" x14ac:dyDescent="0.25">
      <c r="B16" s="237" t="s">
        <v>349</v>
      </c>
      <c r="C16" s="237"/>
      <c r="D16" s="238">
        <v>7.4999999999999997E-2</v>
      </c>
    </row>
    <row r="17" spans="2:15" x14ac:dyDescent="0.25">
      <c r="B17" s="237" t="s">
        <v>213</v>
      </c>
      <c r="C17" s="237"/>
      <c r="D17" s="238">
        <f>'WACC Calculation'!D53</f>
        <v>0.12693794986077489</v>
      </c>
    </row>
    <row r="19" spans="2:15" x14ac:dyDescent="0.25">
      <c r="B19" s="216" t="s">
        <v>350</v>
      </c>
      <c r="C19" s="216"/>
      <c r="D19" s="216"/>
    </row>
    <row r="20" spans="2:15" x14ac:dyDescent="0.25">
      <c r="G20" s="284"/>
      <c r="H20" s="285"/>
      <c r="I20" s="25"/>
      <c r="J20" s="25"/>
      <c r="K20" s="25"/>
      <c r="L20" s="25"/>
      <c r="M20" s="25"/>
      <c r="N20" s="25"/>
      <c r="O20" s="283"/>
    </row>
    <row r="21" spans="2:15" x14ac:dyDescent="0.25">
      <c r="B21" t="s">
        <v>351</v>
      </c>
      <c r="D21">
        <f>I9*(1+D15)</f>
        <v>50906.329789895091</v>
      </c>
      <c r="G21" s="25"/>
      <c r="H21" s="286"/>
    </row>
    <row r="22" spans="2:15" x14ac:dyDescent="0.25">
      <c r="B22" t="s">
        <v>213</v>
      </c>
      <c r="D22" s="17">
        <f>D17</f>
        <v>0.12693794986077489</v>
      </c>
      <c r="G22" s="25"/>
    </row>
    <row r="23" spans="2:15" x14ac:dyDescent="0.25">
      <c r="B23" t="s">
        <v>352</v>
      </c>
      <c r="D23" s="17">
        <f>D16</f>
        <v>7.4999999999999997E-2</v>
      </c>
      <c r="G23" s="25"/>
    </row>
    <row r="24" spans="2:15" ht="13.5" customHeight="1" x14ac:dyDescent="0.25">
      <c r="G24" s="25"/>
    </row>
    <row r="25" spans="2:15" ht="15.75" thickBot="1" x14ac:dyDescent="0.3">
      <c r="B25" s="243" t="s">
        <v>353</v>
      </c>
      <c r="C25" s="243"/>
      <c r="D25" s="243">
        <f>D21/(D22-D23)</f>
        <v>980137.45106140757</v>
      </c>
      <c r="G25" s="25"/>
    </row>
    <row r="26" spans="2:15" x14ac:dyDescent="0.25">
      <c r="G26" s="25"/>
    </row>
    <row r="27" spans="2:15" x14ac:dyDescent="0.25">
      <c r="G27" s="25"/>
    </row>
    <row r="28" spans="2:15" x14ac:dyDescent="0.25">
      <c r="B28" s="216" t="s">
        <v>400</v>
      </c>
      <c r="C28" s="216"/>
      <c r="D28" s="216"/>
      <c r="G28" s="24"/>
    </row>
    <row r="30" spans="2:15" x14ac:dyDescent="0.25">
      <c r="B30" t="s">
        <v>347</v>
      </c>
      <c r="D30">
        <f>SUM(E13:I13)</f>
        <v>97780.651574937248</v>
      </c>
    </row>
    <row r="31" spans="2:15" x14ac:dyDescent="0.25">
      <c r="B31" t="s">
        <v>354</v>
      </c>
      <c r="D31">
        <f>D25*I11</f>
        <v>572449.21677494608</v>
      </c>
    </row>
    <row r="32" spans="2:15" x14ac:dyDescent="0.25">
      <c r="B32" s="1" t="s">
        <v>401</v>
      </c>
      <c r="C32" s="1"/>
      <c r="D32" s="1">
        <f>SUM(D30:D31)</f>
        <v>670229.86834988336</v>
      </c>
      <c r="H32" s="25"/>
      <c r="I32" s="25"/>
      <c r="J32" s="25"/>
      <c r="K32" s="25"/>
      <c r="L32" s="25"/>
      <c r="M32" s="25"/>
    </row>
    <row r="33" spans="2:7" x14ac:dyDescent="0.25">
      <c r="G33" s="25"/>
    </row>
    <row r="34" spans="2:7" x14ac:dyDescent="0.25">
      <c r="B34" t="s">
        <v>356</v>
      </c>
      <c r="D34">
        <f>'Data Sheet'!K69</f>
        <v>4012.36</v>
      </c>
      <c r="G34" s="25"/>
    </row>
    <row r="35" spans="2:7" x14ac:dyDescent="0.25">
      <c r="B35" t="s">
        <v>357</v>
      </c>
      <c r="D35">
        <f>SUM('Data Sheet'!M123:M124)</f>
        <v>91</v>
      </c>
      <c r="G35" s="25"/>
    </row>
    <row r="36" spans="2:7" x14ac:dyDescent="0.25">
      <c r="B36" s="1" t="s">
        <v>358</v>
      </c>
      <c r="D36" s="1">
        <f>D32+D34-D35</f>
        <v>674151.22834988334</v>
      </c>
      <c r="G36" s="25"/>
    </row>
    <row r="37" spans="2:7" x14ac:dyDescent="0.25">
      <c r="B37" t="s">
        <v>359</v>
      </c>
      <c r="D37">
        <f>'Data Sheet'!B6</f>
        <v>1252.5373085613858</v>
      </c>
      <c r="G37" s="25"/>
    </row>
    <row r="39" spans="2:7" ht="15.75" thickBot="1" x14ac:dyDescent="0.3">
      <c r="B39" s="243" t="s">
        <v>360</v>
      </c>
      <c r="C39" s="243"/>
      <c r="D39" s="243">
        <f>D36/D37</f>
        <v>538.22846133356813</v>
      </c>
    </row>
    <row r="41" spans="2:7" x14ac:dyDescent="0.25">
      <c r="B41" t="s">
        <v>361</v>
      </c>
      <c r="D41">
        <v>410</v>
      </c>
    </row>
    <row r="42" spans="2:7" x14ac:dyDescent="0.25">
      <c r="B42" t="s">
        <v>362</v>
      </c>
      <c r="D42" s="247">
        <f>D41/D39-1</f>
        <v>-0.23824169575844545</v>
      </c>
    </row>
  </sheetData>
  <pageMargins left="0.7" right="0.7" top="0.75" bottom="0.75" header="0.3" footer="0.3"/>
  <pageSetup orientation="portrait" r:id="rId1"/>
  <ignoredErrors>
    <ignoredError sqref="F3 D8:H8" formula="1"/>
    <ignoredError sqref="D35" formulaRange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B535-E853-48AF-A70B-9C29885D2C2E}">
  <dimension ref="A4:O65"/>
  <sheetViews>
    <sheetView showGridLines="0" workbookViewId="0">
      <pane ySplit="4" topLeftCell="A46" activePane="bottomLeft" state="frozen"/>
      <selection pane="bottomLeft" activeCell="F43" sqref="F43:O43"/>
    </sheetView>
  </sheetViews>
  <sheetFormatPr defaultRowHeight="15" x14ac:dyDescent="0.25"/>
  <cols>
    <col min="1" max="1" width="1.85546875" customWidth="1"/>
    <col min="2" max="2" width="31.140625" bestFit="1" customWidth="1"/>
    <col min="4" max="4" width="10.5703125" bestFit="1" customWidth="1"/>
    <col min="5" max="5" width="10" customWidth="1"/>
    <col min="6" max="12" width="9.28515625" bestFit="1" customWidth="1"/>
    <col min="13" max="15" width="9.5703125" bestFit="1" customWidth="1"/>
  </cols>
  <sheetData>
    <row r="4" spans="1:15" x14ac:dyDescent="0.25">
      <c r="B4" s="216" t="s">
        <v>289</v>
      </c>
      <c r="C4" s="216"/>
      <c r="D4" s="217">
        <f>'Data Sheet'!B119</f>
        <v>41729</v>
      </c>
      <c r="E4" s="217">
        <f>'Data Sheet'!C119</f>
        <v>42094</v>
      </c>
      <c r="F4" s="217">
        <f>'Data Sheet'!D119</f>
        <v>42459</v>
      </c>
      <c r="G4" s="217">
        <f>'Data Sheet'!E119</f>
        <v>42824</v>
      </c>
      <c r="H4" s="217">
        <f>'Data Sheet'!F119</f>
        <v>43189</v>
      </c>
      <c r="I4" s="217">
        <f>'Data Sheet'!G119</f>
        <v>43554</v>
      </c>
      <c r="J4" s="217">
        <f>'Data Sheet'!H119</f>
        <v>43919</v>
      </c>
      <c r="K4" s="217">
        <f>'Data Sheet'!I119</f>
        <v>44284</v>
      </c>
      <c r="L4" s="217">
        <f>'Data Sheet'!J119</f>
        <v>44649</v>
      </c>
      <c r="M4" s="217">
        <f>'Data Sheet'!K119</f>
        <v>45014</v>
      </c>
      <c r="N4" s="217">
        <f>'Data Sheet'!L119</f>
        <v>45379</v>
      </c>
      <c r="O4" s="217">
        <f>'Data Sheet'!M119</f>
        <v>45744</v>
      </c>
    </row>
    <row r="5" spans="1:15" x14ac:dyDescent="0.25">
      <c r="D5" s="72"/>
      <c r="E5" s="72"/>
      <c r="F5" s="72"/>
      <c r="G5" s="72"/>
      <c r="H5" s="72"/>
      <c r="I5" s="72"/>
      <c r="J5" s="72"/>
      <c r="K5" s="72"/>
      <c r="L5" s="72"/>
      <c r="M5" s="72"/>
    </row>
    <row r="6" spans="1:15" x14ac:dyDescent="0.25">
      <c r="A6" t="s">
        <v>0</v>
      </c>
      <c r="B6" s="1" t="s">
        <v>290</v>
      </c>
      <c r="D6" s="72"/>
      <c r="E6" s="72"/>
      <c r="F6" s="72"/>
      <c r="G6" s="72"/>
      <c r="H6" s="72"/>
      <c r="I6" s="72"/>
      <c r="J6" s="72"/>
      <c r="K6" s="72"/>
      <c r="L6" s="72"/>
      <c r="M6" s="72"/>
    </row>
    <row r="7" spans="1:15" x14ac:dyDescent="0.25">
      <c r="B7" s="37" t="str">
        <f>'Data Sheet'!A149</f>
        <v>Inventories</v>
      </c>
      <c r="C7" s="37"/>
      <c r="D7" s="215">
        <f>'Data Sheet'!B149</f>
        <v>8255</v>
      </c>
      <c r="E7" s="215">
        <f>'Data Sheet'!C149</f>
        <v>8587</v>
      </c>
      <c r="F7" s="215">
        <f>'Data Sheet'!D149</f>
        <v>9062</v>
      </c>
      <c r="G7" s="215">
        <f>'Data Sheet'!E149</f>
        <v>8116</v>
      </c>
      <c r="H7" s="215">
        <f>'Data Sheet'!F149</f>
        <v>7495</v>
      </c>
      <c r="I7" s="215">
        <f>'Data Sheet'!G149</f>
        <v>7860</v>
      </c>
      <c r="J7" s="215">
        <f>'Data Sheet'!H149</f>
        <v>8879</v>
      </c>
      <c r="K7" s="215">
        <f>'Data Sheet'!I149</f>
        <v>10397</v>
      </c>
      <c r="L7" s="215">
        <f>'Data Sheet'!J149</f>
        <v>10864</v>
      </c>
      <c r="M7" s="215">
        <f>'Data Sheet'!K149</f>
        <v>11771</v>
      </c>
      <c r="N7" s="215">
        <f>'Data Sheet'!L149</f>
        <v>14153</v>
      </c>
      <c r="O7" s="215">
        <f>'Data Sheet'!M149</f>
        <v>15638</v>
      </c>
    </row>
    <row r="8" spans="1:15" x14ac:dyDescent="0.25">
      <c r="B8" s="37" t="str">
        <f>'Data Sheet'!A150</f>
        <v>Trade receivables</v>
      </c>
      <c r="C8" s="37"/>
      <c r="D8" s="215">
        <f>'Data Sheet'!B150</f>
        <v>2439</v>
      </c>
      <c r="E8" s="215">
        <f>'Data Sheet'!C150</f>
        <v>1982</v>
      </c>
      <c r="F8" s="215">
        <f>'Data Sheet'!D150</f>
        <v>1917</v>
      </c>
      <c r="G8" s="215">
        <f>'Data Sheet'!E150</f>
        <v>2474</v>
      </c>
      <c r="H8" s="215">
        <f>'Data Sheet'!F150</f>
        <v>2682</v>
      </c>
      <c r="I8" s="215">
        <f>'Data Sheet'!G150</f>
        <v>4035</v>
      </c>
      <c r="J8" s="215">
        <f>'Data Sheet'!H150</f>
        <v>2562</v>
      </c>
      <c r="K8" s="215">
        <f>'Data Sheet'!I150</f>
        <v>2502</v>
      </c>
      <c r="L8" s="215">
        <f>'Data Sheet'!J150</f>
        <v>2462</v>
      </c>
      <c r="M8" s="215">
        <f>'Data Sheet'!K150</f>
        <v>2956</v>
      </c>
      <c r="N8" s="215">
        <f>'Data Sheet'!L150</f>
        <v>4026</v>
      </c>
      <c r="O8" s="215">
        <f>'Data Sheet'!M150</f>
        <v>4720</v>
      </c>
    </row>
    <row r="9" spans="1:15" x14ac:dyDescent="0.25">
      <c r="B9" s="37" t="str">
        <f>'Data Sheet'!A152</f>
        <v>Loans n Advances</v>
      </c>
      <c r="C9" s="37"/>
      <c r="D9" s="215">
        <f>'Data Sheet'!B152</f>
        <v>107</v>
      </c>
      <c r="E9" s="215">
        <f>'Data Sheet'!C152</f>
        <v>150</v>
      </c>
      <c r="F9" s="215">
        <f>'Data Sheet'!D152</f>
        <v>14</v>
      </c>
      <c r="G9" s="215">
        <f>'Data Sheet'!E152</f>
        <v>7</v>
      </c>
      <c r="H9" s="215">
        <f>'Data Sheet'!F152</f>
        <v>74</v>
      </c>
      <c r="I9" s="215">
        <f>'Data Sheet'!G152</f>
        <v>67</v>
      </c>
      <c r="J9" s="215">
        <f>'Data Sheet'!H152</f>
        <v>6</v>
      </c>
      <c r="K9" s="215">
        <f>'Data Sheet'!I152</f>
        <v>7</v>
      </c>
      <c r="L9" s="215">
        <f>'Data Sheet'!J152</f>
        <v>11</v>
      </c>
      <c r="M9" s="215">
        <f>'Data Sheet'!K152</f>
        <v>13</v>
      </c>
      <c r="N9" s="215">
        <f>'Data Sheet'!L152</f>
        <v>31</v>
      </c>
      <c r="O9" s="215">
        <f>'Data Sheet'!M152</f>
        <v>10</v>
      </c>
    </row>
    <row r="10" spans="1:15" x14ac:dyDescent="0.25">
      <c r="B10" s="37" t="str">
        <f>'Data Sheet'!A153</f>
        <v>Other asset items</v>
      </c>
      <c r="C10" s="37"/>
      <c r="D10" s="215">
        <f>'Data Sheet'!B153</f>
        <v>3234</v>
      </c>
      <c r="E10" s="215">
        <f>'Data Sheet'!C153</f>
        <v>2391</v>
      </c>
      <c r="F10" s="215">
        <f>'Data Sheet'!D153</f>
        <v>5180</v>
      </c>
      <c r="G10" s="215">
        <f>'Data Sheet'!E153</f>
        <v>5129</v>
      </c>
      <c r="H10" s="215">
        <f>'Data Sheet'!F153</f>
        <v>7004</v>
      </c>
      <c r="I10" s="215">
        <f>'Data Sheet'!G153</f>
        <v>7071</v>
      </c>
      <c r="J10" s="215">
        <f>'Data Sheet'!H153</f>
        <v>4952</v>
      </c>
      <c r="K10" s="215">
        <f>'Data Sheet'!I153</f>
        <v>4015</v>
      </c>
      <c r="L10" s="215">
        <f>'Data Sheet'!J153</f>
        <v>6906</v>
      </c>
      <c r="M10" s="215">
        <f>'Data Sheet'!K153</f>
        <v>7941</v>
      </c>
      <c r="N10" s="215">
        <f>'Data Sheet'!L153</f>
        <v>4531</v>
      </c>
      <c r="O10" s="215">
        <f>'Data Sheet'!M153</f>
        <v>5858</v>
      </c>
    </row>
    <row r="11" spans="1:15" x14ac:dyDescent="0.25">
      <c r="B11" s="10" t="s">
        <v>111</v>
      </c>
      <c r="C11" s="10"/>
      <c r="D11" s="10">
        <f>SUM(D7:D10)</f>
        <v>14035</v>
      </c>
      <c r="E11" s="10">
        <f t="shared" ref="E11:M11" si="0">SUM(E8:E10)</f>
        <v>4523</v>
      </c>
      <c r="F11" s="10">
        <f t="shared" si="0"/>
        <v>7111</v>
      </c>
      <c r="G11" s="10">
        <f t="shared" si="0"/>
        <v>7610</v>
      </c>
      <c r="H11" s="10">
        <f t="shared" si="0"/>
        <v>9760</v>
      </c>
      <c r="I11" s="10">
        <f t="shared" si="0"/>
        <v>11173</v>
      </c>
      <c r="J11" s="10">
        <f t="shared" si="0"/>
        <v>7520</v>
      </c>
      <c r="K11" s="10">
        <f t="shared" si="0"/>
        <v>6524</v>
      </c>
      <c r="L11" s="10">
        <f t="shared" si="0"/>
        <v>9379</v>
      </c>
      <c r="M11" s="10">
        <f t="shared" si="0"/>
        <v>10910</v>
      </c>
      <c r="N11" s="10">
        <f t="shared" ref="N11:O11" si="1">SUM(N8:N10)</f>
        <v>8588</v>
      </c>
      <c r="O11" s="10">
        <f t="shared" si="1"/>
        <v>10588</v>
      </c>
    </row>
    <row r="13" spans="1:15" x14ac:dyDescent="0.25">
      <c r="A13" t="s">
        <v>0</v>
      </c>
      <c r="B13" s="1" t="s">
        <v>291</v>
      </c>
      <c r="D13" s="72"/>
      <c r="E13" s="72"/>
      <c r="F13" s="72"/>
      <c r="G13" s="72"/>
      <c r="H13" s="72"/>
      <c r="I13" s="72"/>
      <c r="J13" s="72"/>
      <c r="K13" s="72"/>
      <c r="L13" s="72"/>
      <c r="M13" s="72"/>
    </row>
    <row r="14" spans="1:15" x14ac:dyDescent="0.25">
      <c r="B14" s="37" t="str">
        <f>'Data Sheet'!A129</f>
        <v>Trade Payables</v>
      </c>
      <c r="C14" s="37"/>
      <c r="D14" s="215">
        <f>'Data Sheet'!B129</f>
        <v>2106</v>
      </c>
      <c r="E14" s="215">
        <f>'Data Sheet'!C129</f>
        <v>2020</v>
      </c>
      <c r="F14" s="215">
        <f>'Data Sheet'!D129</f>
        <v>2339</v>
      </c>
      <c r="G14" s="215">
        <f>'Data Sheet'!E129</f>
        <v>2659</v>
      </c>
      <c r="H14" s="215">
        <f>'Data Sheet'!F129</f>
        <v>3496</v>
      </c>
      <c r="I14" s="215">
        <f>'Data Sheet'!G129</f>
        <v>3510</v>
      </c>
      <c r="J14" s="215">
        <f>'Data Sheet'!H129</f>
        <v>3630</v>
      </c>
      <c r="K14" s="215">
        <f>'Data Sheet'!I129</f>
        <v>4319</v>
      </c>
      <c r="L14" s="215">
        <f>'Data Sheet'!J129</f>
        <v>4417</v>
      </c>
      <c r="M14" s="215">
        <f>'Data Sheet'!K129</f>
        <v>4659</v>
      </c>
      <c r="N14" s="215">
        <f>'Data Sheet'!L129</f>
        <v>4798</v>
      </c>
      <c r="O14" s="215">
        <f>'Data Sheet'!M129</f>
        <v>4807</v>
      </c>
    </row>
    <row r="15" spans="1:15" x14ac:dyDescent="0.25">
      <c r="B15" s="37" t="str">
        <f>'Data Sheet'!A130</f>
        <v>Advance from Customers</v>
      </c>
      <c r="C15" s="37"/>
      <c r="D15" s="215">
        <f>'Data Sheet'!B130</f>
        <v>0</v>
      </c>
      <c r="E15" s="215">
        <f>'Data Sheet'!C130</f>
        <v>0</v>
      </c>
      <c r="F15" s="215">
        <f>'Data Sheet'!D130</f>
        <v>805</v>
      </c>
      <c r="G15" s="215">
        <f>'Data Sheet'!E130</f>
        <v>495</v>
      </c>
      <c r="H15" s="215">
        <f>'Data Sheet'!F130</f>
        <v>461</v>
      </c>
      <c r="I15" s="215">
        <f>'Data Sheet'!G130</f>
        <v>430</v>
      </c>
      <c r="J15" s="215">
        <f>'Data Sheet'!H130</f>
        <v>703</v>
      </c>
      <c r="K15" s="215">
        <f>'Data Sheet'!I130</f>
        <v>811</v>
      </c>
      <c r="L15" s="215">
        <f>'Data Sheet'!J130</f>
        <v>1278</v>
      </c>
      <c r="M15" s="215">
        <f>'Data Sheet'!K130</f>
        <v>1295</v>
      </c>
      <c r="N15" s="215">
        <f>'Data Sheet'!L130</f>
        <v>886</v>
      </c>
      <c r="O15" s="215">
        <f>'Data Sheet'!M130</f>
        <v>1264</v>
      </c>
    </row>
    <row r="16" spans="1:15" x14ac:dyDescent="0.25">
      <c r="B16" s="37" t="str">
        <f>'Data Sheet'!A131</f>
        <v>Other liability items</v>
      </c>
      <c r="C16" s="37"/>
      <c r="D16" s="215">
        <f>'Data Sheet'!B131</f>
        <v>11060</v>
      </c>
      <c r="E16" s="215">
        <f>'Data Sheet'!C131</f>
        <v>11702</v>
      </c>
      <c r="F16" s="215">
        <f>'Data Sheet'!D131</f>
        <v>5483</v>
      </c>
      <c r="G16" s="215">
        <f>'Data Sheet'!E131</f>
        <v>5991</v>
      </c>
      <c r="H16" s="215">
        <f>'Data Sheet'!F131</f>
        <v>7404</v>
      </c>
      <c r="I16" s="215">
        <f>'Data Sheet'!G131</f>
        <v>8301</v>
      </c>
      <c r="J16" s="215">
        <f>'Data Sheet'!H131</f>
        <v>7050</v>
      </c>
      <c r="K16" s="215">
        <f>'Data Sheet'!I131</f>
        <v>7666</v>
      </c>
      <c r="L16" s="215">
        <f>'Data Sheet'!J131</f>
        <v>8429</v>
      </c>
      <c r="M16" s="215">
        <f>'Data Sheet'!K131</f>
        <v>10032</v>
      </c>
      <c r="N16" s="215">
        <f>'Data Sheet'!L131</f>
        <v>10877</v>
      </c>
      <c r="O16" s="215">
        <f>'Data Sheet'!M131</f>
        <v>11249</v>
      </c>
    </row>
    <row r="17" spans="1:15" x14ac:dyDescent="0.25">
      <c r="B17" s="10" t="s">
        <v>322</v>
      </c>
      <c r="C17" s="10"/>
      <c r="D17" s="218">
        <f>SUM(D14:D16)</f>
        <v>13166</v>
      </c>
      <c r="E17" s="218">
        <f t="shared" ref="E17:M17" si="2">SUM(E14:E16)</f>
        <v>13722</v>
      </c>
      <c r="F17" s="218">
        <f t="shared" si="2"/>
        <v>8627</v>
      </c>
      <c r="G17" s="218">
        <f t="shared" si="2"/>
        <v>9145</v>
      </c>
      <c r="H17" s="218">
        <f t="shared" si="2"/>
        <v>11361</v>
      </c>
      <c r="I17" s="218">
        <f t="shared" si="2"/>
        <v>12241</v>
      </c>
      <c r="J17" s="218">
        <f t="shared" si="2"/>
        <v>11383</v>
      </c>
      <c r="K17" s="218">
        <f t="shared" si="2"/>
        <v>12796</v>
      </c>
      <c r="L17" s="218">
        <f t="shared" si="2"/>
        <v>14124</v>
      </c>
      <c r="M17" s="218">
        <f t="shared" si="2"/>
        <v>15986</v>
      </c>
      <c r="N17" s="218">
        <f t="shared" ref="N17:O17" si="3">SUM(N14:N16)</f>
        <v>16561</v>
      </c>
      <c r="O17" s="218">
        <f t="shared" si="3"/>
        <v>17320</v>
      </c>
    </row>
    <row r="19" spans="1:15" ht="15.75" thickBot="1" x14ac:dyDescent="0.3">
      <c r="A19" t="s">
        <v>0</v>
      </c>
      <c r="B19" s="219" t="s">
        <v>323</v>
      </c>
      <c r="C19" s="219"/>
      <c r="D19" s="220">
        <f>D11-D17</f>
        <v>869</v>
      </c>
      <c r="E19" s="228">
        <f t="shared" ref="E19:M19" si="4">E11-E17</f>
        <v>-9199</v>
      </c>
      <c r="F19" s="228">
        <f t="shared" si="4"/>
        <v>-1516</v>
      </c>
      <c r="G19" s="228">
        <f t="shared" si="4"/>
        <v>-1535</v>
      </c>
      <c r="H19" s="228">
        <f t="shared" si="4"/>
        <v>-1601</v>
      </c>
      <c r="I19" s="228">
        <f t="shared" si="4"/>
        <v>-1068</v>
      </c>
      <c r="J19" s="228">
        <f t="shared" si="4"/>
        <v>-3863</v>
      </c>
      <c r="K19" s="228">
        <f t="shared" si="4"/>
        <v>-6272</v>
      </c>
      <c r="L19" s="228">
        <f t="shared" si="4"/>
        <v>-4745</v>
      </c>
      <c r="M19" s="228">
        <f t="shared" si="4"/>
        <v>-5076</v>
      </c>
      <c r="N19" s="228">
        <f t="shared" ref="N19:O19" si="5">N11-N17</f>
        <v>-7973</v>
      </c>
      <c r="O19" s="228">
        <f t="shared" si="5"/>
        <v>-6732</v>
      </c>
    </row>
    <row r="20" spans="1:15" ht="15.75" thickTop="1" x14ac:dyDescent="0.25"/>
    <row r="21" spans="1:15" x14ac:dyDescent="0.25">
      <c r="A21" t="s">
        <v>0</v>
      </c>
      <c r="B21" s="1" t="s">
        <v>324</v>
      </c>
      <c r="D21" s="72"/>
      <c r="E21" s="72"/>
      <c r="F21" s="72"/>
      <c r="G21" s="72"/>
      <c r="H21" s="72"/>
      <c r="I21" s="72"/>
      <c r="J21" s="72"/>
      <c r="K21" s="72"/>
      <c r="L21" s="72"/>
      <c r="M21" s="72"/>
    </row>
    <row r="22" spans="1:15" x14ac:dyDescent="0.25">
      <c r="B22" s="37" t="str">
        <f>'Data Sheet'!A135</f>
        <v>Land</v>
      </c>
      <c r="C22" s="37"/>
      <c r="D22" s="215">
        <f>'Data Sheet'!B135</f>
        <v>1564</v>
      </c>
      <c r="E22" s="215">
        <f>'Data Sheet'!C135</f>
        <v>1717</v>
      </c>
      <c r="F22" s="215">
        <f>'Data Sheet'!D135</f>
        <v>1615</v>
      </c>
      <c r="G22" s="215">
        <f>'Data Sheet'!E135</f>
        <v>1673</v>
      </c>
      <c r="H22" s="215">
        <f>'Data Sheet'!F135</f>
        <v>1685</v>
      </c>
      <c r="I22" s="215">
        <f>'Data Sheet'!G135</f>
        <v>2021</v>
      </c>
      <c r="J22" s="215">
        <f>'Data Sheet'!H135</f>
        <v>2797</v>
      </c>
      <c r="K22" s="215">
        <f>'Data Sheet'!I135</f>
        <v>2889</v>
      </c>
      <c r="L22" s="215">
        <f>'Data Sheet'!J135</f>
        <v>2829</v>
      </c>
      <c r="M22" s="215">
        <f>'Data Sheet'!K135</f>
        <v>2830</v>
      </c>
      <c r="N22" s="215">
        <f>'Data Sheet'!L135</f>
        <v>2865</v>
      </c>
      <c r="O22" s="215">
        <f>'Data Sheet'!M135</f>
        <v>1588</v>
      </c>
    </row>
    <row r="23" spans="1:15" x14ac:dyDescent="0.25">
      <c r="B23" s="37" t="str">
        <f>'Data Sheet'!A136</f>
        <v>Building</v>
      </c>
      <c r="C23" s="37"/>
      <c r="D23" s="215">
        <f>'Data Sheet'!B136</f>
        <v>4110</v>
      </c>
      <c r="E23" s="215">
        <f>'Data Sheet'!C136</f>
        <v>4860</v>
      </c>
      <c r="F23" s="215">
        <f>'Data Sheet'!D136</f>
        <v>4219</v>
      </c>
      <c r="G23" s="215">
        <f>'Data Sheet'!E136</f>
        <v>4716</v>
      </c>
      <c r="H23" s="215">
        <f>'Data Sheet'!F136</f>
        <v>5331</v>
      </c>
      <c r="I23" s="215">
        <f>'Data Sheet'!G136</f>
        <v>6996</v>
      </c>
      <c r="J23" s="215">
        <f>'Data Sheet'!H136</f>
        <v>8161</v>
      </c>
      <c r="K23" s="215">
        <f>'Data Sheet'!I136</f>
        <v>8387</v>
      </c>
      <c r="L23" s="215">
        <f>'Data Sheet'!J136</f>
        <v>9100</v>
      </c>
      <c r="M23" s="215">
        <f>'Data Sheet'!K136</f>
        <v>9789</v>
      </c>
      <c r="N23" s="215">
        <f>'Data Sheet'!L136</f>
        <v>10944</v>
      </c>
      <c r="O23" s="215">
        <f>'Data Sheet'!M136</f>
        <v>7550</v>
      </c>
    </row>
    <row r="24" spans="1:15" x14ac:dyDescent="0.25">
      <c r="B24" s="37" t="str">
        <f>'Data Sheet'!A137</f>
        <v>Plant Machinery</v>
      </c>
      <c r="C24" s="37"/>
      <c r="D24" s="215">
        <f>'Data Sheet'!B137</f>
        <v>12633</v>
      </c>
      <c r="E24" s="215">
        <f>'Data Sheet'!C137</f>
        <v>14667</v>
      </c>
      <c r="F24" s="215">
        <f>'Data Sheet'!D137</f>
        <v>9112</v>
      </c>
      <c r="G24" s="215">
        <f>'Data Sheet'!E137</f>
        <v>10384</v>
      </c>
      <c r="H24" s="215">
        <f>'Data Sheet'!F137</f>
        <v>11453</v>
      </c>
      <c r="I24" s="215">
        <f>'Data Sheet'!G137</f>
        <v>13316</v>
      </c>
      <c r="J24" s="215">
        <f>'Data Sheet'!H137</f>
        <v>14625</v>
      </c>
      <c r="K24" s="215">
        <f>'Data Sheet'!I137</f>
        <v>15307</v>
      </c>
      <c r="L24" s="215">
        <f>'Data Sheet'!J137</f>
        <v>16912</v>
      </c>
      <c r="M24" s="215">
        <f>'Data Sheet'!K137</f>
        <v>18480</v>
      </c>
      <c r="N24" s="215">
        <f>'Data Sheet'!L137</f>
        <v>20718</v>
      </c>
      <c r="O24" s="215">
        <f>'Data Sheet'!M137</f>
        <v>19423</v>
      </c>
    </row>
    <row r="25" spans="1:15" x14ac:dyDescent="0.25">
      <c r="B25" s="37" t="str">
        <f>'Data Sheet'!A138</f>
        <v>Equipments</v>
      </c>
      <c r="C25" s="37"/>
      <c r="D25" s="215">
        <f>'Data Sheet'!B138</f>
        <v>34</v>
      </c>
      <c r="E25" s="215">
        <f>'Data Sheet'!C138</f>
        <v>46</v>
      </c>
      <c r="F25" s="215">
        <f>'Data Sheet'!D138</f>
        <v>27</v>
      </c>
      <c r="G25" s="215">
        <f>'Data Sheet'!E138</f>
        <v>32</v>
      </c>
      <c r="H25" s="215">
        <f>'Data Sheet'!F138</f>
        <v>32</v>
      </c>
      <c r="I25" s="215">
        <f>'Data Sheet'!G138</f>
        <v>34</v>
      </c>
      <c r="J25" s="215">
        <f>'Data Sheet'!H138</f>
        <v>40</v>
      </c>
      <c r="K25" s="215">
        <f>'Data Sheet'!I138</f>
        <v>41</v>
      </c>
      <c r="L25" s="215">
        <f>'Data Sheet'!J138</f>
        <v>44</v>
      </c>
      <c r="M25" s="215">
        <f>'Data Sheet'!K138</f>
        <v>44</v>
      </c>
      <c r="N25" s="215">
        <f>'Data Sheet'!L138</f>
        <v>53</v>
      </c>
      <c r="O25" s="215">
        <f>'Data Sheet'!M138</f>
        <v>63</v>
      </c>
    </row>
    <row r="26" spans="1:15" x14ac:dyDescent="0.25">
      <c r="B26" s="37" t="str">
        <f>'Data Sheet'!A139</f>
        <v>Furniture n fittings</v>
      </c>
      <c r="C26" s="37"/>
      <c r="D26" s="215">
        <f>'Data Sheet'!B139</f>
        <v>729</v>
      </c>
      <c r="E26" s="215">
        <f>'Data Sheet'!C139</f>
        <v>805</v>
      </c>
      <c r="F26" s="215">
        <f>'Data Sheet'!D139</f>
        <v>413</v>
      </c>
      <c r="G26" s="215">
        <f>'Data Sheet'!E139</f>
        <v>459</v>
      </c>
      <c r="H26" s="215">
        <f>'Data Sheet'!F139</f>
        <v>497</v>
      </c>
      <c r="I26" s="215">
        <f>'Data Sheet'!G139</f>
        <v>644</v>
      </c>
      <c r="J26" s="215">
        <f>'Data Sheet'!H139</f>
        <v>810</v>
      </c>
      <c r="K26" s="215">
        <f>'Data Sheet'!I139</f>
        <v>833</v>
      </c>
      <c r="L26" s="215">
        <f>'Data Sheet'!J139</f>
        <v>907</v>
      </c>
      <c r="M26" s="215">
        <f>'Data Sheet'!K139</f>
        <v>1000</v>
      </c>
      <c r="N26" s="215">
        <f>'Data Sheet'!L139</f>
        <v>1068</v>
      </c>
      <c r="O26" s="215">
        <f>'Data Sheet'!M139</f>
        <v>282</v>
      </c>
    </row>
    <row r="27" spans="1:15" x14ac:dyDescent="0.25">
      <c r="B27" s="37" t="str">
        <f>'Data Sheet'!A140</f>
        <v>Railway sidings</v>
      </c>
      <c r="C27" s="37"/>
      <c r="D27" s="215">
        <f>'Data Sheet'!B140</f>
        <v>2</v>
      </c>
      <c r="E27" s="215">
        <f>'Data Sheet'!C140</f>
        <v>2</v>
      </c>
      <c r="F27" s="215">
        <f>'Data Sheet'!D140</f>
        <v>2</v>
      </c>
      <c r="G27" s="215">
        <f>'Data Sheet'!E140</f>
        <v>2</v>
      </c>
      <c r="H27" s="215">
        <f>'Data Sheet'!F140</f>
        <v>2</v>
      </c>
      <c r="I27" s="215">
        <f>'Data Sheet'!G140</f>
        <v>2</v>
      </c>
      <c r="J27" s="215">
        <f>'Data Sheet'!H140</f>
        <v>2</v>
      </c>
      <c r="K27" s="215">
        <f>'Data Sheet'!I140</f>
        <v>2</v>
      </c>
      <c r="L27" s="215">
        <f>'Data Sheet'!J140</f>
        <v>2</v>
      </c>
      <c r="M27" s="215">
        <f>'Data Sheet'!K140</f>
        <v>2</v>
      </c>
      <c r="N27" s="215">
        <f>'Data Sheet'!L140</f>
        <v>2</v>
      </c>
      <c r="O27" s="215">
        <f>'Data Sheet'!M140</f>
        <v>2</v>
      </c>
    </row>
    <row r="28" spans="1:15" x14ac:dyDescent="0.25">
      <c r="B28" s="37" t="str">
        <f>'Data Sheet'!A141</f>
        <v>Vehicles</v>
      </c>
      <c r="C28" s="37"/>
      <c r="D28" s="215">
        <f>'Data Sheet'!B141</f>
        <v>120</v>
      </c>
      <c r="E28" s="215">
        <f>'Data Sheet'!C141</f>
        <v>128</v>
      </c>
      <c r="F28" s="215">
        <f>'Data Sheet'!D141</f>
        <v>107</v>
      </c>
      <c r="G28" s="215">
        <f>'Data Sheet'!E141</f>
        <v>128</v>
      </c>
      <c r="H28" s="215">
        <f>'Data Sheet'!F141</f>
        <v>140</v>
      </c>
      <c r="I28" s="215">
        <f>'Data Sheet'!G141</f>
        <v>161</v>
      </c>
      <c r="J28" s="215">
        <f>'Data Sheet'!H141</f>
        <v>184</v>
      </c>
      <c r="K28" s="215">
        <f>'Data Sheet'!I141</f>
        <v>180</v>
      </c>
      <c r="L28" s="215">
        <f>'Data Sheet'!J141</f>
        <v>179</v>
      </c>
      <c r="M28" s="215">
        <f>'Data Sheet'!K141</f>
        <v>189</v>
      </c>
      <c r="N28" s="215">
        <f>'Data Sheet'!L141</f>
        <v>192</v>
      </c>
      <c r="O28" s="215">
        <f>'Data Sheet'!M141</f>
        <v>141</v>
      </c>
    </row>
    <row r="29" spans="1:15" x14ac:dyDescent="0.25">
      <c r="B29" s="37" t="str">
        <f>'Data Sheet'!A142</f>
        <v>Intangible Assets</v>
      </c>
      <c r="C29" s="37"/>
      <c r="D29" s="215">
        <f>'Data Sheet'!B142</f>
        <v>398</v>
      </c>
      <c r="E29" s="215">
        <f>'Data Sheet'!C142</f>
        <v>678</v>
      </c>
      <c r="F29" s="215">
        <f>'Data Sheet'!D142</f>
        <v>563</v>
      </c>
      <c r="G29" s="215">
        <f>'Data Sheet'!E142</f>
        <v>563</v>
      </c>
      <c r="H29" s="215">
        <f>'Data Sheet'!F142</f>
        <v>570</v>
      </c>
      <c r="I29" s="215">
        <f>'Data Sheet'!G142</f>
        <v>684</v>
      </c>
      <c r="J29" s="215">
        <f>'Data Sheet'!H142</f>
        <v>684</v>
      </c>
      <c r="K29" s="215">
        <f>'Data Sheet'!I142</f>
        <v>2734</v>
      </c>
      <c r="L29" s="215">
        <f>'Data Sheet'!J142</f>
        <v>2744</v>
      </c>
      <c r="M29" s="215">
        <f>'Data Sheet'!K142</f>
        <v>3490</v>
      </c>
      <c r="N29" s="215">
        <f>'Data Sheet'!L142</f>
        <v>3505</v>
      </c>
      <c r="O29" s="215">
        <f>'Data Sheet'!M142</f>
        <v>3622</v>
      </c>
    </row>
    <row r="30" spans="1:15" x14ac:dyDescent="0.25">
      <c r="B30" s="37" t="str">
        <f>'Data Sheet'!A143</f>
        <v>Other fixed assets</v>
      </c>
      <c r="C30" s="37"/>
      <c r="D30" s="215">
        <f>'Data Sheet'!B143</f>
        <v>411</v>
      </c>
      <c r="E30" s="215">
        <f>'Data Sheet'!C143</f>
        <v>458</v>
      </c>
      <c r="F30" s="215">
        <f>'Data Sheet'!D143</f>
        <v>117</v>
      </c>
      <c r="G30" s="215">
        <f>'Data Sheet'!E143</f>
        <v>138</v>
      </c>
      <c r="H30" s="215">
        <f>'Data Sheet'!F143</f>
        <v>212</v>
      </c>
      <c r="I30" s="215">
        <f>'Data Sheet'!G143</f>
        <v>234</v>
      </c>
      <c r="J30" s="215">
        <f>'Data Sheet'!H143</f>
        <v>663</v>
      </c>
      <c r="K30" s="215">
        <f>'Data Sheet'!I143</f>
        <v>716</v>
      </c>
      <c r="L30" s="215">
        <f>'Data Sheet'!J143</f>
        <v>719</v>
      </c>
      <c r="M30" s="215">
        <f>'Data Sheet'!K143</f>
        <v>786</v>
      </c>
      <c r="N30" s="215">
        <f>'Data Sheet'!L143</f>
        <v>841</v>
      </c>
      <c r="O30" s="215">
        <f>'Data Sheet'!M143</f>
        <v>967</v>
      </c>
    </row>
    <row r="31" spans="1:15" x14ac:dyDescent="0.25"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</row>
    <row r="32" spans="1:15" x14ac:dyDescent="0.25">
      <c r="B32" s="110" t="s">
        <v>313</v>
      </c>
      <c r="C32" s="110"/>
      <c r="D32" s="222">
        <f>'Data Sheet'!B144</f>
        <v>20000</v>
      </c>
      <c r="E32" s="222">
        <f>'Data Sheet'!C144</f>
        <v>23361</v>
      </c>
      <c r="F32" s="222">
        <f>'Data Sheet'!D144</f>
        <v>16176</v>
      </c>
      <c r="G32" s="222">
        <f>'Data Sheet'!E144</f>
        <v>18094</v>
      </c>
      <c r="H32" s="222">
        <f>'Data Sheet'!F144</f>
        <v>19920</v>
      </c>
      <c r="I32" s="222">
        <f>'Data Sheet'!G144</f>
        <v>24090</v>
      </c>
      <c r="J32" s="222">
        <f>'Data Sheet'!H144</f>
        <v>27965</v>
      </c>
      <c r="K32" s="222">
        <f>'Data Sheet'!I144</f>
        <v>31088</v>
      </c>
      <c r="L32" s="222">
        <f>'Data Sheet'!J144</f>
        <v>33435</v>
      </c>
      <c r="M32" s="222">
        <f>'Data Sheet'!K144</f>
        <v>36608</v>
      </c>
      <c r="N32" s="222">
        <f>'Data Sheet'!L144</f>
        <v>40189</v>
      </c>
      <c r="O32" s="222">
        <f>'Data Sheet'!M144</f>
        <v>33638</v>
      </c>
    </row>
    <row r="33" spans="1:15" x14ac:dyDescent="0.25">
      <c r="B33" t="s">
        <v>325</v>
      </c>
      <c r="D33" s="229">
        <f>-'Data Sheet'!B145</f>
        <v>-7073</v>
      </c>
      <c r="E33" s="229">
        <f>-'Data Sheet'!C145</f>
        <v>-8057</v>
      </c>
      <c r="F33" s="229">
        <f>-'Data Sheet'!D145</f>
        <v>-1069</v>
      </c>
      <c r="G33" s="229">
        <f>-'Data Sheet'!E145</f>
        <v>-2201</v>
      </c>
      <c r="H33" s="229">
        <f>-'Data Sheet'!F145</f>
        <v>-3396</v>
      </c>
      <c r="I33" s="229">
        <f>-'Data Sheet'!G145</f>
        <v>-4716</v>
      </c>
      <c r="J33" s="229">
        <f>-'Data Sheet'!H145</f>
        <v>-6252</v>
      </c>
      <c r="K33" s="229">
        <f>-'Data Sheet'!I145</f>
        <v>-7790</v>
      </c>
      <c r="L33" s="229">
        <f>-'Data Sheet'!J145</f>
        <v>-9204</v>
      </c>
      <c r="M33" s="229">
        <f>-'Data Sheet'!K145</f>
        <v>-10757</v>
      </c>
      <c r="N33" s="229">
        <f>-'Data Sheet'!L145</f>
        <v>-12368</v>
      </c>
      <c r="O33" s="229">
        <f>-'Data Sheet'!M145</f>
        <v>-11683</v>
      </c>
    </row>
    <row r="34" spans="1:15" ht="15.75" thickBot="1" x14ac:dyDescent="0.3">
      <c r="A34" t="s">
        <v>0</v>
      </c>
      <c r="B34" s="219" t="s">
        <v>326</v>
      </c>
      <c r="C34" s="219"/>
      <c r="D34" s="220">
        <f t="shared" ref="D34:O34" si="6">SUM(D32:D33)</f>
        <v>12927</v>
      </c>
      <c r="E34" s="220">
        <f t="shared" si="6"/>
        <v>15304</v>
      </c>
      <c r="F34" s="220">
        <f t="shared" si="6"/>
        <v>15107</v>
      </c>
      <c r="G34" s="220">
        <f t="shared" si="6"/>
        <v>15893</v>
      </c>
      <c r="H34" s="220">
        <f t="shared" si="6"/>
        <v>16524</v>
      </c>
      <c r="I34" s="220">
        <f t="shared" si="6"/>
        <v>19374</v>
      </c>
      <c r="J34" s="220">
        <f t="shared" si="6"/>
        <v>21713</v>
      </c>
      <c r="K34" s="220">
        <f t="shared" si="6"/>
        <v>23298</v>
      </c>
      <c r="L34" s="220">
        <f t="shared" si="6"/>
        <v>24231</v>
      </c>
      <c r="M34" s="220">
        <f t="shared" si="6"/>
        <v>25851</v>
      </c>
      <c r="N34" s="220">
        <f t="shared" si="6"/>
        <v>27821</v>
      </c>
      <c r="O34" s="220">
        <f t="shared" si="6"/>
        <v>21955</v>
      </c>
    </row>
    <row r="35" spans="1:15" ht="15.75" thickTop="1" x14ac:dyDescent="0.25"/>
    <row r="36" spans="1:15" x14ac:dyDescent="0.25">
      <c r="A36" t="s">
        <v>0</v>
      </c>
      <c r="B36" s="1" t="s">
        <v>327</v>
      </c>
      <c r="C36" s="1"/>
      <c r="D36" s="1">
        <f t="shared" ref="D36:O36" si="7">D34+D19</f>
        <v>13796</v>
      </c>
      <c r="E36" s="1">
        <f t="shared" si="7"/>
        <v>6105</v>
      </c>
      <c r="F36" s="1">
        <f t="shared" si="7"/>
        <v>13591</v>
      </c>
      <c r="G36" s="1">
        <f t="shared" si="7"/>
        <v>14358</v>
      </c>
      <c r="H36" s="1">
        <f t="shared" si="7"/>
        <v>14923</v>
      </c>
      <c r="I36" s="1">
        <f t="shared" si="7"/>
        <v>18306</v>
      </c>
      <c r="J36" s="1">
        <f t="shared" si="7"/>
        <v>17850</v>
      </c>
      <c r="K36" s="1">
        <f t="shared" si="7"/>
        <v>17026</v>
      </c>
      <c r="L36" s="1">
        <f t="shared" si="7"/>
        <v>19486</v>
      </c>
      <c r="M36" s="1">
        <f t="shared" si="7"/>
        <v>20775</v>
      </c>
      <c r="N36" s="1">
        <f t="shared" si="7"/>
        <v>19848</v>
      </c>
      <c r="O36" s="1">
        <f t="shared" si="7"/>
        <v>15223</v>
      </c>
    </row>
    <row r="37" spans="1:15" x14ac:dyDescent="0.25">
      <c r="A37" s="71"/>
      <c r="B37" t="s">
        <v>328</v>
      </c>
      <c r="D37" s="23">
        <f>12662</f>
        <v>12662</v>
      </c>
      <c r="E37" s="23">
        <f>14055</f>
        <v>14055</v>
      </c>
      <c r="F37">
        <f>('Financials Statements'!C27+'Financials Statements'!C21)</f>
        <v>13454.089999999998</v>
      </c>
      <c r="G37">
        <f>('Financials Statements'!D27+'Financials Statements'!D21)</f>
        <v>14316.720000000001</v>
      </c>
      <c r="H37">
        <f>('Financials Statements'!E27+'Financials Statements'!E21)</f>
        <v>15284.310000000003</v>
      </c>
      <c r="I37">
        <f>('Financials Statements'!F27+'Financials Statements'!F21)</f>
        <v>17140.780000000002</v>
      </c>
      <c r="J37">
        <f>('Financials Statements'!G27+'Financials Statements'!G21)</f>
        <v>17698.63</v>
      </c>
      <c r="K37">
        <f>('Financials Statements'!H27+'Financials Statements'!H21)</f>
        <v>15419.189999999999</v>
      </c>
      <c r="L37">
        <f>('Financials Statements'!I27+'Financials Statements'!I21)</f>
        <v>18890.739999999994</v>
      </c>
      <c r="M37">
        <f>('Financials Statements'!J27+'Financials Statements'!J21)</f>
        <v>23895.249999999996</v>
      </c>
      <c r="N37">
        <f>('Financials Statements'!K27+'Financials Statements'!K21)</f>
        <v>23669.48</v>
      </c>
      <c r="O37">
        <f>('Financials Statements'!L27+'Financials Statements'!L21)</f>
        <v>24193.129999999997</v>
      </c>
    </row>
    <row r="39" spans="1:15" ht="15.75" thickBot="1" x14ac:dyDescent="0.3">
      <c r="A39" t="s">
        <v>0</v>
      </c>
      <c r="B39" s="219" t="s">
        <v>329</v>
      </c>
      <c r="C39" s="219"/>
      <c r="D39" s="223">
        <f>D37/D36</f>
        <v>0.91780226152507971</v>
      </c>
      <c r="E39" s="223">
        <f t="shared" ref="E39:O39" si="8">E37/E36</f>
        <v>2.302211302211302</v>
      </c>
      <c r="F39" s="223">
        <f t="shared" si="8"/>
        <v>0.98992642189684332</v>
      </c>
      <c r="G39" s="223">
        <f t="shared" si="8"/>
        <v>0.99712494776431271</v>
      </c>
      <c r="H39" s="223">
        <f t="shared" si="8"/>
        <v>1.0242116196475242</v>
      </c>
      <c r="I39" s="223">
        <f t="shared" si="8"/>
        <v>0.93634764558068406</v>
      </c>
      <c r="J39" s="223">
        <f t="shared" si="8"/>
        <v>0.99151988795518209</v>
      </c>
      <c r="K39" s="223">
        <f t="shared" si="8"/>
        <v>0.90562610125690113</v>
      </c>
      <c r="L39" s="223">
        <f t="shared" si="8"/>
        <v>0.96945191419480625</v>
      </c>
      <c r="M39" s="223">
        <f t="shared" si="8"/>
        <v>1.1501925391095065</v>
      </c>
      <c r="N39" s="223">
        <f t="shared" si="8"/>
        <v>1.1925372833534864</v>
      </c>
      <c r="O39" s="223">
        <f t="shared" si="8"/>
        <v>1.5892485055508112</v>
      </c>
    </row>
    <row r="40" spans="1:15" ht="15.75" thickTop="1" x14ac:dyDescent="0.25"/>
    <row r="41" spans="1:15" x14ac:dyDescent="0.25">
      <c r="B41" s="216" t="s">
        <v>330</v>
      </c>
      <c r="C41" s="216"/>
      <c r="D41" s="217">
        <f>'Data Sheet'!B119</f>
        <v>41729</v>
      </c>
      <c r="E41" s="217">
        <f>'Data Sheet'!C119</f>
        <v>42094</v>
      </c>
      <c r="F41" s="217">
        <f>'Data Sheet'!D119</f>
        <v>42459</v>
      </c>
      <c r="G41" s="217">
        <f>'Data Sheet'!E119</f>
        <v>42824</v>
      </c>
      <c r="H41" s="217">
        <f>'Data Sheet'!F119</f>
        <v>43189</v>
      </c>
      <c r="I41" s="217">
        <f>'Data Sheet'!G119</f>
        <v>43554</v>
      </c>
      <c r="J41" s="217">
        <f>'Data Sheet'!H119</f>
        <v>43919</v>
      </c>
      <c r="K41" s="217">
        <f>'Data Sheet'!I119</f>
        <v>44284</v>
      </c>
      <c r="L41" s="217">
        <f>'Data Sheet'!J119</f>
        <v>44649</v>
      </c>
      <c r="M41" s="217">
        <f>'Data Sheet'!K119</f>
        <v>45014</v>
      </c>
      <c r="N41" s="217">
        <f>'Data Sheet'!L119</f>
        <v>45379</v>
      </c>
      <c r="O41" s="217">
        <f>'Data Sheet'!M119</f>
        <v>45744</v>
      </c>
    </row>
    <row r="43" spans="1:15" x14ac:dyDescent="0.25">
      <c r="B43" s="37" t="s">
        <v>331</v>
      </c>
      <c r="C43" s="37"/>
      <c r="D43" s="37">
        <v>2414</v>
      </c>
      <c r="E43" s="215">
        <v>1834</v>
      </c>
      <c r="F43" s="215">
        <f>-SUM('Data Sheet'!B92:B93)</f>
        <v>2340</v>
      </c>
      <c r="G43" s="215">
        <f>-SUM('Data Sheet'!C92:C93)</f>
        <v>3072</v>
      </c>
      <c r="H43" s="215">
        <f>-SUM('Data Sheet'!D92:D93)</f>
        <v>2798</v>
      </c>
      <c r="I43" s="215">
        <f>-SUM('Data Sheet'!E92:E93)</f>
        <v>3141</v>
      </c>
      <c r="J43" s="215">
        <f>-SUM('Data Sheet'!F92:F93)</f>
        <v>2414</v>
      </c>
      <c r="K43" s="215">
        <f>-SUM('Data Sheet'!G92:G93)</f>
        <v>1834</v>
      </c>
      <c r="L43" s="215">
        <f>-SUM('Data Sheet'!H92:H93)</f>
        <v>2009</v>
      </c>
      <c r="M43" s="215">
        <f>-SUM('Data Sheet'!I92:I93)</f>
        <v>2694</v>
      </c>
      <c r="N43" s="215">
        <f>-SUM('Data Sheet'!J92:J93)</f>
        <v>3456</v>
      </c>
      <c r="O43" s="215">
        <f>-SUM('Data Sheet'!K92:K93)</f>
        <v>2104</v>
      </c>
    </row>
    <row r="44" spans="1:15" x14ac:dyDescent="0.25">
      <c r="B44" s="109" t="s">
        <v>332</v>
      </c>
      <c r="C44" s="109"/>
      <c r="D44" s="109"/>
      <c r="E44" s="221">
        <f>D19-E19</f>
        <v>10068</v>
      </c>
      <c r="F44" s="230">
        <f t="shared" ref="F44:O44" si="9">E19-F19</f>
        <v>-7683</v>
      </c>
      <c r="G44" s="221">
        <f t="shared" si="9"/>
        <v>19</v>
      </c>
      <c r="H44" s="221">
        <f t="shared" si="9"/>
        <v>66</v>
      </c>
      <c r="I44" s="230">
        <f t="shared" si="9"/>
        <v>-533</v>
      </c>
      <c r="J44" s="221">
        <f t="shared" si="9"/>
        <v>2795</v>
      </c>
      <c r="K44" s="221">
        <f t="shared" si="9"/>
        <v>2409</v>
      </c>
      <c r="L44" s="230">
        <f t="shared" si="9"/>
        <v>-1527</v>
      </c>
      <c r="M44" s="221">
        <f t="shared" si="9"/>
        <v>331</v>
      </c>
      <c r="N44" s="221">
        <f t="shared" si="9"/>
        <v>2897</v>
      </c>
      <c r="O44" s="230">
        <f t="shared" si="9"/>
        <v>-1241</v>
      </c>
    </row>
    <row r="46" spans="1:15" x14ac:dyDescent="0.25">
      <c r="B46" s="37" t="s">
        <v>328</v>
      </c>
      <c r="C46" s="37"/>
      <c r="D46" s="226">
        <f>D37</f>
        <v>12662</v>
      </c>
      <c r="E46" s="226">
        <f t="shared" ref="E46:O46" si="10">E37</f>
        <v>14055</v>
      </c>
      <c r="F46" s="226">
        <f t="shared" si="10"/>
        <v>13454.089999999998</v>
      </c>
      <c r="G46" s="226">
        <f t="shared" si="10"/>
        <v>14316.720000000001</v>
      </c>
      <c r="H46" s="226">
        <f t="shared" si="10"/>
        <v>15284.310000000003</v>
      </c>
      <c r="I46" s="226">
        <f t="shared" si="10"/>
        <v>17140.780000000002</v>
      </c>
      <c r="J46" s="226">
        <f t="shared" si="10"/>
        <v>17698.63</v>
      </c>
      <c r="K46" s="226">
        <f t="shared" si="10"/>
        <v>15419.189999999999</v>
      </c>
      <c r="L46" s="226">
        <f t="shared" si="10"/>
        <v>18890.739999999994</v>
      </c>
      <c r="M46" s="226">
        <f t="shared" si="10"/>
        <v>23895.249999999996</v>
      </c>
      <c r="N46" s="226">
        <f t="shared" si="10"/>
        <v>23669.48</v>
      </c>
      <c r="O46" s="226">
        <f t="shared" si="10"/>
        <v>24193.129999999997</v>
      </c>
    </row>
    <row r="47" spans="1:15" x14ac:dyDescent="0.25">
      <c r="B47" s="37" t="s">
        <v>333</v>
      </c>
      <c r="C47" s="37"/>
      <c r="D47" s="224">
        <v>0.25</v>
      </c>
      <c r="E47" s="224">
        <v>0.25</v>
      </c>
      <c r="F47" s="224">
        <v>0.25</v>
      </c>
      <c r="G47" s="224">
        <v>0.25</v>
      </c>
      <c r="H47" s="224">
        <v>0.25</v>
      </c>
      <c r="I47" s="224">
        <v>0.25</v>
      </c>
      <c r="J47" s="224">
        <v>0.25</v>
      </c>
      <c r="K47" s="224">
        <v>0.25</v>
      </c>
      <c r="L47" s="224">
        <v>0.25</v>
      </c>
      <c r="M47" s="224">
        <v>0.25</v>
      </c>
      <c r="N47" s="224">
        <v>0.25</v>
      </c>
      <c r="O47" s="224">
        <v>0.25</v>
      </c>
    </row>
    <row r="48" spans="1:15" x14ac:dyDescent="0.25">
      <c r="B48" s="109" t="s">
        <v>336</v>
      </c>
      <c r="C48" s="109"/>
      <c r="D48" s="109">
        <f>D46*(1-D47)</f>
        <v>9496.5</v>
      </c>
      <c r="E48" s="109">
        <f t="shared" ref="E48:O48" si="11">E46*(1-E47)</f>
        <v>10541.25</v>
      </c>
      <c r="F48" s="109">
        <f t="shared" si="11"/>
        <v>10090.567499999999</v>
      </c>
      <c r="G48" s="109">
        <f t="shared" si="11"/>
        <v>10737.54</v>
      </c>
      <c r="H48" s="109">
        <f t="shared" si="11"/>
        <v>11463.232500000002</v>
      </c>
      <c r="I48" s="109">
        <f t="shared" si="11"/>
        <v>12855.585000000003</v>
      </c>
      <c r="J48" s="109">
        <f t="shared" si="11"/>
        <v>13273.9725</v>
      </c>
      <c r="K48" s="109">
        <f t="shared" si="11"/>
        <v>11564.392499999998</v>
      </c>
      <c r="L48" s="109">
        <f t="shared" si="11"/>
        <v>14168.054999999997</v>
      </c>
      <c r="M48" s="109">
        <f t="shared" si="11"/>
        <v>17921.437499999996</v>
      </c>
      <c r="N48" s="109">
        <f t="shared" si="11"/>
        <v>17752.11</v>
      </c>
      <c r="O48" s="109">
        <f t="shared" si="11"/>
        <v>18144.847499999996</v>
      </c>
    </row>
    <row r="50" spans="2:15" x14ac:dyDescent="0.25">
      <c r="B50" s="37" t="s">
        <v>334</v>
      </c>
      <c r="C50" s="37"/>
      <c r="D50" s="37"/>
      <c r="E50" s="215">
        <f>SUM(E43:E44)</f>
        <v>11902</v>
      </c>
      <c r="F50" s="215">
        <f t="shared" ref="F50:O50" si="12">SUM(F43:F44)</f>
        <v>-5343</v>
      </c>
      <c r="G50" s="215">
        <f t="shared" si="12"/>
        <v>3091</v>
      </c>
      <c r="H50" s="215">
        <f t="shared" si="12"/>
        <v>2864</v>
      </c>
      <c r="I50" s="215">
        <f t="shared" si="12"/>
        <v>2608</v>
      </c>
      <c r="J50" s="215">
        <f t="shared" si="12"/>
        <v>5209</v>
      </c>
      <c r="K50" s="215">
        <f t="shared" si="12"/>
        <v>4243</v>
      </c>
      <c r="L50" s="215">
        <f t="shared" si="12"/>
        <v>482</v>
      </c>
      <c r="M50" s="215">
        <f t="shared" si="12"/>
        <v>3025</v>
      </c>
      <c r="N50" s="215">
        <f t="shared" si="12"/>
        <v>6353</v>
      </c>
      <c r="O50" s="215">
        <f t="shared" si="12"/>
        <v>863</v>
      </c>
    </row>
    <row r="51" spans="2:15" x14ac:dyDescent="0.25">
      <c r="B51" s="109" t="s">
        <v>335</v>
      </c>
      <c r="C51" s="109"/>
      <c r="D51" s="109"/>
      <c r="E51" s="227">
        <f>E50/E48</f>
        <v>1.1290881062492588</v>
      </c>
      <c r="F51" s="231">
        <f t="shared" ref="F51:O51" si="13">F50/F48</f>
        <v>-0.52950441092634293</v>
      </c>
      <c r="G51" s="227">
        <f t="shared" si="13"/>
        <v>0.2878685434466367</v>
      </c>
      <c r="H51" s="231">
        <f t="shared" si="13"/>
        <v>0.24984226744070659</v>
      </c>
      <c r="I51" s="227">
        <f t="shared" si="13"/>
        <v>0.20286902540802301</v>
      </c>
      <c r="J51" s="227">
        <f t="shared" si="13"/>
        <v>0.39242208766064568</v>
      </c>
      <c r="K51" s="227">
        <f t="shared" si="13"/>
        <v>0.36690210921153021</v>
      </c>
      <c r="L51" s="227">
        <f t="shared" si="13"/>
        <v>3.4020195432612317E-2</v>
      </c>
      <c r="M51" s="227">
        <f t="shared" si="13"/>
        <v>0.16879226345542878</v>
      </c>
      <c r="N51" s="227">
        <f t="shared" si="13"/>
        <v>0.35787295144070197</v>
      </c>
      <c r="O51" s="227">
        <f t="shared" si="13"/>
        <v>4.7561711389417859E-2</v>
      </c>
    </row>
    <row r="53" spans="2:15" x14ac:dyDescent="0.25">
      <c r="M53" t="s">
        <v>337</v>
      </c>
      <c r="O53" s="17">
        <f>AVERAGE(E51:O51)</f>
        <v>0.24615771365532899</v>
      </c>
    </row>
    <row r="54" spans="2:15" x14ac:dyDescent="0.25">
      <c r="M54" t="s">
        <v>338</v>
      </c>
      <c r="O54" s="17">
        <f>MEDIAN(E51:O51)</f>
        <v>0.24984226744070659</v>
      </c>
    </row>
    <row r="57" spans="2:15" x14ac:dyDescent="0.25">
      <c r="B57" s="216" t="s">
        <v>339</v>
      </c>
      <c r="C57" s="216"/>
      <c r="D57" s="217">
        <f>'Data Sheet'!B119</f>
        <v>41729</v>
      </c>
      <c r="E57" s="217">
        <f>'Data Sheet'!C119</f>
        <v>42094</v>
      </c>
      <c r="F57" s="217">
        <f>'Data Sheet'!D119</f>
        <v>42459</v>
      </c>
      <c r="G57" s="217">
        <f>'Data Sheet'!E119</f>
        <v>42824</v>
      </c>
      <c r="H57" s="217">
        <f>'Data Sheet'!F119</f>
        <v>43189</v>
      </c>
      <c r="I57" s="217">
        <f>'Data Sheet'!G119</f>
        <v>43554</v>
      </c>
      <c r="J57" s="217">
        <f>'Data Sheet'!H119</f>
        <v>43919</v>
      </c>
      <c r="K57" s="217">
        <f>'Data Sheet'!I119</f>
        <v>44284</v>
      </c>
      <c r="L57" s="217">
        <f>'Data Sheet'!J119</f>
        <v>44649</v>
      </c>
      <c r="M57" s="217">
        <f>'Data Sheet'!K119</f>
        <v>45014</v>
      </c>
      <c r="N57" s="217">
        <f>'Data Sheet'!L119</f>
        <v>45379</v>
      </c>
      <c r="O57" s="217">
        <f>'Data Sheet'!M119</f>
        <v>45744</v>
      </c>
    </row>
    <row r="59" spans="2:15" x14ac:dyDescent="0.25">
      <c r="B59" s="37" t="s">
        <v>335</v>
      </c>
      <c r="C59" s="37"/>
      <c r="D59" s="37"/>
      <c r="E59" s="224">
        <f>E51</f>
        <v>1.1290881062492588</v>
      </c>
      <c r="F59" s="233">
        <f t="shared" ref="F59:O59" si="14">F51</f>
        <v>-0.52950441092634293</v>
      </c>
      <c r="G59" s="224">
        <f t="shared" si="14"/>
        <v>0.2878685434466367</v>
      </c>
      <c r="H59" s="224">
        <f t="shared" si="14"/>
        <v>0.24984226744070659</v>
      </c>
      <c r="I59" s="224">
        <f t="shared" si="14"/>
        <v>0.20286902540802301</v>
      </c>
      <c r="J59" s="224">
        <f t="shared" si="14"/>
        <v>0.39242208766064568</v>
      </c>
      <c r="K59" s="224">
        <f t="shared" si="14"/>
        <v>0.36690210921153021</v>
      </c>
      <c r="L59" s="224">
        <f t="shared" si="14"/>
        <v>3.4020195432612317E-2</v>
      </c>
      <c r="M59" s="224">
        <f t="shared" si="14"/>
        <v>0.16879226345542878</v>
      </c>
      <c r="N59" s="224">
        <f t="shared" si="14"/>
        <v>0.35787295144070197</v>
      </c>
      <c r="O59" s="224">
        <f t="shared" si="14"/>
        <v>4.7561711389417859E-2</v>
      </c>
    </row>
    <row r="60" spans="2:15" x14ac:dyDescent="0.25">
      <c r="B60" s="109" t="s">
        <v>329</v>
      </c>
      <c r="C60" s="109"/>
      <c r="D60" s="109"/>
      <c r="E60" s="225">
        <f>E39</f>
        <v>2.302211302211302</v>
      </c>
      <c r="F60" s="225">
        <f t="shared" ref="F60:O60" si="15">F39</f>
        <v>0.98992642189684332</v>
      </c>
      <c r="G60" s="225">
        <f t="shared" si="15"/>
        <v>0.99712494776431271</v>
      </c>
      <c r="H60" s="225">
        <f t="shared" si="15"/>
        <v>1.0242116196475242</v>
      </c>
      <c r="I60" s="225">
        <f t="shared" si="15"/>
        <v>0.93634764558068406</v>
      </c>
      <c r="J60" s="225">
        <f t="shared" si="15"/>
        <v>0.99151988795518209</v>
      </c>
      <c r="K60" s="225">
        <f t="shared" si="15"/>
        <v>0.90562610125690113</v>
      </c>
      <c r="L60" s="225">
        <f t="shared" si="15"/>
        <v>0.96945191419480625</v>
      </c>
      <c r="M60" s="225">
        <f t="shared" si="15"/>
        <v>1.1501925391095065</v>
      </c>
      <c r="N60" s="225">
        <f t="shared" si="15"/>
        <v>1.1925372833534864</v>
      </c>
      <c r="O60" s="225">
        <f t="shared" si="15"/>
        <v>1.5892485055508112</v>
      </c>
    </row>
    <row r="62" spans="2:15" ht="15.75" thickBot="1" x14ac:dyDescent="0.3">
      <c r="B62" s="219" t="s">
        <v>340</v>
      </c>
      <c r="C62" s="219"/>
      <c r="D62" s="223"/>
      <c r="E62" s="223">
        <f>E60*E59</f>
        <v>2.5993993993993989</v>
      </c>
      <c r="F62" s="232">
        <f t="shared" ref="F62:O62" si="16">F60*F59</f>
        <v>-0.52417040688691041</v>
      </c>
      <c r="G62" s="223">
        <f t="shared" si="16"/>
        <v>0.28704090634721641</v>
      </c>
      <c r="H62" s="223">
        <f t="shared" si="16"/>
        <v>0.25589135339185598</v>
      </c>
      <c r="I62" s="223">
        <f t="shared" si="16"/>
        <v>0.18995593430205032</v>
      </c>
      <c r="J62" s="223">
        <f t="shared" si="16"/>
        <v>0.38909430438842207</v>
      </c>
      <c r="K62" s="223">
        <f t="shared" si="16"/>
        <v>0.33227612670817186</v>
      </c>
      <c r="L62" s="223">
        <f t="shared" si="16"/>
        <v>3.2980943583427416E-2</v>
      </c>
      <c r="M62" s="223">
        <f t="shared" si="16"/>
        <v>0.19414360208584039</v>
      </c>
      <c r="N62" s="223">
        <f t="shared" si="16"/>
        <v>0.42677683729678889</v>
      </c>
      <c r="O62" s="223">
        <f t="shared" si="16"/>
        <v>7.5587378747071332E-2</v>
      </c>
    </row>
    <row r="63" spans="2:15" ht="15.75" thickTop="1" x14ac:dyDescent="0.25"/>
    <row r="64" spans="2:15" x14ac:dyDescent="0.25">
      <c r="M64" t="s">
        <v>337</v>
      </c>
      <c r="O64" s="17">
        <f>AVERAGE(E62:O62)</f>
        <v>0.38717967085121213</v>
      </c>
    </row>
    <row r="65" spans="13:15" x14ac:dyDescent="0.25">
      <c r="M65" t="s">
        <v>338</v>
      </c>
      <c r="O65" s="17">
        <f>MEDIAN(E62:O62)</f>
        <v>0.25589135339185598</v>
      </c>
    </row>
  </sheetData>
  <pageMargins left="0.7" right="0.7" top="0.75" bottom="0.75" header="0.3" footer="0.3"/>
  <ignoredErrors>
    <ignoredError sqref="F43:O43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42B4-BCBB-4DFE-87B2-3DA9133E0B05}">
  <dimension ref="B2:Q36"/>
  <sheetViews>
    <sheetView showGridLines="0" tabSelected="1" workbookViewId="0">
      <selection activeCell="T22" sqref="T22"/>
    </sheetView>
  </sheetViews>
  <sheetFormatPr defaultRowHeight="15" x14ac:dyDescent="0.25"/>
  <cols>
    <col min="15" max="17" width="12.42578125" bestFit="1" customWidth="1"/>
  </cols>
  <sheetData>
    <row r="2" spans="2:17" x14ac:dyDescent="0.25">
      <c r="B2" s="248" t="s">
        <v>363</v>
      </c>
    </row>
    <row r="3" spans="2:17" ht="15.75" x14ac:dyDescent="0.25">
      <c r="B3" s="249" t="s">
        <v>364</v>
      </c>
      <c r="C3" s="250"/>
      <c r="D3" s="251"/>
      <c r="E3" s="250"/>
      <c r="F3" s="250"/>
      <c r="G3" s="250"/>
      <c r="H3" s="250"/>
      <c r="I3" s="250"/>
      <c r="J3" s="250"/>
      <c r="K3" s="250"/>
    </row>
    <row r="5" spans="2:17" x14ac:dyDescent="0.25">
      <c r="B5" s="252"/>
      <c r="C5" s="252"/>
      <c r="D5" s="294" t="s">
        <v>365</v>
      </c>
      <c r="E5" s="294"/>
      <c r="F5" s="294"/>
      <c r="G5" s="294"/>
      <c r="H5" s="294"/>
      <c r="I5" s="294"/>
      <c r="J5" s="252"/>
      <c r="K5" s="294" t="s">
        <v>366</v>
      </c>
      <c r="L5" s="294"/>
      <c r="M5" s="294"/>
      <c r="N5" s="252"/>
      <c r="O5" s="294" t="s">
        <v>367</v>
      </c>
      <c r="P5" s="294"/>
      <c r="Q5" s="294"/>
    </row>
    <row r="6" spans="2:17" ht="45" x14ac:dyDescent="0.25">
      <c r="B6" s="253" t="s">
        <v>368</v>
      </c>
      <c r="C6" s="253" t="s">
        <v>369</v>
      </c>
      <c r="D6" s="254" t="s">
        <v>361</v>
      </c>
      <c r="E6" s="254" t="s">
        <v>370</v>
      </c>
      <c r="F6" s="254" t="s">
        <v>371</v>
      </c>
      <c r="G6" s="254" t="s">
        <v>372</v>
      </c>
      <c r="H6" s="254" t="s">
        <v>355</v>
      </c>
      <c r="I6" s="254"/>
      <c r="J6" s="255"/>
      <c r="K6" s="255" t="s">
        <v>1</v>
      </c>
      <c r="L6" s="255" t="s">
        <v>5</v>
      </c>
      <c r="M6" s="255" t="s">
        <v>10</v>
      </c>
      <c r="N6" s="255"/>
      <c r="O6" s="255" t="s">
        <v>373</v>
      </c>
      <c r="P6" s="255" t="s">
        <v>374</v>
      </c>
      <c r="Q6" s="255" t="s">
        <v>375</v>
      </c>
    </row>
    <row r="7" spans="2:17" x14ac:dyDescent="0.25">
      <c r="B7" s="256"/>
      <c r="C7" s="256"/>
      <c r="D7" s="257"/>
      <c r="E7" s="257"/>
      <c r="F7" s="257"/>
      <c r="G7" s="257"/>
      <c r="H7" s="257"/>
      <c r="I7" s="257"/>
      <c r="J7" s="258"/>
      <c r="K7" s="258"/>
      <c r="L7" s="258"/>
      <c r="M7" s="258"/>
      <c r="N7" s="258"/>
      <c r="O7" s="258"/>
      <c r="P7" s="258"/>
      <c r="Q7" s="258"/>
    </row>
    <row r="8" spans="2:17" x14ac:dyDescent="0.25">
      <c r="B8" s="259" t="str">
        <f>'Data Sheet'!B162</f>
        <v>ITC</v>
      </c>
      <c r="C8" s="260"/>
      <c r="D8" s="261">
        <f>'Data Sheet'!C162</f>
        <v>409.75</v>
      </c>
      <c r="E8" s="261">
        <f>'Data Sheet'!D162</f>
        <v>1252.67</v>
      </c>
      <c r="F8" s="262">
        <f>E8*D8</f>
        <v>513281.53250000003</v>
      </c>
      <c r="G8" s="261">
        <f>'Data Sheet'!I162</f>
        <v>-3727.82</v>
      </c>
      <c r="H8" s="262">
        <f>+F8+G8</f>
        <v>509553.71250000002</v>
      </c>
      <c r="I8" s="261"/>
      <c r="J8" s="263"/>
      <c r="K8" s="263">
        <f>'Data Sheet'!J162</f>
        <v>79040.320000000007</v>
      </c>
      <c r="L8" s="263">
        <f>'Data Sheet'!K162</f>
        <v>7567</v>
      </c>
      <c r="M8" s="263">
        <f>'Data Sheet'!L162</f>
        <v>35218.9</v>
      </c>
      <c r="N8" s="264"/>
      <c r="O8" s="265">
        <f>$H8/K8</f>
        <v>6.446756699618625</v>
      </c>
      <c r="P8" s="265">
        <f>$H8/L8</f>
        <v>67.338933857539317</v>
      </c>
      <c r="Q8" s="265">
        <f>F8/M8</f>
        <v>14.574036454858046</v>
      </c>
    </row>
    <row r="9" spans="2:17" x14ac:dyDescent="0.25">
      <c r="B9" s="259" t="str">
        <f>'Data Sheet'!B161</f>
        <v>Hind. Unilever</v>
      </c>
      <c r="C9" s="266"/>
      <c r="D9" s="261">
        <f>'Data Sheet'!C161</f>
        <v>2659.8</v>
      </c>
      <c r="E9" s="261">
        <f>'Data Sheet'!D161</f>
        <v>234.96</v>
      </c>
      <c r="F9" s="267">
        <f>E9*D9</f>
        <v>624946.60800000001</v>
      </c>
      <c r="G9" s="261">
        <f>'Data Sheet'!I161</f>
        <v>-5906</v>
      </c>
      <c r="H9" s="267">
        <f>+F9+G9</f>
        <v>619040.60800000001</v>
      </c>
      <c r="I9" s="267"/>
      <c r="J9" s="267"/>
      <c r="K9" s="263">
        <f>'Data Sheet'!J161</f>
        <v>63928</v>
      </c>
      <c r="L9" s="263">
        <f>'Data Sheet'!K161</f>
        <v>3718</v>
      </c>
      <c r="M9" s="263">
        <f>'Data Sheet'!L161</f>
        <v>10827</v>
      </c>
      <c r="N9" s="268"/>
      <c r="O9" s="269">
        <f>$H9/K9</f>
        <v>9.6834033287448378</v>
      </c>
      <c r="P9" s="269">
        <f>$H9/L9</f>
        <v>166.49828079612695</v>
      </c>
      <c r="Q9" s="269">
        <f>F9/M9</f>
        <v>57.721123857024104</v>
      </c>
    </row>
    <row r="10" spans="2:17" x14ac:dyDescent="0.25">
      <c r="B10" s="259" t="str">
        <f>'Data Sheet'!B163</f>
        <v>Nestle India</v>
      </c>
      <c r="C10" s="266"/>
      <c r="D10" s="261">
        <f>'Data Sheet'!C163</f>
        <v>1156.2</v>
      </c>
      <c r="E10" s="261">
        <f>'Data Sheet'!D163</f>
        <v>192.83</v>
      </c>
      <c r="F10" s="267">
        <f t="shared" ref="F10:F17" si="0">E10*D10</f>
        <v>222950.04600000003</v>
      </c>
      <c r="G10" s="261">
        <f>'Data Sheet'!I163</f>
        <v>1071.1999999999998</v>
      </c>
      <c r="H10" s="267">
        <f t="shared" ref="H10:H17" si="1">+F10+G10</f>
        <v>224021.24600000004</v>
      </c>
      <c r="I10" s="267"/>
      <c r="J10" s="267"/>
      <c r="K10" s="263">
        <f>'Data Sheet'!J163</f>
        <v>20483.77</v>
      </c>
      <c r="L10" s="263">
        <f>'Data Sheet'!K163</f>
        <v>1100</v>
      </c>
      <c r="M10" s="263">
        <f>'Data Sheet'!L163</f>
        <v>3227.13</v>
      </c>
      <c r="N10" s="268"/>
      <c r="O10" s="269">
        <f t="shared" ref="O10:P17" si="2">$H10/K10</f>
        <v>10.936524184757006</v>
      </c>
      <c r="P10" s="269">
        <f t="shared" si="2"/>
        <v>203.65567818181822</v>
      </c>
      <c r="Q10" s="269">
        <f t="shared" ref="Q10:Q17" si="3">F10/M10</f>
        <v>69.086168205185416</v>
      </c>
    </row>
    <row r="11" spans="2:17" x14ac:dyDescent="0.25">
      <c r="B11" s="259" t="str">
        <f>'Data Sheet'!B164</f>
        <v>Varun Beverages</v>
      </c>
      <c r="C11" s="266"/>
      <c r="D11" s="261">
        <f>'Data Sheet'!C164</f>
        <v>487.15</v>
      </c>
      <c r="E11" s="261">
        <f>'Data Sheet'!D164</f>
        <v>338.2</v>
      </c>
      <c r="F11" s="267">
        <f t="shared" si="0"/>
        <v>164754.12999999998</v>
      </c>
      <c r="G11" s="261">
        <f>'Data Sheet'!I164</f>
        <v>-311.80000000000018</v>
      </c>
      <c r="H11" s="267">
        <f t="shared" si="1"/>
        <v>164442.32999999999</v>
      </c>
      <c r="I11" s="267"/>
      <c r="J11" s="267"/>
      <c r="K11" s="263">
        <f>'Data Sheet'!J164</f>
        <v>21077.78</v>
      </c>
      <c r="L11" s="263">
        <f>'Data Sheet'!K164</f>
        <v>1999</v>
      </c>
      <c r="M11" s="263">
        <f>'Data Sheet'!L164</f>
        <v>2881.31</v>
      </c>
      <c r="N11" s="268"/>
      <c r="O11" s="269">
        <f t="shared" si="2"/>
        <v>7.801691164819065</v>
      </c>
      <c r="P11" s="269">
        <f t="shared" si="2"/>
        <v>82.262296148074029</v>
      </c>
      <c r="Q11" s="269">
        <f t="shared" si="3"/>
        <v>57.180286050442326</v>
      </c>
    </row>
    <row r="12" spans="2:17" x14ac:dyDescent="0.25">
      <c r="B12" s="259" t="str">
        <f>'Data Sheet'!B165</f>
        <v>Britannia Inds.</v>
      </c>
      <c r="C12" s="266"/>
      <c r="D12" s="261">
        <f>'Data Sheet'!C165</f>
        <v>5824</v>
      </c>
      <c r="E12" s="261">
        <f>'Data Sheet'!D165</f>
        <v>24.09</v>
      </c>
      <c r="F12" s="267">
        <f t="shared" si="0"/>
        <v>140300.16</v>
      </c>
      <c r="G12" s="261">
        <f>'Data Sheet'!I165</f>
        <v>934.03</v>
      </c>
      <c r="H12" s="267">
        <f t="shared" si="1"/>
        <v>141234.19</v>
      </c>
      <c r="I12" s="267"/>
      <c r="J12" s="267"/>
      <c r="K12" s="263">
        <f>'Data Sheet'!J165</f>
        <v>18314.59</v>
      </c>
      <c r="L12" s="263">
        <f>'Data Sheet'!K165</f>
        <v>757</v>
      </c>
      <c r="M12" s="263">
        <f>'Data Sheet'!L165</f>
        <v>2193.11</v>
      </c>
      <c r="N12" s="268"/>
      <c r="O12" s="269">
        <f t="shared" si="2"/>
        <v>7.7115671167085917</v>
      </c>
      <c r="P12" s="269">
        <f t="shared" si="2"/>
        <v>186.57092470277411</v>
      </c>
      <c r="Q12" s="269">
        <f t="shared" si="3"/>
        <v>63.973152281463307</v>
      </c>
    </row>
    <row r="13" spans="2:17" x14ac:dyDescent="0.25">
      <c r="B13" s="259" t="str">
        <f>'Data Sheet'!B166</f>
        <v>Godrej Consumer</v>
      </c>
      <c r="C13" s="266"/>
      <c r="D13" s="261">
        <f>'Data Sheet'!C166</f>
        <v>1242.5999999999999</v>
      </c>
      <c r="E13" s="261">
        <f>'Data Sheet'!D166</f>
        <v>102.31</v>
      </c>
      <c r="F13" s="267">
        <f t="shared" si="0"/>
        <v>127130.40599999999</v>
      </c>
      <c r="G13" s="261">
        <f>'Data Sheet'!I166</f>
        <v>3526.13</v>
      </c>
      <c r="H13" s="267">
        <f t="shared" si="1"/>
        <v>130656.53599999999</v>
      </c>
      <c r="I13" s="267"/>
      <c r="J13" s="267"/>
      <c r="K13" s="263">
        <f>'Data Sheet'!J166</f>
        <v>14694.57</v>
      </c>
      <c r="L13" s="263">
        <f>'Data Sheet'!K166</f>
        <v>69</v>
      </c>
      <c r="M13" s="263">
        <f>'Data Sheet'!L166</f>
        <v>1853.97</v>
      </c>
      <c r="N13" s="268"/>
      <c r="O13" s="269">
        <f t="shared" si="2"/>
        <v>8.8914841332546644</v>
      </c>
      <c r="P13" s="269">
        <f t="shared" si="2"/>
        <v>1893.5729855072464</v>
      </c>
      <c r="Q13" s="269">
        <f t="shared" si="3"/>
        <v>68.571986601724944</v>
      </c>
    </row>
    <row r="14" spans="2:17" x14ac:dyDescent="0.25">
      <c r="B14" s="259" t="str">
        <f>'Data Sheet'!B167</f>
        <v>Tata Consumer</v>
      </c>
      <c r="C14" s="266"/>
      <c r="D14" s="261">
        <f>'Data Sheet'!C167</f>
        <v>1065.4000000000001</v>
      </c>
      <c r="E14" s="261">
        <f>'Data Sheet'!D167</f>
        <v>98.95</v>
      </c>
      <c r="F14" s="267">
        <f t="shared" si="0"/>
        <v>105421.33000000002</v>
      </c>
      <c r="G14" s="261">
        <f>'Data Sheet'!I167</f>
        <v>-425.18000000000029</v>
      </c>
      <c r="H14" s="267">
        <f t="shared" si="1"/>
        <v>104996.15000000002</v>
      </c>
      <c r="I14" s="267"/>
      <c r="J14" s="267"/>
      <c r="K14" s="263">
        <f>'Data Sheet'!J167</f>
        <v>18045.14</v>
      </c>
      <c r="L14" s="263">
        <f>'Data Sheet'!K167</f>
        <v>63</v>
      </c>
      <c r="M14" s="263">
        <f>'Data Sheet'!L167</f>
        <v>1329.6</v>
      </c>
      <c r="N14" s="268"/>
      <c r="O14" s="269">
        <f t="shared" si="2"/>
        <v>5.8185278695537983</v>
      </c>
      <c r="P14" s="269">
        <f t="shared" si="2"/>
        <v>1666.6055555555558</v>
      </c>
      <c r="Q14" s="269">
        <f t="shared" si="3"/>
        <v>79.288003910950678</v>
      </c>
    </row>
    <row r="15" spans="2:17" x14ac:dyDescent="0.25">
      <c r="B15" s="259" t="str">
        <f>'Data Sheet'!B168</f>
        <v>United Spirits</v>
      </c>
      <c r="C15" s="266"/>
      <c r="D15" s="261">
        <f>'Data Sheet'!C168</f>
        <v>1311</v>
      </c>
      <c r="E15" s="261">
        <f>'Data Sheet'!D168</f>
        <v>72.739999999999995</v>
      </c>
      <c r="F15" s="267">
        <f t="shared" si="0"/>
        <v>95362.14</v>
      </c>
      <c r="G15" s="261">
        <f>'Data Sheet'!I168</f>
        <v>-1550</v>
      </c>
      <c r="H15" s="267">
        <f t="shared" si="1"/>
        <v>93812.14</v>
      </c>
      <c r="I15" s="267"/>
      <c r="J15" s="267"/>
      <c r="K15" s="263">
        <f>'Data Sheet'!J168</f>
        <v>12329</v>
      </c>
      <c r="L15" s="263">
        <f>'Data Sheet'!K168</f>
        <v>2759</v>
      </c>
      <c r="M15" s="263">
        <f>'Data Sheet'!L168</f>
        <v>1514</v>
      </c>
      <c r="N15" s="268"/>
      <c r="O15" s="269">
        <f t="shared" si="2"/>
        <v>7.6090631843620731</v>
      </c>
      <c r="P15" s="269">
        <f t="shared" si="2"/>
        <v>34.002225444001446</v>
      </c>
      <c r="Q15" s="269">
        <f t="shared" si="3"/>
        <v>62.986882430647292</v>
      </c>
    </row>
    <row r="16" spans="2:17" x14ac:dyDescent="0.25">
      <c r="B16" s="259" t="str">
        <f>'Data Sheet'!B169</f>
        <v>Marico</v>
      </c>
      <c r="C16" s="266"/>
      <c r="D16" s="261">
        <f>'Data Sheet'!C169</f>
        <v>725.85</v>
      </c>
      <c r="E16" s="261">
        <f>'Data Sheet'!D169</f>
        <v>129.79</v>
      </c>
      <c r="F16" s="267">
        <f t="shared" si="0"/>
        <v>94208.071499999991</v>
      </c>
      <c r="G16" s="261">
        <f>'Data Sheet'!I169</f>
        <v>-223</v>
      </c>
      <c r="H16" s="267">
        <f t="shared" si="1"/>
        <v>93985.071499999991</v>
      </c>
      <c r="I16" s="267"/>
      <c r="J16" s="267"/>
      <c r="K16" s="263">
        <f>'Data Sheet'!J169</f>
        <v>11447</v>
      </c>
      <c r="L16" s="263">
        <f>'Data Sheet'!K169</f>
        <v>65.5</v>
      </c>
      <c r="M16" s="263">
        <f>'Data Sheet'!L169</f>
        <v>1697</v>
      </c>
      <c r="N16" s="268"/>
      <c r="O16" s="269">
        <f t="shared" si="2"/>
        <v>8.2104543985323666</v>
      </c>
      <c r="P16" s="269">
        <f t="shared" si="2"/>
        <v>1434.8865877862595</v>
      </c>
      <c r="Q16" s="269">
        <f t="shared" si="3"/>
        <v>55.514479375368289</v>
      </c>
    </row>
    <row r="17" spans="2:17" x14ac:dyDescent="0.25">
      <c r="B17" s="259" t="str">
        <f>'Data Sheet'!B170</f>
        <v>Dabur India</v>
      </c>
      <c r="C17" s="266"/>
      <c r="D17" s="261">
        <f>'Data Sheet'!C170</f>
        <v>521.1</v>
      </c>
      <c r="E17" s="261">
        <f>'Data Sheet'!D170</f>
        <v>177.37</v>
      </c>
      <c r="F17" s="267">
        <f t="shared" si="0"/>
        <v>92427.507000000012</v>
      </c>
      <c r="G17" s="261">
        <f>'Data Sheet'!I170</f>
        <v>372.36</v>
      </c>
      <c r="H17" s="267">
        <f t="shared" si="1"/>
        <v>92799.867000000013</v>
      </c>
      <c r="I17" s="267"/>
      <c r="J17" s="267"/>
      <c r="K17" s="263">
        <f>'Data Sheet'!J170</f>
        <v>12618.56</v>
      </c>
      <c r="L17" s="263">
        <f>'Data Sheet'!K170</f>
        <v>2877</v>
      </c>
      <c r="M17" s="263">
        <f>'Data Sheet'!L170</f>
        <v>1754.36</v>
      </c>
      <c r="N17" s="268"/>
      <c r="O17" s="269">
        <f t="shared" si="2"/>
        <v>7.3542359033043407</v>
      </c>
      <c r="P17" s="269">
        <f t="shared" si="2"/>
        <v>32.255775808133478</v>
      </c>
      <c r="Q17" s="269">
        <f t="shared" si="3"/>
        <v>52.684458719989067</v>
      </c>
    </row>
    <row r="19" spans="2:17" x14ac:dyDescent="0.25">
      <c r="B19" s="270" t="s">
        <v>376</v>
      </c>
      <c r="C19" s="270"/>
      <c r="D19" s="270"/>
      <c r="E19" s="270"/>
      <c r="F19" s="270"/>
      <c r="G19" s="270"/>
      <c r="H19" s="270"/>
      <c r="I19" s="270"/>
      <c r="J19" s="270"/>
      <c r="K19" s="270"/>
      <c r="L19" s="270"/>
      <c r="M19" s="270"/>
      <c r="N19" s="270"/>
      <c r="O19" s="271">
        <f>MAX(O8:O17)</f>
        <v>10.936524184757006</v>
      </c>
      <c r="P19" s="271">
        <f>MAX(P8:P17)</f>
        <v>1893.5729855072464</v>
      </c>
      <c r="Q19" s="271">
        <f>MAX(Q8:Q17)</f>
        <v>79.288003910950678</v>
      </c>
    </row>
    <row r="20" spans="2:17" x14ac:dyDescent="0.25">
      <c r="B20" s="270" t="s">
        <v>377</v>
      </c>
      <c r="C20" s="270"/>
      <c r="D20" s="270"/>
      <c r="E20" s="270"/>
      <c r="F20" s="270"/>
      <c r="G20" s="270"/>
      <c r="H20" s="270"/>
      <c r="I20" s="270"/>
      <c r="J20" s="270"/>
      <c r="K20" s="270"/>
      <c r="L20" s="270"/>
      <c r="M20" s="270"/>
      <c r="N20" s="270"/>
      <c r="O20" s="271">
        <f>QUARTILE(O8:O17,3)</f>
        <v>8.721226699574089</v>
      </c>
      <c r="P20" s="271">
        <f>QUARTILE(P8:P17,3)</f>
        <v>1127.0788603851493</v>
      </c>
      <c r="Q20" s="271">
        <f>QUARTILE(Q8:Q17,3)</f>
        <v>67.422278021659537</v>
      </c>
    </row>
    <row r="21" spans="2:17" x14ac:dyDescent="0.25">
      <c r="B21" s="272" t="s">
        <v>195</v>
      </c>
      <c r="C21" s="272"/>
      <c r="D21" s="272"/>
      <c r="E21" s="272"/>
      <c r="F21" s="272"/>
      <c r="G21" s="272"/>
      <c r="H21" s="272"/>
      <c r="I21" s="272"/>
      <c r="J21" s="272"/>
      <c r="K21" s="272"/>
      <c r="L21" s="272"/>
      <c r="M21" s="272"/>
      <c r="N21" s="272"/>
      <c r="O21" s="273">
        <f>AVERAGE(O8:O17)</f>
        <v>8.0463707983655368</v>
      </c>
      <c r="P21" s="273">
        <f>AVERAGE(P8:P17)</f>
        <v>576.76492437875299</v>
      </c>
      <c r="Q21" s="273">
        <f>AVERAGE(Q8:Q17)</f>
        <v>58.158057788765348</v>
      </c>
    </row>
    <row r="22" spans="2:17" x14ac:dyDescent="0.25">
      <c r="B22" s="272" t="s">
        <v>175</v>
      </c>
      <c r="C22" s="272"/>
      <c r="D22" s="272"/>
      <c r="E22" s="272"/>
      <c r="F22" s="272"/>
      <c r="G22" s="272"/>
      <c r="H22" s="272"/>
      <c r="I22" s="272"/>
      <c r="J22" s="272"/>
      <c r="K22" s="272"/>
      <c r="L22" s="272"/>
      <c r="M22" s="272"/>
      <c r="N22" s="272"/>
      <c r="O22" s="273">
        <f>MEDIAN(O8:O17)</f>
        <v>7.7566291407638284</v>
      </c>
      <c r="P22" s="273">
        <f>MEDIAN(P8:P17)</f>
        <v>176.53460274945053</v>
      </c>
      <c r="Q22" s="273">
        <f>MEDIAN(Q8:Q17)</f>
        <v>60.354003143835698</v>
      </c>
    </row>
    <row r="23" spans="2:17" x14ac:dyDescent="0.25">
      <c r="B23" s="270" t="s">
        <v>378</v>
      </c>
      <c r="C23" s="270"/>
      <c r="D23" s="270"/>
      <c r="E23" s="270"/>
      <c r="F23" s="270"/>
      <c r="G23" s="270"/>
      <c r="H23" s="270"/>
      <c r="I23" s="270"/>
      <c r="J23" s="270"/>
      <c r="K23" s="270"/>
      <c r="L23" s="270"/>
      <c r="M23" s="270"/>
      <c r="N23" s="270"/>
      <c r="O23" s="271">
        <f>QUARTILE(O8:O17,1)</f>
        <v>7.4179427235687738</v>
      </c>
      <c r="P23" s="271">
        <f>QUARTILE(P8:P17,1)</f>
        <v>71.069774430172998</v>
      </c>
      <c r="Q23" s="271">
        <f>QUARTILE(Q8:Q17,1)</f>
        <v>55.930931044136798</v>
      </c>
    </row>
    <row r="24" spans="2:17" x14ac:dyDescent="0.25">
      <c r="B24" s="270" t="s">
        <v>379</v>
      </c>
      <c r="C24" s="270"/>
      <c r="D24" s="270"/>
      <c r="E24" s="270"/>
      <c r="F24" s="270"/>
      <c r="G24" s="270"/>
      <c r="H24" s="270"/>
      <c r="I24" s="270"/>
      <c r="J24" s="270"/>
      <c r="K24" s="270"/>
      <c r="L24" s="270"/>
      <c r="M24" s="270"/>
      <c r="N24" s="270"/>
      <c r="O24" s="271">
        <f>MIN(O8:O17)</f>
        <v>5.8185278695537983</v>
      </c>
      <c r="P24" s="271">
        <f>MIN(P8:P17)</f>
        <v>32.255775808133478</v>
      </c>
      <c r="Q24" s="271">
        <f>MIN(Q8:Q17)</f>
        <v>14.574036454858046</v>
      </c>
    </row>
    <row r="26" spans="2:17" x14ac:dyDescent="0.25">
      <c r="B26" s="274" t="s">
        <v>380</v>
      </c>
      <c r="C26" s="275"/>
      <c r="D26" s="275"/>
      <c r="E26" s="275"/>
      <c r="F26" s="275"/>
      <c r="G26" s="275"/>
      <c r="H26" s="275"/>
      <c r="I26" s="275"/>
      <c r="J26" s="275"/>
      <c r="K26" s="275"/>
      <c r="L26" s="275"/>
      <c r="M26" s="275"/>
      <c r="N26" s="275"/>
      <c r="O26" s="255" t="s">
        <v>373</v>
      </c>
      <c r="P26" s="276" t="s">
        <v>374</v>
      </c>
      <c r="Q26" s="255" t="s">
        <v>375</v>
      </c>
    </row>
    <row r="28" spans="2:17" x14ac:dyDescent="0.25">
      <c r="B28" s="78" t="s">
        <v>381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277">
        <f>O$22*K8</f>
        <v>613086.44940729812</v>
      </c>
      <c r="P28" s="277">
        <f>P$22*L8</f>
        <v>1335837.3390050922</v>
      </c>
      <c r="Q28" s="277">
        <f>+Q30+Q29</f>
        <v>647546.79203830916</v>
      </c>
    </row>
    <row r="29" spans="2:17" x14ac:dyDescent="0.25">
      <c r="B29" s="78" t="s">
        <v>372</v>
      </c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277">
        <f>$G$8</f>
        <v>-3727.82</v>
      </c>
      <c r="P29" s="277">
        <f>$G$8</f>
        <v>-3727.82</v>
      </c>
      <c r="Q29" s="277">
        <f>$G$9</f>
        <v>-5906</v>
      </c>
    </row>
    <row r="30" spans="2:17" x14ac:dyDescent="0.25">
      <c r="B30" s="78" t="s">
        <v>382</v>
      </c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277">
        <f>O28-O29</f>
        <v>616814.26940729807</v>
      </c>
      <c r="P30" s="277">
        <f>P28-P29</f>
        <v>1339565.1590050922</v>
      </c>
      <c r="Q30" s="277">
        <f>Q22*M9</f>
        <v>653452.79203830916</v>
      </c>
    </row>
    <row r="31" spans="2:17" x14ac:dyDescent="0.25">
      <c r="B31" s="78" t="s">
        <v>370</v>
      </c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278">
        <f>$E$8</f>
        <v>1252.67</v>
      </c>
      <c r="P31" s="278">
        <f>$E$8</f>
        <v>1252.67</v>
      </c>
      <c r="Q31" s="278">
        <f>$E$8</f>
        <v>1252.67</v>
      </c>
    </row>
    <row r="32" spans="2:17" x14ac:dyDescent="0.25">
      <c r="O32" s="23"/>
      <c r="P32" s="23"/>
      <c r="Q32" s="23"/>
    </row>
    <row r="33" spans="2:17" x14ac:dyDescent="0.25">
      <c r="B33" s="279" t="s">
        <v>383</v>
      </c>
      <c r="C33" s="279"/>
      <c r="D33" s="279"/>
      <c r="E33" s="279"/>
      <c r="F33" s="279"/>
      <c r="G33" s="279"/>
      <c r="H33" s="279"/>
      <c r="I33" s="279"/>
      <c r="J33" s="279"/>
      <c r="K33" s="279"/>
      <c r="L33" s="279"/>
      <c r="M33" s="279"/>
      <c r="N33" s="279"/>
      <c r="O33" s="280">
        <f>O30/O31</f>
        <v>492.3996498737082</v>
      </c>
      <c r="P33" s="280">
        <f t="shared" ref="P33:Q33" si="4">P30/P31</f>
        <v>1069.3679572473932</v>
      </c>
      <c r="Q33" s="280">
        <f t="shared" si="4"/>
        <v>521.64799351649606</v>
      </c>
    </row>
    <row r="34" spans="2:17" x14ac:dyDescent="0.25">
      <c r="B34" s="281"/>
      <c r="C34" s="281"/>
      <c r="D34" s="281"/>
      <c r="E34" s="281"/>
      <c r="F34" s="281"/>
      <c r="G34" s="281"/>
      <c r="H34" s="281"/>
      <c r="I34" s="281"/>
      <c r="J34" s="281"/>
      <c r="K34" s="281"/>
      <c r="L34" s="281"/>
      <c r="M34" s="281"/>
      <c r="N34" s="281"/>
      <c r="O34" s="282"/>
      <c r="P34" s="282"/>
      <c r="Q34" s="282"/>
    </row>
    <row r="35" spans="2:17" x14ac:dyDescent="0.25">
      <c r="B35" s="248" t="s">
        <v>402</v>
      </c>
    </row>
    <row r="36" spans="2:17" x14ac:dyDescent="0.25">
      <c r="O36" t="str">
        <f>IF(O33&gt;$D$8,"Undervalued","Overvalued")</f>
        <v>Undervalued</v>
      </c>
      <c r="P36" t="str">
        <f>IF(P33&gt;$D$8,"Undervalued","Overvalued")</f>
        <v>Undervalued</v>
      </c>
      <c r="Q36" t="str">
        <f>IF(Q33&gt;$D$8,"Undervalued","Overvalued")</f>
        <v>Undervalued</v>
      </c>
    </row>
  </sheetData>
  <mergeCells count="3">
    <mergeCell ref="D5:I5"/>
    <mergeCell ref="K5:M5"/>
    <mergeCell ref="O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Data Sheet</vt:lpstr>
      <vt:lpstr>Assumption Driver</vt:lpstr>
      <vt:lpstr>Financials Statements</vt:lpstr>
      <vt:lpstr>Common Size Statement</vt:lpstr>
      <vt:lpstr>Ratios</vt:lpstr>
      <vt:lpstr>Forecasting</vt:lpstr>
      <vt:lpstr>Beta Calculation</vt:lpstr>
      <vt:lpstr>WACC data Sheet</vt:lpstr>
      <vt:lpstr>WACC Calculation</vt:lpstr>
      <vt:lpstr>DCF</vt:lpstr>
      <vt:lpstr>Intrinsic Growth</vt:lpstr>
      <vt:lpstr>Comps_val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AMAN AZIZ SIDDIQUI</cp:lastModifiedBy>
  <cp:lastPrinted>2025-08-29T14:34:51Z</cp:lastPrinted>
  <dcterms:created xsi:type="dcterms:W3CDTF">2022-12-30T14:10:27Z</dcterms:created>
  <dcterms:modified xsi:type="dcterms:W3CDTF">2025-09-04T07:35:15Z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{9942C6FC-FE5C-458F-94CC-B2C199F11F76}</vt:lpwstr>
  </property>
</Properties>
</file>